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Objects="placeholders" filterPrivacy="1" codeName="ThisWorkbook"/>
  <xr:revisionPtr revIDLastSave="0" documentId="13_ncr:1_{C134092B-6FE5-4E54-8AA4-0B098D0135AF}" xr6:coauthVersionLast="44" xr6:coauthVersionMax="44" xr10:uidLastSave="{00000000-0000-0000-0000-000000000000}"/>
  <bookViews>
    <workbookView xWindow="-108" yWindow="-108" windowWidth="23256" windowHeight="12720" tabRatio="859" activeTab="12" xr2:uid="{00000000-000D-0000-FFFF-FFFF00000000}"/>
  </bookViews>
  <sheets>
    <sheet name="BIA" sheetId="14" r:id="rId1"/>
    <sheet name="1.Tonghop" sheetId="78" r:id="rId2"/>
    <sheet name="1.TH" sheetId="75" state="hidden" r:id="rId3"/>
    <sheet name="2.THXL" sheetId="77" r:id="rId4"/>
    <sheet name="2.DT" sheetId="12" state="hidden" r:id="rId5"/>
    <sheet name="5.THVL,NC,MTC" sheetId="76" state="hidden" r:id="rId6"/>
    <sheet name="3.TH CHI TIET" sheetId="1" r:id="rId7"/>
    <sheet name="4. CT NC" sheetId="68" r:id="rId8"/>
    <sheet name="5. ĐG NC" sheetId="81" r:id="rId9"/>
    <sheet name="6.mtcvtth" sheetId="72" r:id="rId10"/>
    <sheet name="7.vtth" sheetId="71" r:id="rId11"/>
    <sheet name="8.VCDD" sheetId="11" r:id="rId12"/>
    <sheet name="BKe TT" sheetId="41" r:id="rId13"/>
    <sheet name="Bảng tính ĐG TL" sheetId="82" r:id="rId14"/>
    <sheet name="VTu A" sheetId="83" r:id="rId15"/>
    <sheet name="VTu A (2)" sheetId="84" r:id="rId16"/>
  </sheets>
  <externalReferences>
    <externalReference r:id="rId17"/>
  </externalReferences>
  <definedNames>
    <definedName name="_xlnm._FilterDatabase" localSheetId="6" hidden="1">'3.TH CHI TIET'!$A$7:$AM$120</definedName>
    <definedName name="_xlnm._FilterDatabase" localSheetId="5" hidden="1">'5.THVL,NC,MTC'!$A$12:$AI$254</definedName>
    <definedName name="_xlnm._FilterDatabase" localSheetId="12" hidden="1">'BKe TT'!$A$4:$CC$259</definedName>
    <definedName name="BK1P">[1]PP1P!$B$4:$CD$76</definedName>
    <definedName name="BK3P">[1]PP3P!$B$5:$ER$299</definedName>
    <definedName name="BKHT" localSheetId="15">#REF!</definedName>
    <definedName name="BKHT">#REF!</definedName>
    <definedName name="CLVC">[1]VCTC!$E$1</definedName>
    <definedName name="CTDD">'[1]6.CT-DD'!$A$4:$AB$727</definedName>
    <definedName name="CTTBA">'[1]9.CT-TBA'!$A$28:$T$2025</definedName>
    <definedName name="DAOTD">'[1]9.CT-TBA'!$G$5</definedName>
    <definedName name="DGHOTLINE">'[1]21.CT-HOTLINE'!$B$8:$T$45</definedName>
    <definedName name="DGMTC">[1]DG!$V$4:$AD$28</definedName>
    <definedName name="DGNC">[1]DG!$P$9:$T$73</definedName>
    <definedName name="DGTN">'[1]11.TNTB'!$U$35:$AE$95</definedName>
    <definedName name="DGVCDD">'[1]14.VCDD'!$J$48:$N$100</definedName>
    <definedName name="DONGIA">[1]DG!$A$6:$H$659</definedName>
    <definedName name="HSKK">[1]VCTC!$E$2</definedName>
    <definedName name="KLDD">'[1]6.CT-DD'!$AE$5:$AL$9</definedName>
    <definedName name="LD">[1]DG!$E$72</definedName>
    <definedName name="LDL">[1]DG!$E$73</definedName>
    <definedName name="NCTBA">'[1]SO LIEU'!$M$16</definedName>
    <definedName name="NCTL">'[1]12.CP-VTTH'!$B$7:$N$77</definedName>
    <definedName name="_xlnm.Print_Area" localSheetId="2">'1.TH'!$A$2:$J$36</definedName>
    <definedName name="_xlnm.Print_Area" localSheetId="1">'1.Tonghop'!$A$2:$I$23</definedName>
    <definedName name="_xlnm.Print_Area" localSheetId="4">'2.DT'!$A$1:$F$20</definedName>
    <definedName name="_xlnm.Print_Area" localSheetId="3">'2.THXL'!$A$1:$E$16</definedName>
    <definedName name="_xlnm.Print_Area" localSheetId="6">'3.TH CHI TIET'!$B$1:$M$120</definedName>
    <definedName name="_xlnm.Print_Area" localSheetId="7">'4. CT NC'!$A$1:$G$28</definedName>
    <definedName name="_xlnm.Print_Area" localSheetId="8">'5. ĐG NC'!$A$1:$I$29</definedName>
    <definedName name="_xlnm.Print_Area" localSheetId="5">'5.THVL,NC,MTC'!$B$6:$K$254</definedName>
    <definedName name="_xlnm.Print_Area" localSheetId="9">'6.mtcvtth'!$A$1:$M$27</definedName>
    <definedName name="_xlnm.Print_Area" localSheetId="10">'7.vtth'!$A$1:$H$47</definedName>
    <definedName name="_xlnm.Print_Area" localSheetId="11">'8.VCDD'!$A$1:$C$29</definedName>
    <definedName name="_xlnm.Print_Area" localSheetId="13">'Bảng tính ĐG TL'!$C$3:$I$21</definedName>
    <definedName name="_xlnm.Print_Area" localSheetId="0">BIA!$A$1:$C$30</definedName>
    <definedName name="_xlnm.Print_Area" localSheetId="12">'BKe TT'!$E$1:$BY$247</definedName>
    <definedName name="_xlnm.Print_Area" localSheetId="15">'VTu A (2)'!$D$5:$H$24</definedName>
    <definedName name="_xlnm.Print_Titles" localSheetId="6">'3.TH CHI TIET'!$5:$6</definedName>
    <definedName name="_xlnm.Print_Titles" localSheetId="7">'4. CT NC'!$6:$6</definedName>
    <definedName name="_xlnm.Print_Titles" localSheetId="8">'5. ĐG NC'!$6:$6</definedName>
    <definedName name="_xlnm.Print_Titles" localSheetId="5">'5.THVL,NC,MTC'!$10:$11</definedName>
    <definedName name="_xlnm.Print_Titles" localSheetId="10">'7.vtth'!$5:$6</definedName>
    <definedName name="_xlnm.Print_Titles" localSheetId="12">'BKe TT'!$4:$5</definedName>
    <definedName name="T1P100">'[1]9.CT-TBA'!$B$7</definedName>
    <definedName name="T1P25">'[1]9.CT-TBA'!$B$3</definedName>
    <definedName name="T1P2X25">'[1]9.CT-TBA'!$B$8</definedName>
    <definedName name="T1P2X375">'[1]9.CT-TBA'!$B$9</definedName>
    <definedName name="T1P375">'[1]9.CT-TBA'!$B$4</definedName>
    <definedName name="T1P50">'[1]9.CT-TBA'!$B$5</definedName>
    <definedName name="T1P75">'[1]9.CT-TBA'!$B$6</definedName>
    <definedName name="T3P160">'[1]9.CT-TBA'!$B$15</definedName>
    <definedName name="T3P160N">'[1]9.CT-TBA'!$B$16</definedName>
    <definedName name="TDTR1P">'[1]9.CT-TBA'!$G$2</definedName>
    <definedName name="TDTR3P">'[1]9.CT-TBA'!$G$3</definedName>
    <definedName name="TNTB">'[1]11.TNTB'!$B$8:$L$26</definedName>
    <definedName name="TR3X25">'[1]9.CT-TBA'!$B$10</definedName>
    <definedName name="TR3X375">'[1]9.CT-TBA'!$B$11</definedName>
    <definedName name="TR3X50">'[1]9.CT-TBA'!$B$12</definedName>
    <definedName name="TR3X75">'[1]9.CT-TBA'!$B$13</definedName>
    <definedName name="TRNC3X100">'[1]9.CT-TBA'!$D$5</definedName>
    <definedName name="TRNC3X375">'[1]9.CT-TBA'!$D$4</definedName>
    <definedName name="TRNC3X50">'[1]9.CT-TBA'!$D$3</definedName>
    <definedName name="TRNC3X75">'[1]9.CT-TBA'!$D$6</definedName>
    <definedName name="XLDD">'[1]3.XL-DD'!$B$8:$I$40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84" l="1"/>
  <c r="D9" i="84"/>
  <c r="D10" i="84" s="1"/>
  <c r="D11" i="84" s="1"/>
  <c r="D12" i="84" s="1"/>
  <c r="D13" i="84" s="1"/>
  <c r="D14" i="84" s="1"/>
  <c r="D15" i="84" s="1"/>
  <c r="D16" i="84" s="1"/>
  <c r="D17" i="84" s="1"/>
  <c r="D18" i="84" s="1"/>
  <c r="D19" i="84" s="1"/>
  <c r="D20" i="84" s="1"/>
  <c r="D21" i="84" s="1"/>
  <c r="D22" i="84" s="1"/>
  <c r="D23" i="84" s="1"/>
  <c r="D24" i="84" s="1"/>
  <c r="G18" i="72" l="1"/>
  <c r="G20" i="72" s="1"/>
  <c r="G14" i="72"/>
  <c r="G16" i="72" s="1"/>
  <c r="G10" i="72"/>
  <c r="G12" i="72" s="1"/>
  <c r="G11" i="72"/>
  <c r="E39" i="71"/>
  <c r="E34" i="71"/>
  <c r="E33" i="71"/>
  <c r="E32" i="71"/>
  <c r="E28" i="71"/>
  <c r="E30" i="71"/>
  <c r="E29" i="71"/>
  <c r="B27" i="71"/>
  <c r="B23" i="71"/>
  <c r="G15" i="72" l="1"/>
  <c r="G19" i="72"/>
  <c r="A8" i="71"/>
  <c r="A9" i="71" s="1"/>
  <c r="B21" i="68"/>
  <c r="C21" i="68"/>
  <c r="D21" i="68"/>
  <c r="B22" i="68"/>
  <c r="C22" i="68"/>
  <c r="D22" i="68"/>
  <c r="F29" i="81"/>
  <c r="F27" i="81"/>
  <c r="D24" i="68"/>
  <c r="D25" i="68"/>
  <c r="D23" i="68"/>
  <c r="D13" i="68"/>
  <c r="D14" i="68"/>
  <c r="D15" i="68"/>
  <c r="D16" i="68"/>
  <c r="D17" i="68"/>
  <c r="D18" i="68"/>
  <c r="D19" i="68"/>
  <c r="D20" i="68"/>
  <c r="D12" i="68"/>
  <c r="D11" i="68"/>
  <c r="N20" i="41"/>
  <c r="N41" i="41"/>
  <c r="N54" i="41"/>
  <c r="N66" i="41"/>
  <c r="N86" i="41"/>
  <c r="N98" i="41"/>
  <c r="N140" i="41"/>
  <c r="N154" i="41"/>
  <c r="N180" i="41"/>
  <c r="N219" i="41"/>
  <c r="N246" i="41"/>
  <c r="B25" i="68"/>
  <c r="C25" i="68"/>
  <c r="B23" i="68"/>
  <c r="C23" i="68"/>
  <c r="B24" i="68"/>
  <c r="C24" i="68"/>
  <c r="B20" i="68"/>
  <c r="C20" i="68"/>
  <c r="B12" i="68"/>
  <c r="C12" i="68"/>
  <c r="B13" i="68"/>
  <c r="C13" i="68"/>
  <c r="B14" i="68"/>
  <c r="C14" i="68"/>
  <c r="B15" i="68"/>
  <c r="C15" i="68"/>
  <c r="B16" i="68"/>
  <c r="C16" i="68"/>
  <c r="B17" i="68"/>
  <c r="C17" i="68"/>
  <c r="B18" i="68"/>
  <c r="C18" i="68"/>
  <c r="B19" i="68"/>
  <c r="C19" i="68"/>
  <c r="N247" i="41" l="1"/>
  <c r="H20" i="81" l="1"/>
  <c r="H19" i="81"/>
  <c r="K18" i="81"/>
  <c r="J18" i="81"/>
  <c r="G18" i="81"/>
  <c r="F18" i="81"/>
  <c r="F24" i="1" l="1"/>
  <c r="G27" i="1"/>
  <c r="G26" i="1"/>
  <c r="G92" i="1"/>
  <c r="G83" i="1"/>
  <c r="G96" i="1"/>
  <c r="G33" i="1"/>
  <c r="G32" i="1"/>
  <c r="G31" i="1"/>
  <c r="F48" i="1"/>
  <c r="F95" i="1"/>
  <c r="F81" i="1"/>
  <c r="G72" i="1" l="1"/>
  <c r="G79" i="1" l="1"/>
  <c r="G86" i="1" s="1"/>
  <c r="K154" i="41"/>
  <c r="K140" i="41"/>
  <c r="K98" i="41"/>
  <c r="K86" i="41"/>
  <c r="K66" i="41"/>
  <c r="K54" i="41"/>
  <c r="K41" i="41"/>
  <c r="K20" i="41"/>
  <c r="F28" i="81"/>
  <c r="BW246" i="41"/>
  <c r="BV246" i="41"/>
  <c r="BU246" i="41"/>
  <c r="BT246" i="41"/>
  <c r="BS246" i="41"/>
  <c r="BR246" i="41"/>
  <c r="BQ246" i="41"/>
  <c r="BP246" i="41"/>
  <c r="BO246" i="41"/>
  <c r="BN246" i="41"/>
  <c r="BM246" i="41"/>
  <c r="BL246" i="41"/>
  <c r="BK246" i="41"/>
  <c r="BJ246" i="41"/>
  <c r="BF246" i="41"/>
  <c r="BE246" i="41"/>
  <c r="BD246" i="41"/>
  <c r="BC246" i="41"/>
  <c r="AZ246" i="41"/>
  <c r="AY246" i="41"/>
  <c r="AX246" i="41"/>
  <c r="AW246" i="41"/>
  <c r="AV246" i="41"/>
  <c r="AT246" i="41"/>
  <c r="AS246" i="41"/>
  <c r="AR246" i="41"/>
  <c r="AQ246" i="41"/>
  <c r="AP246" i="41"/>
  <c r="AO246" i="41"/>
  <c r="AM246" i="41"/>
  <c r="AL246" i="41"/>
  <c r="AK246" i="41"/>
  <c r="AJ246" i="41"/>
  <c r="AI246" i="41"/>
  <c r="AH246" i="41"/>
  <c r="AG246" i="41"/>
  <c r="AE246" i="41"/>
  <c r="AD246" i="41"/>
  <c r="AC246" i="41"/>
  <c r="AB246" i="41"/>
  <c r="AA246" i="41"/>
  <c r="Z246" i="41"/>
  <c r="Y246" i="41"/>
  <c r="X246" i="41"/>
  <c r="W246" i="41"/>
  <c r="V246" i="41"/>
  <c r="U246" i="41"/>
  <c r="S246" i="41"/>
  <c r="R246" i="41"/>
  <c r="Q246" i="41"/>
  <c r="P246" i="41"/>
  <c r="M246" i="41"/>
  <c r="BW219" i="41"/>
  <c r="BV219" i="41"/>
  <c r="BU219" i="41"/>
  <c r="BT219" i="41"/>
  <c r="BS219" i="41"/>
  <c r="BR219" i="41"/>
  <c r="BQ219" i="41"/>
  <c r="BP219" i="41"/>
  <c r="BO219" i="41"/>
  <c r="BN219" i="41"/>
  <c r="BM219" i="41"/>
  <c r="BL219" i="41"/>
  <c r="BK219" i="41"/>
  <c r="BJ219" i="41"/>
  <c r="BF219" i="41"/>
  <c r="BE219" i="41"/>
  <c r="BD219" i="41"/>
  <c r="BC219" i="41"/>
  <c r="AZ219" i="41"/>
  <c r="AY219" i="41"/>
  <c r="AX219" i="41"/>
  <c r="AW219" i="41"/>
  <c r="AV219" i="41"/>
  <c r="AT219" i="41"/>
  <c r="AS219" i="41"/>
  <c r="AR219" i="41"/>
  <c r="AQ219" i="41"/>
  <c r="AP219" i="41"/>
  <c r="AO219" i="41"/>
  <c r="AM219" i="41"/>
  <c r="AL219" i="41"/>
  <c r="AK219" i="41"/>
  <c r="AJ219" i="41"/>
  <c r="AI219" i="41"/>
  <c r="AH219" i="41"/>
  <c r="AG219" i="41"/>
  <c r="AE219" i="41"/>
  <c r="AD219" i="41"/>
  <c r="AC219" i="41"/>
  <c r="AB219" i="41"/>
  <c r="AA219" i="41"/>
  <c r="Z219" i="41"/>
  <c r="Y219" i="41"/>
  <c r="X219" i="41"/>
  <c r="W219" i="41"/>
  <c r="V219" i="41"/>
  <c r="U219" i="41"/>
  <c r="S219" i="41"/>
  <c r="R219" i="41"/>
  <c r="Q219" i="41"/>
  <c r="P219" i="41"/>
  <c r="M219" i="41"/>
  <c r="BW180" i="41"/>
  <c r="BV180" i="41"/>
  <c r="BU180" i="41"/>
  <c r="BT180" i="41"/>
  <c r="BS180" i="41"/>
  <c r="BR180" i="41"/>
  <c r="BQ180" i="41"/>
  <c r="BP180" i="41"/>
  <c r="BN180" i="41"/>
  <c r="BM180" i="41"/>
  <c r="BL180" i="41"/>
  <c r="BK180" i="41"/>
  <c r="BJ180" i="41"/>
  <c r="BF180" i="41"/>
  <c r="BE180" i="41"/>
  <c r="BD180" i="41"/>
  <c r="BC180" i="41"/>
  <c r="AZ180" i="41"/>
  <c r="AY180" i="41"/>
  <c r="AX180" i="41"/>
  <c r="AW180" i="41"/>
  <c r="AV180" i="41"/>
  <c r="AT180" i="41"/>
  <c r="AS180" i="41"/>
  <c r="AR180" i="41"/>
  <c r="AQ180" i="41"/>
  <c r="AP180" i="41"/>
  <c r="AO180" i="41"/>
  <c r="AM180" i="41"/>
  <c r="AL180" i="41"/>
  <c r="AJ180" i="41"/>
  <c r="AI180" i="41"/>
  <c r="AH180" i="41"/>
  <c r="AG180" i="41"/>
  <c r="AE180" i="41"/>
  <c r="AB180" i="41"/>
  <c r="AA180" i="41"/>
  <c r="Z180" i="41"/>
  <c r="Y180" i="41"/>
  <c r="X180" i="41"/>
  <c r="W180" i="41"/>
  <c r="U180" i="41"/>
  <c r="S180" i="41"/>
  <c r="R180" i="41"/>
  <c r="Q180" i="41"/>
  <c r="P180" i="41"/>
  <c r="M180" i="41"/>
  <c r="BW154" i="41"/>
  <c r="BV154" i="41"/>
  <c r="BU154" i="41"/>
  <c r="BT154" i="41"/>
  <c r="BS154" i="41"/>
  <c r="BR154" i="41"/>
  <c r="BQ154" i="41"/>
  <c r="BP154" i="41"/>
  <c r="BO154" i="41"/>
  <c r="BN154" i="41"/>
  <c r="BM154" i="41"/>
  <c r="BL154" i="41"/>
  <c r="BK154" i="41"/>
  <c r="BJ154" i="41"/>
  <c r="BF154" i="41"/>
  <c r="BE154" i="41"/>
  <c r="BD154" i="41"/>
  <c r="BC154" i="41"/>
  <c r="AZ154" i="41"/>
  <c r="AY154" i="41"/>
  <c r="AX154" i="41"/>
  <c r="AW154" i="41"/>
  <c r="AV154" i="41"/>
  <c r="AT154" i="41"/>
  <c r="AS154" i="41"/>
  <c r="AR154" i="41"/>
  <c r="AQ154" i="41"/>
  <c r="AP154" i="41"/>
  <c r="AO154" i="41"/>
  <c r="AM154" i="41"/>
  <c r="AL154" i="41"/>
  <c r="AK154" i="41"/>
  <c r="AJ154" i="41"/>
  <c r="AI154" i="41"/>
  <c r="AH154" i="41"/>
  <c r="AG154" i="41"/>
  <c r="AE154" i="41"/>
  <c r="AD154" i="41"/>
  <c r="AC154" i="41"/>
  <c r="AB154" i="41"/>
  <c r="AA154" i="41"/>
  <c r="Z154" i="41"/>
  <c r="Y154" i="41"/>
  <c r="X154" i="41"/>
  <c r="W154" i="41"/>
  <c r="V154" i="41"/>
  <c r="U154" i="41"/>
  <c r="S154" i="41"/>
  <c r="R154" i="41"/>
  <c r="Q154" i="41"/>
  <c r="P154" i="41"/>
  <c r="M154" i="41"/>
  <c r="BW140" i="41"/>
  <c r="BV140" i="41"/>
  <c r="BU140" i="41"/>
  <c r="BT140" i="41"/>
  <c r="BS140" i="41"/>
  <c r="BR140" i="41"/>
  <c r="BQ140" i="41"/>
  <c r="BP140" i="41"/>
  <c r="BO140" i="41"/>
  <c r="BN140" i="41"/>
  <c r="BM140" i="41"/>
  <c r="BK140" i="41"/>
  <c r="BJ140" i="41"/>
  <c r="BF140" i="41"/>
  <c r="BE140" i="41"/>
  <c r="BC140" i="41"/>
  <c r="AZ140" i="41"/>
  <c r="AY140" i="41"/>
  <c r="AX140" i="41"/>
  <c r="AW140" i="41"/>
  <c r="AV140" i="41"/>
  <c r="AT140" i="41"/>
  <c r="AS140" i="41"/>
  <c r="AR140" i="41"/>
  <c r="AQ140" i="41"/>
  <c r="AP140" i="41"/>
  <c r="AO140" i="41"/>
  <c r="AM140" i="41"/>
  <c r="AL140" i="41"/>
  <c r="AK140" i="41"/>
  <c r="AJ140" i="41"/>
  <c r="AI140" i="41"/>
  <c r="AH140" i="41"/>
  <c r="AG140" i="41"/>
  <c r="AE140" i="41"/>
  <c r="AD140" i="41"/>
  <c r="AC140" i="41"/>
  <c r="AB140" i="41"/>
  <c r="AA140" i="41"/>
  <c r="Z140" i="41"/>
  <c r="Y140" i="41"/>
  <c r="X140" i="41"/>
  <c r="W140" i="41"/>
  <c r="V140" i="41"/>
  <c r="U140" i="41"/>
  <c r="T140" i="41"/>
  <c r="S140" i="41"/>
  <c r="R140" i="41"/>
  <c r="Q140" i="41"/>
  <c r="P140" i="41"/>
  <c r="M140" i="41"/>
  <c r="BW98" i="41"/>
  <c r="BV98" i="41"/>
  <c r="BU98" i="41"/>
  <c r="BT98" i="41"/>
  <c r="BS98" i="41"/>
  <c r="BR98" i="41"/>
  <c r="BQ98" i="41"/>
  <c r="BP98" i="41"/>
  <c r="BO98" i="41"/>
  <c r="BN98" i="41"/>
  <c r="BM98" i="41"/>
  <c r="BK98" i="41"/>
  <c r="BJ98" i="41"/>
  <c r="BI98" i="41"/>
  <c r="BH98" i="41"/>
  <c r="BG98" i="41"/>
  <c r="BF98" i="41"/>
  <c r="BE98" i="41"/>
  <c r="BC98" i="41"/>
  <c r="AZ98" i="41"/>
  <c r="AY98" i="41"/>
  <c r="AX98" i="41"/>
  <c r="AW98" i="41"/>
  <c r="AV98" i="41"/>
  <c r="AT98" i="41"/>
  <c r="AS98" i="41"/>
  <c r="AR98" i="41"/>
  <c r="AQ98" i="41"/>
  <c r="AP98" i="41"/>
  <c r="AO98" i="41"/>
  <c r="AM98" i="41"/>
  <c r="AL98" i="41"/>
  <c r="AK98" i="41"/>
  <c r="AJ98" i="41"/>
  <c r="AI98" i="41"/>
  <c r="AH98" i="41"/>
  <c r="AG98" i="41"/>
  <c r="AE98" i="41"/>
  <c r="AD98" i="41"/>
  <c r="AC98" i="41"/>
  <c r="AB98" i="41"/>
  <c r="AA98" i="41"/>
  <c r="Z98" i="41"/>
  <c r="Y98" i="41"/>
  <c r="X98" i="41"/>
  <c r="W98" i="41"/>
  <c r="V98" i="41"/>
  <c r="U98" i="41"/>
  <c r="S98" i="41"/>
  <c r="R98" i="41"/>
  <c r="Q98" i="41"/>
  <c r="P98" i="41"/>
  <c r="M98" i="41"/>
  <c r="BW86" i="41"/>
  <c r="BV86" i="41"/>
  <c r="BU86" i="41"/>
  <c r="BT86" i="41"/>
  <c r="BS86" i="41"/>
  <c r="BR86" i="41"/>
  <c r="BQ86" i="41"/>
  <c r="BP86" i="41"/>
  <c r="BO86" i="41"/>
  <c r="BN86" i="41"/>
  <c r="BM86" i="41"/>
  <c r="BL86" i="41"/>
  <c r="BK86" i="41"/>
  <c r="BJ86" i="41"/>
  <c r="BI86" i="41"/>
  <c r="BH86" i="41"/>
  <c r="BG86" i="41"/>
  <c r="BF86" i="41"/>
  <c r="BE86" i="41"/>
  <c r="BC86" i="41"/>
  <c r="AZ86" i="41"/>
  <c r="AY86" i="41"/>
  <c r="AX86" i="41"/>
  <c r="AW86" i="41"/>
  <c r="AV86" i="41"/>
  <c r="AT86" i="41"/>
  <c r="AS86" i="41"/>
  <c r="AR86" i="41"/>
  <c r="AQ86" i="41"/>
  <c r="AP86" i="41"/>
  <c r="AO86" i="41"/>
  <c r="AM86" i="41"/>
  <c r="AL86" i="41"/>
  <c r="AK86" i="41"/>
  <c r="AJ86" i="41"/>
  <c r="AI86" i="41"/>
  <c r="AH86" i="41"/>
  <c r="AG86" i="41"/>
  <c r="AE86" i="41"/>
  <c r="AD86" i="41"/>
  <c r="AC86" i="41"/>
  <c r="AB86" i="41"/>
  <c r="AA86" i="41"/>
  <c r="Z86" i="41"/>
  <c r="Y86" i="41"/>
  <c r="X86" i="41"/>
  <c r="W86" i="41"/>
  <c r="V86" i="41"/>
  <c r="U86" i="41"/>
  <c r="T86" i="41"/>
  <c r="S86" i="41"/>
  <c r="R86" i="41"/>
  <c r="Q86" i="41"/>
  <c r="P86" i="41"/>
  <c r="M86" i="41"/>
  <c r="BW66" i="41"/>
  <c r="BV66" i="41"/>
  <c r="BU66" i="41"/>
  <c r="BT66" i="41"/>
  <c r="BS66" i="41"/>
  <c r="BR66" i="41"/>
  <c r="BQ66" i="41"/>
  <c r="BP66" i="41"/>
  <c r="BO66" i="41"/>
  <c r="BN66" i="41"/>
  <c r="BM66" i="41"/>
  <c r="BL66" i="41"/>
  <c r="BK66" i="41"/>
  <c r="BJ66" i="41"/>
  <c r="BI66" i="41"/>
  <c r="BH66" i="41"/>
  <c r="BG66" i="41"/>
  <c r="BF66" i="41"/>
  <c r="BE66" i="41"/>
  <c r="BC66" i="41"/>
  <c r="AZ66" i="41"/>
  <c r="AY66" i="41"/>
  <c r="AX66" i="41"/>
  <c r="AW66" i="41"/>
  <c r="AV66" i="41"/>
  <c r="AT66" i="41"/>
  <c r="AS66" i="41"/>
  <c r="AR66" i="41"/>
  <c r="AQ66" i="41"/>
  <c r="AP66" i="41"/>
  <c r="AO66" i="41"/>
  <c r="AM66" i="41"/>
  <c r="AL66" i="41"/>
  <c r="AK66" i="41"/>
  <c r="AJ66" i="41"/>
  <c r="AI66" i="41"/>
  <c r="AH66" i="41"/>
  <c r="AG66" i="41"/>
  <c r="AE66" i="41"/>
  <c r="AD66" i="41"/>
  <c r="AC66" i="41"/>
  <c r="AB66" i="41"/>
  <c r="AA66" i="41"/>
  <c r="Z66" i="41"/>
  <c r="Y66" i="41"/>
  <c r="X66" i="41"/>
  <c r="W66" i="41"/>
  <c r="V66" i="41"/>
  <c r="U66" i="41"/>
  <c r="T66" i="41"/>
  <c r="S66" i="41"/>
  <c r="R66" i="41"/>
  <c r="Q66" i="41"/>
  <c r="P66" i="41"/>
  <c r="M66" i="41"/>
  <c r="BW54" i="41"/>
  <c r="BV54" i="41"/>
  <c r="BU54" i="41"/>
  <c r="BT54" i="41"/>
  <c r="BS54" i="41"/>
  <c r="BR54" i="41"/>
  <c r="BQ54" i="41"/>
  <c r="BP54" i="41"/>
  <c r="BO54" i="41"/>
  <c r="BN54" i="41"/>
  <c r="BM54" i="41"/>
  <c r="BL54" i="41"/>
  <c r="BK54" i="41"/>
  <c r="BJ54" i="41"/>
  <c r="BI54" i="41"/>
  <c r="BH54" i="41"/>
  <c r="BG54" i="41"/>
  <c r="BF54" i="41"/>
  <c r="BE54" i="41"/>
  <c r="BC54" i="41"/>
  <c r="AZ54" i="41"/>
  <c r="AY54" i="41"/>
  <c r="AX54" i="41"/>
  <c r="AW54" i="41"/>
  <c r="AV54" i="41"/>
  <c r="AT54" i="41"/>
  <c r="AS54" i="41"/>
  <c r="AR54" i="41"/>
  <c r="AQ54" i="41"/>
  <c r="AP54" i="41"/>
  <c r="AO54" i="41"/>
  <c r="AM54" i="41"/>
  <c r="AL54" i="41"/>
  <c r="AK54" i="41"/>
  <c r="AJ54" i="41"/>
  <c r="AI54" i="41"/>
  <c r="AH54" i="41"/>
  <c r="AG54" i="41"/>
  <c r="AE54" i="41"/>
  <c r="AD54" i="41"/>
  <c r="AC54" i="41"/>
  <c r="AB54" i="41"/>
  <c r="AA54" i="41"/>
  <c r="Z54" i="41"/>
  <c r="Y54" i="41"/>
  <c r="X54" i="41"/>
  <c r="W54" i="41"/>
  <c r="V54" i="41"/>
  <c r="U54" i="41"/>
  <c r="T54" i="41"/>
  <c r="S54" i="41"/>
  <c r="R54" i="41"/>
  <c r="Q54" i="41"/>
  <c r="P54" i="41"/>
  <c r="M54" i="41"/>
  <c r="BW41" i="41"/>
  <c r="BV41" i="41"/>
  <c r="BU41" i="41"/>
  <c r="BT41" i="41"/>
  <c r="BS41" i="41"/>
  <c r="BR41" i="41"/>
  <c r="BQ41" i="41"/>
  <c r="BP41" i="41"/>
  <c r="BO41" i="41"/>
  <c r="BN41" i="41"/>
  <c r="BM41" i="41"/>
  <c r="BL41" i="41"/>
  <c r="BK41" i="41"/>
  <c r="BJ41" i="41"/>
  <c r="BI41" i="41"/>
  <c r="BH41" i="41"/>
  <c r="BG41" i="41"/>
  <c r="BF41" i="41"/>
  <c r="BE41" i="41"/>
  <c r="BC41" i="41"/>
  <c r="AZ41" i="41"/>
  <c r="AY41" i="41"/>
  <c r="AX41" i="41"/>
  <c r="AW41" i="41"/>
  <c r="AV41" i="41"/>
  <c r="AT41" i="41"/>
  <c r="AS41" i="41"/>
  <c r="AR41" i="41"/>
  <c r="AQ41" i="41"/>
  <c r="AP41" i="41"/>
  <c r="AO41" i="41"/>
  <c r="AM41" i="41"/>
  <c r="AL41" i="41"/>
  <c r="AK41" i="41"/>
  <c r="AJ41" i="41"/>
  <c r="AI41" i="41"/>
  <c r="AH41" i="41"/>
  <c r="AG41" i="41"/>
  <c r="AE41" i="41"/>
  <c r="AD41" i="41"/>
  <c r="AC41" i="41"/>
  <c r="AB41" i="41"/>
  <c r="AA41" i="41"/>
  <c r="Z41" i="41"/>
  <c r="Y41" i="41"/>
  <c r="X41" i="41"/>
  <c r="W41" i="41"/>
  <c r="V41" i="41"/>
  <c r="U41" i="41"/>
  <c r="T41" i="41"/>
  <c r="S41" i="41"/>
  <c r="R41" i="41"/>
  <c r="Q41" i="41"/>
  <c r="P41" i="41"/>
  <c r="M41" i="41"/>
  <c r="BW20" i="41"/>
  <c r="BV20" i="41"/>
  <c r="BU20" i="41"/>
  <c r="BT20" i="41"/>
  <c r="BS20" i="41"/>
  <c r="BR20" i="41"/>
  <c r="BQ20" i="41"/>
  <c r="BP20" i="41"/>
  <c r="BO20" i="41"/>
  <c r="BN20" i="41"/>
  <c r="BM20" i="41"/>
  <c r="BL20" i="41"/>
  <c r="BK20" i="41"/>
  <c r="BJ20" i="41"/>
  <c r="BG20" i="41"/>
  <c r="BF20" i="41"/>
  <c r="BE20" i="41"/>
  <c r="BC20" i="41"/>
  <c r="AZ20" i="41"/>
  <c r="AX20" i="41"/>
  <c r="AW20" i="41"/>
  <c r="AV20" i="41"/>
  <c r="AT20" i="41"/>
  <c r="AS20" i="41"/>
  <c r="AR20" i="41"/>
  <c r="AQ20" i="41"/>
  <c r="AP20" i="41"/>
  <c r="AO20" i="41"/>
  <c r="AM20" i="41"/>
  <c r="AL20" i="41"/>
  <c r="AK20" i="41"/>
  <c r="AJ20" i="41"/>
  <c r="AI20" i="41"/>
  <c r="AH20" i="41"/>
  <c r="AG20" i="41"/>
  <c r="AE20" i="41"/>
  <c r="AD20" i="41"/>
  <c r="AC20" i="41"/>
  <c r="AB20" i="41"/>
  <c r="AA20" i="41"/>
  <c r="Z20" i="41"/>
  <c r="Y20" i="41"/>
  <c r="X20" i="41"/>
  <c r="W20" i="41"/>
  <c r="V20" i="41"/>
  <c r="U20" i="41"/>
  <c r="S20" i="41"/>
  <c r="R20" i="41"/>
  <c r="Q20" i="41"/>
  <c r="P20" i="41"/>
  <c r="M20" i="41"/>
  <c r="W247" i="41" l="1"/>
  <c r="AA247" i="41"/>
  <c r="E87" i="1" s="1"/>
  <c r="AE247" i="41"/>
  <c r="E94" i="1" s="1"/>
  <c r="M94" i="1" s="1"/>
  <c r="AJ247" i="41"/>
  <c r="AO247" i="41"/>
  <c r="E107" i="1" s="1"/>
  <c r="AS247" i="41"/>
  <c r="E114" i="1" s="1"/>
  <c r="E115" i="1" s="1"/>
  <c r="BP247" i="41"/>
  <c r="D27" i="71" s="1"/>
  <c r="BT247" i="41"/>
  <c r="AG247" i="41"/>
  <c r="AZ247" i="41"/>
  <c r="E28" i="1" s="1"/>
  <c r="E33" i="1" s="1"/>
  <c r="BM247" i="41"/>
  <c r="BQ247" i="41"/>
  <c r="S247" i="41"/>
  <c r="E63" i="1" s="1"/>
  <c r="AB247" i="41"/>
  <c r="P247" i="41"/>
  <c r="U247" i="41"/>
  <c r="AQ247" i="41"/>
  <c r="AV247" i="41"/>
  <c r="E101" i="1" s="1"/>
  <c r="BC247" i="41"/>
  <c r="D9" i="71" s="1"/>
  <c r="BV247" i="41"/>
  <c r="M247" i="41"/>
  <c r="E11" i="68" s="1"/>
  <c r="X247" i="41"/>
  <c r="E76" i="1" s="1"/>
  <c r="Q247" i="41"/>
  <c r="E39" i="1" s="1"/>
  <c r="AI247" i="41"/>
  <c r="AM247" i="41"/>
  <c r="AR247" i="41"/>
  <c r="E110" i="1" s="1"/>
  <c r="K110" i="1" s="1"/>
  <c r="AW247" i="41"/>
  <c r="E102" i="1" s="1"/>
  <c r="BE247" i="41"/>
  <c r="BK247" i="41"/>
  <c r="BS247" i="41"/>
  <c r="D36" i="71" s="1"/>
  <c r="BW247" i="41"/>
  <c r="D40" i="71" s="1"/>
  <c r="G40" i="71" s="1"/>
  <c r="E30" i="1"/>
  <c r="R247" i="41"/>
  <c r="E46" i="1" s="1"/>
  <c r="Z247" i="41"/>
  <c r="E80" i="1" s="1"/>
  <c r="AH247" i="41"/>
  <c r="AL247" i="41"/>
  <c r="E105" i="1" s="1"/>
  <c r="AP247" i="41"/>
  <c r="E108" i="1" s="1"/>
  <c r="AT247" i="41"/>
  <c r="E113" i="1" s="1"/>
  <c r="AX247" i="41"/>
  <c r="E111" i="1" s="1"/>
  <c r="BF247" i="41"/>
  <c r="BJ247" i="41"/>
  <c r="BN247" i="41"/>
  <c r="BR247" i="41"/>
  <c r="D31" i="71" s="1"/>
  <c r="BU247" i="41"/>
  <c r="Y247" i="41"/>
  <c r="E84" i="1" s="1"/>
  <c r="AN245" i="41"/>
  <c r="AN244" i="41"/>
  <c r="AN243" i="41"/>
  <c r="AN242" i="41"/>
  <c r="AN241" i="41"/>
  <c r="AN240" i="41"/>
  <c r="AN239" i="41"/>
  <c r="AN238" i="41"/>
  <c r="AN237" i="41"/>
  <c r="AN236" i="41"/>
  <c r="AN235" i="41"/>
  <c r="AN234" i="41"/>
  <c r="AN233" i="41"/>
  <c r="AN232" i="41"/>
  <c r="AN231" i="41"/>
  <c r="AN230" i="41"/>
  <c r="AN228" i="41"/>
  <c r="AN227" i="41"/>
  <c r="AN226" i="41"/>
  <c r="AN225" i="41"/>
  <c r="AN224" i="41"/>
  <c r="AN223" i="41"/>
  <c r="AN222" i="41"/>
  <c r="AN221" i="41"/>
  <c r="AN229" i="41"/>
  <c r="AF244" i="41"/>
  <c r="AF243" i="41"/>
  <c r="AF242" i="41"/>
  <c r="AF241" i="41"/>
  <c r="AF240" i="41"/>
  <c r="AF239" i="41"/>
  <c r="AF238" i="41"/>
  <c r="AF237" i="41"/>
  <c r="AF236" i="41"/>
  <c r="AF235" i="41"/>
  <c r="AF234" i="41"/>
  <c r="AF233" i="41"/>
  <c r="AF232" i="41"/>
  <c r="AF231" i="41"/>
  <c r="AF230" i="41"/>
  <c r="AF229" i="41"/>
  <c r="AF228" i="41"/>
  <c r="AF227" i="41"/>
  <c r="AF226" i="41"/>
  <c r="AF225" i="41"/>
  <c r="AF224" i="41"/>
  <c r="AF223" i="41"/>
  <c r="AF222" i="41"/>
  <c r="AF221" i="41"/>
  <c r="AF245" i="41"/>
  <c r="BA245" i="41"/>
  <c r="BA244" i="41"/>
  <c r="BA243" i="41"/>
  <c r="BA242" i="41"/>
  <c r="BA241" i="41"/>
  <c r="BA240" i="41"/>
  <c r="BA239" i="41"/>
  <c r="BA238" i="41"/>
  <c r="BA237" i="41"/>
  <c r="BA236" i="41"/>
  <c r="BA235" i="41"/>
  <c r="BA234" i="41"/>
  <c r="BA233" i="41"/>
  <c r="BA232" i="41"/>
  <c r="BA231" i="41"/>
  <c r="BA230" i="41"/>
  <c r="BA229" i="41"/>
  <c r="BA228" i="41"/>
  <c r="BA227" i="41"/>
  <c r="BA226" i="41"/>
  <c r="BA225" i="41"/>
  <c r="BA224" i="41"/>
  <c r="BA223" i="41"/>
  <c r="BA222" i="41"/>
  <c r="BA221" i="41"/>
  <c r="BA218" i="41"/>
  <c r="BA217" i="41"/>
  <c r="BA216" i="41"/>
  <c r="BA215" i="41"/>
  <c r="BA214" i="41"/>
  <c r="BA213" i="41"/>
  <c r="BA212" i="41"/>
  <c r="BA211" i="41"/>
  <c r="BA210" i="41"/>
  <c r="BA209" i="41"/>
  <c r="BA208" i="41"/>
  <c r="BA207" i="41"/>
  <c r="BA206" i="41"/>
  <c r="BA205" i="41"/>
  <c r="BA204" i="41"/>
  <c r="BA203" i="41"/>
  <c r="BA202" i="41"/>
  <c r="BA201" i="41"/>
  <c r="BA200" i="41"/>
  <c r="BA199" i="41"/>
  <c r="BA198" i="41"/>
  <c r="BA197" i="41"/>
  <c r="BA196" i="41"/>
  <c r="BA195" i="41"/>
  <c r="BA194" i="41"/>
  <c r="BA193" i="41"/>
  <c r="BA192" i="41"/>
  <c r="BA191" i="41"/>
  <c r="BA190" i="41"/>
  <c r="BA189" i="41"/>
  <c r="BA188" i="41"/>
  <c r="BA187" i="41"/>
  <c r="BA186" i="41"/>
  <c r="BA185" i="41"/>
  <c r="BA184" i="41"/>
  <c r="BA183" i="41"/>
  <c r="BA182" i="41"/>
  <c r="AU245" i="41"/>
  <c r="AU244" i="41"/>
  <c r="AU243" i="41"/>
  <c r="AU242" i="41"/>
  <c r="AU241" i="41"/>
  <c r="AU240" i="41"/>
  <c r="AU239" i="41"/>
  <c r="AU238" i="41"/>
  <c r="AU237" i="41"/>
  <c r="AU236" i="41"/>
  <c r="AU235" i="41"/>
  <c r="AU234" i="41"/>
  <c r="AU233" i="41"/>
  <c r="AU232" i="41"/>
  <c r="AU231" i="41"/>
  <c r="AU230" i="41"/>
  <c r="AU229" i="41"/>
  <c r="AU228" i="41"/>
  <c r="AU227" i="41"/>
  <c r="AU226" i="41"/>
  <c r="AU225" i="41"/>
  <c r="AU224" i="41"/>
  <c r="AU223" i="41"/>
  <c r="AU222" i="41"/>
  <c r="AU221" i="41"/>
  <c r="BI245" i="41"/>
  <c r="BH245" i="41"/>
  <c r="BG245" i="41"/>
  <c r="BI244" i="41"/>
  <c r="BH244" i="41"/>
  <c r="BG244" i="41"/>
  <c r="BI243" i="41"/>
  <c r="BH243" i="41"/>
  <c r="BG243" i="41"/>
  <c r="BI242" i="41"/>
  <c r="BH242" i="41"/>
  <c r="BG242" i="41"/>
  <c r="BI241" i="41"/>
  <c r="BH241" i="41"/>
  <c r="BG241" i="41"/>
  <c r="BI240" i="41"/>
  <c r="BH240" i="41"/>
  <c r="BG240" i="41"/>
  <c r="BI239" i="41"/>
  <c r="BH239" i="41"/>
  <c r="BG239" i="41"/>
  <c r="BI238" i="41"/>
  <c r="BH238" i="41"/>
  <c r="BG238" i="41"/>
  <c r="BI237" i="41"/>
  <c r="BH237" i="41"/>
  <c r="BG237" i="41"/>
  <c r="BI236" i="41"/>
  <c r="BH236" i="41"/>
  <c r="BG236" i="41"/>
  <c r="BI235" i="41"/>
  <c r="BH235" i="41"/>
  <c r="BG235" i="41"/>
  <c r="BI234" i="41"/>
  <c r="BH234" i="41"/>
  <c r="BG234" i="41"/>
  <c r="BI233" i="41"/>
  <c r="BH233" i="41"/>
  <c r="BG233" i="41"/>
  <c r="BI232" i="41"/>
  <c r="BH232" i="41"/>
  <c r="BG232" i="41"/>
  <c r="BI231" i="41"/>
  <c r="BH231" i="41"/>
  <c r="BG231" i="41"/>
  <c r="BI230" i="41"/>
  <c r="BH230" i="41"/>
  <c r="BG230" i="41"/>
  <c r="BI229" i="41"/>
  <c r="BH229" i="41"/>
  <c r="BG229" i="41"/>
  <c r="BI228" i="41"/>
  <c r="BH228" i="41"/>
  <c r="BG228" i="41"/>
  <c r="BI227" i="41"/>
  <c r="BH227" i="41"/>
  <c r="BG227" i="41"/>
  <c r="BI226" i="41"/>
  <c r="BH226" i="41"/>
  <c r="BG226" i="41"/>
  <c r="BI225" i="41"/>
  <c r="BH225" i="41"/>
  <c r="BG225" i="41"/>
  <c r="BI224" i="41"/>
  <c r="BH224" i="41"/>
  <c r="BG224" i="41"/>
  <c r="BI223" i="41"/>
  <c r="BH223" i="41"/>
  <c r="BG223" i="41"/>
  <c r="BI222" i="41"/>
  <c r="BH222" i="41"/>
  <c r="BG222" i="41"/>
  <c r="BI221" i="41"/>
  <c r="BH221" i="41"/>
  <c r="BG221" i="41"/>
  <c r="AU218" i="41"/>
  <c r="AU217" i="41"/>
  <c r="AU216" i="41"/>
  <c r="AU215" i="41"/>
  <c r="AU214" i="41"/>
  <c r="AU213" i="41"/>
  <c r="AU212" i="41"/>
  <c r="AU211" i="41"/>
  <c r="AU210" i="41"/>
  <c r="AU209" i="41"/>
  <c r="AU208" i="41"/>
  <c r="AU207" i="41"/>
  <c r="AU206" i="41"/>
  <c r="AU205" i="41"/>
  <c r="AU204" i="41"/>
  <c r="AU203" i="41"/>
  <c r="AU202" i="41"/>
  <c r="AU201" i="41"/>
  <c r="AU200" i="41"/>
  <c r="AU199" i="41"/>
  <c r="AU198" i="41"/>
  <c r="AU197" i="41"/>
  <c r="AU196" i="41"/>
  <c r="AU195" i="41"/>
  <c r="AU194" i="41"/>
  <c r="AU193" i="41"/>
  <c r="AU192" i="41"/>
  <c r="AU191" i="41"/>
  <c r="AU190" i="41"/>
  <c r="AU189" i="41"/>
  <c r="AU188" i="41"/>
  <c r="AU187" i="41"/>
  <c r="AU186" i="41"/>
  <c r="AU185" i="41"/>
  <c r="AU184" i="41"/>
  <c r="AU183" i="41"/>
  <c r="AU182" i="41"/>
  <c r="AF218" i="41"/>
  <c r="AF217" i="41"/>
  <c r="AF216" i="41"/>
  <c r="AF215" i="41"/>
  <c r="AF214" i="41"/>
  <c r="AF213" i="41"/>
  <c r="AF212" i="41"/>
  <c r="AF211" i="41"/>
  <c r="AF210" i="41"/>
  <c r="AF209" i="41"/>
  <c r="AF208" i="41"/>
  <c r="AF207" i="41"/>
  <c r="AF206" i="41"/>
  <c r="AF205" i="41"/>
  <c r="AF204" i="41"/>
  <c r="AF203" i="41"/>
  <c r="AF202" i="41"/>
  <c r="AF201" i="41"/>
  <c r="AF200" i="41"/>
  <c r="AF199" i="41"/>
  <c r="AF198" i="41"/>
  <c r="AF197" i="41"/>
  <c r="AF196" i="41"/>
  <c r="AF195" i="41"/>
  <c r="AF194" i="41"/>
  <c r="AF193" i="41"/>
  <c r="AF192" i="41"/>
  <c r="AF191" i="41"/>
  <c r="AF190" i="41"/>
  <c r="AF189" i="41"/>
  <c r="AF188" i="41"/>
  <c r="AF187" i="41"/>
  <c r="AF186" i="41"/>
  <c r="AF185" i="41"/>
  <c r="AF184" i="41"/>
  <c r="AF183" i="41"/>
  <c r="AF182" i="41"/>
  <c r="BI218" i="41"/>
  <c r="BH218" i="41"/>
  <c r="BG218" i="41"/>
  <c r="BI217" i="41"/>
  <c r="BH217" i="41"/>
  <c r="BG217" i="41"/>
  <c r="BI216" i="41"/>
  <c r="BH216" i="41"/>
  <c r="BG216" i="41"/>
  <c r="BI215" i="41"/>
  <c r="BH215" i="41"/>
  <c r="BG215" i="41"/>
  <c r="BI214" i="41"/>
  <c r="BH214" i="41"/>
  <c r="BG214" i="41"/>
  <c r="BI213" i="41"/>
  <c r="BH213" i="41"/>
  <c r="BG213" i="41"/>
  <c r="BI212" i="41"/>
  <c r="BH212" i="41"/>
  <c r="BG212" i="41"/>
  <c r="BI211" i="41"/>
  <c r="BH211" i="41"/>
  <c r="BG211" i="41"/>
  <c r="BI210" i="41"/>
  <c r="BH210" i="41"/>
  <c r="BG210" i="41"/>
  <c r="BI209" i="41"/>
  <c r="BH209" i="41"/>
  <c r="BG209" i="41"/>
  <c r="BI208" i="41"/>
  <c r="BH208" i="41"/>
  <c r="BG208" i="41"/>
  <c r="BI207" i="41"/>
  <c r="BH207" i="41"/>
  <c r="BG207" i="41"/>
  <c r="BI206" i="41"/>
  <c r="BH206" i="41"/>
  <c r="BG206" i="41"/>
  <c r="BI205" i="41"/>
  <c r="BH205" i="41"/>
  <c r="BG205" i="41"/>
  <c r="BI204" i="41"/>
  <c r="BH204" i="41"/>
  <c r="BG204" i="41"/>
  <c r="BI203" i="41"/>
  <c r="BH203" i="41"/>
  <c r="BG203" i="41"/>
  <c r="BI202" i="41"/>
  <c r="BH202" i="41"/>
  <c r="BG202" i="41"/>
  <c r="BI201" i="41"/>
  <c r="BH201" i="41"/>
  <c r="BG201" i="41"/>
  <c r="BI200" i="41"/>
  <c r="BH200" i="41"/>
  <c r="BG200" i="41"/>
  <c r="BI199" i="41"/>
  <c r="BH199" i="41"/>
  <c r="BG199" i="41"/>
  <c r="BI198" i="41"/>
  <c r="BH198" i="41"/>
  <c r="BG198" i="41"/>
  <c r="BI197" i="41"/>
  <c r="BH197" i="41"/>
  <c r="BG197" i="41"/>
  <c r="BI196" i="41"/>
  <c r="BH196" i="41"/>
  <c r="BG196" i="41"/>
  <c r="BI195" i="41"/>
  <c r="BH195" i="41"/>
  <c r="BG195" i="41"/>
  <c r="BI194" i="41"/>
  <c r="BG194" i="41"/>
  <c r="BI193" i="41"/>
  <c r="BH193" i="41"/>
  <c r="BG193" i="41"/>
  <c r="BI192" i="41"/>
  <c r="BH192" i="41"/>
  <c r="BG192" i="41"/>
  <c r="BI191" i="41"/>
  <c r="BH191" i="41"/>
  <c r="BG191" i="41"/>
  <c r="BI190" i="41"/>
  <c r="BH190" i="41"/>
  <c r="BG190" i="41"/>
  <c r="BI189" i="41"/>
  <c r="BH189" i="41"/>
  <c r="BG189" i="41"/>
  <c r="BI188" i="41"/>
  <c r="BH188" i="41"/>
  <c r="BG188" i="41"/>
  <c r="BI187" i="41"/>
  <c r="BH187" i="41"/>
  <c r="BG187" i="41"/>
  <c r="BI186" i="41"/>
  <c r="BH186" i="41"/>
  <c r="BG186" i="41"/>
  <c r="BI185" i="41"/>
  <c r="BH185" i="41"/>
  <c r="BG185" i="41"/>
  <c r="BI184" i="41"/>
  <c r="BH184" i="41"/>
  <c r="BG184" i="41"/>
  <c r="BI183" i="41"/>
  <c r="BH183" i="41"/>
  <c r="BG183" i="41"/>
  <c r="BI182" i="41"/>
  <c r="BH182" i="41"/>
  <c r="BG182" i="41"/>
  <c r="AN218" i="41"/>
  <c r="AN217" i="41"/>
  <c r="AN216" i="41"/>
  <c r="AN215" i="41"/>
  <c r="AN214" i="41"/>
  <c r="AN213" i="41"/>
  <c r="AN212" i="41"/>
  <c r="AN211" i="41"/>
  <c r="AN210" i="41"/>
  <c r="AN209" i="41"/>
  <c r="AN208" i="41"/>
  <c r="AN207" i="41"/>
  <c r="AN206" i="41"/>
  <c r="AN205" i="41"/>
  <c r="AN204" i="41"/>
  <c r="AN203" i="41"/>
  <c r="AN202" i="41"/>
  <c r="AN201" i="41"/>
  <c r="AN200" i="41"/>
  <c r="AN199" i="41"/>
  <c r="AN198" i="41"/>
  <c r="AN197" i="41"/>
  <c r="AN196" i="41"/>
  <c r="AN195" i="41"/>
  <c r="AN194" i="41"/>
  <c r="AN193" i="41"/>
  <c r="AN192" i="41"/>
  <c r="AN191" i="41"/>
  <c r="AN190" i="41"/>
  <c r="AN189" i="41"/>
  <c r="AN188" i="41"/>
  <c r="AN187" i="41"/>
  <c r="AN186" i="41"/>
  <c r="AN185" i="41"/>
  <c r="AN184" i="41"/>
  <c r="AN183" i="41"/>
  <c r="AN182" i="41"/>
  <c r="AN179" i="41"/>
  <c r="AN172" i="41"/>
  <c r="AN178" i="41"/>
  <c r="AN177" i="41"/>
  <c r="AN176" i="41"/>
  <c r="AN175" i="41"/>
  <c r="AN174" i="41"/>
  <c r="AN173" i="41"/>
  <c r="AN171" i="41"/>
  <c r="AN170" i="41"/>
  <c r="AN169" i="41"/>
  <c r="AN168" i="41"/>
  <c r="AN167" i="41"/>
  <c r="AN166" i="41"/>
  <c r="AN165" i="41"/>
  <c r="AN164" i="41"/>
  <c r="AN163" i="41"/>
  <c r="AN162" i="41"/>
  <c r="AN161" i="41"/>
  <c r="AN160" i="41"/>
  <c r="AN159" i="41"/>
  <c r="AN158" i="41"/>
  <c r="AN157" i="41"/>
  <c r="AN156" i="41"/>
  <c r="J251" i="41"/>
  <c r="J254" i="41"/>
  <c r="L254" i="41"/>
  <c r="I253" i="41"/>
  <c r="J253" i="41" s="1"/>
  <c r="E95" i="1" l="1"/>
  <c r="E96" i="1" s="1"/>
  <c r="M96" i="1" s="1"/>
  <c r="E20" i="68"/>
  <c r="E19" i="68"/>
  <c r="D42" i="71"/>
  <c r="G42" i="71" s="1"/>
  <c r="E54" i="1"/>
  <c r="E13" i="68"/>
  <c r="D28" i="71"/>
  <c r="G28" i="71" s="1"/>
  <c r="G27" i="71"/>
  <c r="D30" i="71"/>
  <c r="G30" i="71" s="1"/>
  <c r="AF219" i="41"/>
  <c r="D37" i="71"/>
  <c r="G37" i="71" s="1"/>
  <c r="E21" i="68"/>
  <c r="G31" i="71"/>
  <c r="D32" i="71"/>
  <c r="G32" i="71" s="1"/>
  <c r="BI219" i="41"/>
  <c r="BI246" i="41"/>
  <c r="E29" i="1"/>
  <c r="E16" i="68"/>
  <c r="E15" i="68"/>
  <c r="E32" i="1"/>
  <c r="L94" i="1"/>
  <c r="E31" i="1"/>
  <c r="E103" i="1"/>
  <c r="E69" i="1"/>
  <c r="E116" i="1"/>
  <c r="E20" i="1"/>
  <c r="E117" i="1"/>
  <c r="E14" i="1"/>
  <c r="E10" i="68"/>
  <c r="AN180" i="41"/>
  <c r="AN219" i="41"/>
  <c r="AU219" i="41"/>
  <c r="AU246" i="41"/>
  <c r="AF246" i="41"/>
  <c r="M95" i="1"/>
  <c r="J96" i="1"/>
  <c r="BG246" i="41"/>
  <c r="BA219" i="41"/>
  <c r="AN246" i="41"/>
  <c r="L95" i="1"/>
  <c r="BG219" i="41"/>
  <c r="BH219" i="41"/>
  <c r="BH246" i="41"/>
  <c r="BA246" i="41"/>
  <c r="BB245" i="41"/>
  <c r="BB244" i="41"/>
  <c r="BB243" i="41"/>
  <c r="BB242" i="41"/>
  <c r="BB241" i="41"/>
  <c r="BB240" i="41"/>
  <c r="BB239" i="41"/>
  <c r="BB238" i="41"/>
  <c r="BB237" i="41"/>
  <c r="BB236" i="41"/>
  <c r="BB235" i="41"/>
  <c r="BB234" i="41"/>
  <c r="BB233" i="41"/>
  <c r="BB228" i="41"/>
  <c r="BB227" i="41"/>
  <c r="BB226" i="41"/>
  <c r="BB225" i="41"/>
  <c r="BB224" i="41"/>
  <c r="BB223" i="41"/>
  <c r="BB222" i="41"/>
  <c r="BB221" i="41"/>
  <c r="BB218" i="41"/>
  <c r="BB217" i="41"/>
  <c r="BB216" i="41"/>
  <c r="BB215" i="41"/>
  <c r="BB214" i="41"/>
  <c r="BB213" i="41"/>
  <c r="BB212" i="41"/>
  <c r="BB211" i="41"/>
  <c r="BB210" i="41"/>
  <c r="BB209" i="41"/>
  <c r="BB208" i="41"/>
  <c r="BB207" i="41"/>
  <c r="BB194" i="41"/>
  <c r="BB193" i="41"/>
  <c r="BB192" i="41"/>
  <c r="BB191" i="41"/>
  <c r="BB190" i="41"/>
  <c r="BB189" i="41"/>
  <c r="BB188" i="41"/>
  <c r="BB187" i="41"/>
  <c r="BB186" i="41"/>
  <c r="BB185" i="41"/>
  <c r="BB184" i="41"/>
  <c r="BB183" i="41"/>
  <c r="BB182" i="41"/>
  <c r="BB164" i="41"/>
  <c r="BB163" i="41"/>
  <c r="BB162" i="41"/>
  <c r="BB161" i="41"/>
  <c r="BB160" i="41"/>
  <c r="BB159" i="41"/>
  <c r="BB158" i="41"/>
  <c r="BB157" i="41"/>
  <c r="BB156" i="41"/>
  <c r="BB153" i="41"/>
  <c r="BB152" i="41"/>
  <c r="BB151" i="41"/>
  <c r="BB150" i="41"/>
  <c r="BB149" i="41"/>
  <c r="BB148" i="41"/>
  <c r="BB147" i="41"/>
  <c r="BB146" i="41"/>
  <c r="BB145" i="41"/>
  <c r="BB144" i="41"/>
  <c r="BB143" i="41"/>
  <c r="BB142" i="41"/>
  <c r="J252" i="41"/>
  <c r="BO179" i="41"/>
  <c r="BO178" i="41"/>
  <c r="BO177" i="41"/>
  <c r="BO176" i="41"/>
  <c r="BO175" i="41"/>
  <c r="BO174" i="41"/>
  <c r="BO173" i="41"/>
  <c r="BO172" i="41"/>
  <c r="BO171" i="41"/>
  <c r="BO170" i="41"/>
  <c r="BO169" i="41"/>
  <c r="BO168" i="41"/>
  <c r="BO166" i="41"/>
  <c r="BO165" i="41"/>
  <c r="BO164" i="41"/>
  <c r="BO163" i="41"/>
  <c r="BO162" i="41"/>
  <c r="BO161" i="41"/>
  <c r="BO160" i="41"/>
  <c r="BO159" i="41"/>
  <c r="BO158" i="41"/>
  <c r="BO157" i="41"/>
  <c r="BO156" i="41"/>
  <c r="BI179" i="41"/>
  <c r="BH179" i="41"/>
  <c r="BG179" i="41"/>
  <c r="BI178" i="41"/>
  <c r="BH178" i="41"/>
  <c r="BG178" i="41"/>
  <c r="BI177" i="41"/>
  <c r="BH177" i="41"/>
  <c r="BG177" i="41"/>
  <c r="BI176" i="41"/>
  <c r="BH176" i="41"/>
  <c r="BG176" i="41"/>
  <c r="BI175" i="41"/>
  <c r="BH175" i="41"/>
  <c r="BG175" i="41"/>
  <c r="BI174" i="41"/>
  <c r="BH174" i="41"/>
  <c r="BG174" i="41"/>
  <c r="BI173" i="41"/>
  <c r="BH173" i="41"/>
  <c r="BG173" i="41"/>
  <c r="BI172" i="41"/>
  <c r="BH172" i="41"/>
  <c r="BG172" i="41"/>
  <c r="BI171" i="41"/>
  <c r="BH171" i="41"/>
  <c r="BG171" i="41"/>
  <c r="BI170" i="41"/>
  <c r="BH170" i="41"/>
  <c r="BG170" i="41"/>
  <c r="BI169" i="41"/>
  <c r="BH169" i="41"/>
  <c r="BG169" i="41"/>
  <c r="BI168" i="41"/>
  <c r="BH168" i="41"/>
  <c r="BG168" i="41"/>
  <c r="BI167" i="41"/>
  <c r="BH167" i="41"/>
  <c r="BG167" i="41"/>
  <c r="BI166" i="41"/>
  <c r="BH166" i="41"/>
  <c r="BG166" i="41"/>
  <c r="BI165" i="41"/>
  <c r="BH165" i="41"/>
  <c r="BG165" i="41"/>
  <c r="BI164" i="41"/>
  <c r="BH164" i="41"/>
  <c r="BG164" i="41"/>
  <c r="BI163" i="41"/>
  <c r="BH163" i="41"/>
  <c r="BG163" i="41"/>
  <c r="BI162" i="41"/>
  <c r="BH162" i="41"/>
  <c r="BG162" i="41"/>
  <c r="BI161" i="41"/>
  <c r="BH161" i="41"/>
  <c r="BG161" i="41"/>
  <c r="BI160" i="41"/>
  <c r="BH160" i="41"/>
  <c r="BG160" i="41"/>
  <c r="BI159" i="41"/>
  <c r="BH159" i="41"/>
  <c r="BG159" i="41"/>
  <c r="BI158" i="41"/>
  <c r="BH158" i="41"/>
  <c r="BG158" i="41"/>
  <c r="BI157" i="41"/>
  <c r="BH157" i="41"/>
  <c r="BG157" i="41"/>
  <c r="BI156" i="41"/>
  <c r="BH156" i="41"/>
  <c r="BG156" i="41"/>
  <c r="BA179" i="41"/>
  <c r="BA178" i="41"/>
  <c r="BA177" i="41"/>
  <c r="BA176" i="41"/>
  <c r="BA175" i="41"/>
  <c r="BA174" i="41"/>
  <c r="BA173" i="41"/>
  <c r="BA172" i="41"/>
  <c r="BA171" i="41"/>
  <c r="BA170" i="41"/>
  <c r="BA169" i="41"/>
  <c r="BA168" i="41"/>
  <c r="BA167" i="41"/>
  <c r="BA166" i="41"/>
  <c r="BA165" i="41"/>
  <c r="BA164" i="41"/>
  <c r="BA163" i="41"/>
  <c r="BA162" i="41"/>
  <c r="BA161" i="41"/>
  <c r="BA160" i="41"/>
  <c r="BA159" i="41"/>
  <c r="BA158" i="41"/>
  <c r="BA157" i="41"/>
  <c r="BA156" i="41"/>
  <c r="AU179" i="41"/>
  <c r="AU178" i="41"/>
  <c r="AU177" i="41"/>
  <c r="AU176" i="41"/>
  <c r="AU175" i="41"/>
  <c r="AU174" i="41"/>
  <c r="AU173" i="41"/>
  <c r="AU172" i="41"/>
  <c r="AU171" i="41"/>
  <c r="AU170" i="41"/>
  <c r="AU169" i="41"/>
  <c r="AU168" i="41"/>
  <c r="AU167" i="41"/>
  <c r="AU166" i="41"/>
  <c r="AU165" i="41"/>
  <c r="AU164" i="41"/>
  <c r="AU163" i="41"/>
  <c r="AU162" i="41"/>
  <c r="AU161" i="41"/>
  <c r="AU160" i="41"/>
  <c r="AU159" i="41"/>
  <c r="AU158" i="41"/>
  <c r="AU157" i="41"/>
  <c r="AU156" i="41"/>
  <c r="AF179" i="41"/>
  <c r="AF178" i="41"/>
  <c r="AF177" i="41"/>
  <c r="AF176" i="41"/>
  <c r="AF175" i="41"/>
  <c r="AF174" i="41"/>
  <c r="AF173" i="41"/>
  <c r="AF172" i="41"/>
  <c r="AF171" i="41"/>
  <c r="AF170" i="41"/>
  <c r="AF169" i="41"/>
  <c r="AF168" i="41"/>
  <c r="AF166" i="41"/>
  <c r="AF165" i="41"/>
  <c r="AF164" i="41"/>
  <c r="AF163" i="41"/>
  <c r="AF162" i="41"/>
  <c r="AF161" i="41"/>
  <c r="AF160" i="41"/>
  <c r="AF159" i="41"/>
  <c r="AF158" i="41"/>
  <c r="AF157" i="41"/>
  <c r="AF156" i="41"/>
  <c r="V179" i="41"/>
  <c r="V178" i="41"/>
  <c r="V177" i="41"/>
  <c r="V176" i="41"/>
  <c r="V175" i="41"/>
  <c r="V174" i="41"/>
  <c r="V173" i="41"/>
  <c r="V170" i="41"/>
  <c r="V169" i="41"/>
  <c r="V168" i="41"/>
  <c r="V167" i="41"/>
  <c r="V166" i="41"/>
  <c r="V163" i="41"/>
  <c r="V162" i="41"/>
  <c r="V161" i="41"/>
  <c r="V160" i="41"/>
  <c r="V159" i="41"/>
  <c r="V158" i="41"/>
  <c r="V157" i="41"/>
  <c r="V156" i="41"/>
  <c r="BA153" i="41"/>
  <c r="BA152" i="41"/>
  <c r="BA151" i="41"/>
  <c r="BA150" i="41"/>
  <c r="BA149" i="41"/>
  <c r="BA148" i="41"/>
  <c r="BA147" i="41"/>
  <c r="BA146" i="41"/>
  <c r="BA145" i="41"/>
  <c r="BA144" i="41"/>
  <c r="BA143" i="41"/>
  <c r="BA142" i="41"/>
  <c r="BI153" i="41"/>
  <c r="BH153" i="41"/>
  <c r="BG153" i="41"/>
  <c r="BI152" i="41"/>
  <c r="BH152" i="41"/>
  <c r="BG152" i="41"/>
  <c r="BI151" i="41"/>
  <c r="BH151" i="41"/>
  <c r="BG151" i="41"/>
  <c r="BI150" i="41"/>
  <c r="BH150" i="41"/>
  <c r="BG150" i="41"/>
  <c r="BI149" i="41"/>
  <c r="BH149" i="41"/>
  <c r="BG149" i="41"/>
  <c r="BI148" i="41"/>
  <c r="BH148" i="41"/>
  <c r="BG148" i="41"/>
  <c r="BI147" i="41"/>
  <c r="BH147" i="41"/>
  <c r="BG147" i="41"/>
  <c r="BI146" i="41"/>
  <c r="BH146" i="41"/>
  <c r="BG146" i="41"/>
  <c r="BI145" i="41"/>
  <c r="BH145" i="41"/>
  <c r="BG145" i="41"/>
  <c r="BI144" i="41"/>
  <c r="BH144" i="41"/>
  <c r="BG144" i="41"/>
  <c r="BI143" i="41"/>
  <c r="BH143" i="41"/>
  <c r="BG143" i="41"/>
  <c r="BI142" i="41"/>
  <c r="BH142" i="41"/>
  <c r="BG142" i="41"/>
  <c r="AU153" i="41"/>
  <c r="AU152" i="41"/>
  <c r="AU151" i="41"/>
  <c r="AU150" i="41"/>
  <c r="AU149" i="41"/>
  <c r="AU148" i="41"/>
  <c r="AU147" i="41"/>
  <c r="AU146" i="41"/>
  <c r="AU145" i="41"/>
  <c r="AU144" i="41"/>
  <c r="AU143" i="41"/>
  <c r="AU142" i="41"/>
  <c r="AN153" i="41"/>
  <c r="AN152" i="41"/>
  <c r="AN151" i="41"/>
  <c r="AN150" i="41"/>
  <c r="AN149" i="41"/>
  <c r="AN148" i="41"/>
  <c r="AN147" i="41"/>
  <c r="AN146" i="41"/>
  <c r="AN145" i="41"/>
  <c r="AN144" i="41"/>
  <c r="AN143" i="41"/>
  <c r="AN142" i="41"/>
  <c r="L96" i="1" l="1"/>
  <c r="K95" i="1"/>
  <c r="J95" i="1"/>
  <c r="K96" i="1"/>
  <c r="BI180" i="41"/>
  <c r="BI154" i="41"/>
  <c r="BB219" i="41"/>
  <c r="E19" i="1"/>
  <c r="E18" i="1"/>
  <c r="E15" i="1"/>
  <c r="BB246" i="41"/>
  <c r="AN154" i="41"/>
  <c r="BA154" i="41"/>
  <c r="AU180" i="41"/>
  <c r="BA180" i="41"/>
  <c r="BG180" i="41"/>
  <c r="AU154" i="41"/>
  <c r="BG154" i="41"/>
  <c r="V180" i="41"/>
  <c r="V247" i="41" s="1"/>
  <c r="BH154" i="41"/>
  <c r="BH180" i="41"/>
  <c r="BB154" i="41"/>
  <c r="BB180" i="41"/>
  <c r="J255" i="41"/>
  <c r="J257" i="41" s="1"/>
  <c r="BL97" i="41"/>
  <c r="BL96" i="41"/>
  <c r="BL95" i="41"/>
  <c r="BL94" i="41"/>
  <c r="BL93" i="41"/>
  <c r="BL92" i="41"/>
  <c r="BL91" i="41"/>
  <c r="BL90" i="41"/>
  <c r="BL89" i="41"/>
  <c r="BL88" i="41"/>
  <c r="BL139" i="41"/>
  <c r="BL138" i="41"/>
  <c r="BL137" i="41"/>
  <c r="BL136" i="41"/>
  <c r="BL135" i="41"/>
  <c r="BL134" i="41"/>
  <c r="BL133" i="41"/>
  <c r="BL132" i="41"/>
  <c r="BL131" i="41"/>
  <c r="BL130" i="41"/>
  <c r="BL129" i="41"/>
  <c r="BL128" i="41"/>
  <c r="BL127" i="41"/>
  <c r="BL126" i="41"/>
  <c r="BL125" i="41"/>
  <c r="BL124" i="41"/>
  <c r="BL123" i="41"/>
  <c r="BL122" i="41"/>
  <c r="BL121" i="41"/>
  <c r="BL120" i="41"/>
  <c r="BL119" i="41"/>
  <c r="BL118" i="41"/>
  <c r="BL117" i="41"/>
  <c r="BL116" i="41"/>
  <c r="BL115" i="41"/>
  <c r="BL114" i="41"/>
  <c r="BL113" i="41"/>
  <c r="BL112" i="41"/>
  <c r="BL111" i="41"/>
  <c r="BL110" i="41"/>
  <c r="BL109" i="41"/>
  <c r="BL108" i="41"/>
  <c r="BL107" i="41"/>
  <c r="BL106" i="41"/>
  <c r="BL105" i="41"/>
  <c r="BL104" i="41"/>
  <c r="BL103" i="41"/>
  <c r="BL102" i="41"/>
  <c r="BL101" i="41"/>
  <c r="BL100" i="41"/>
  <c r="BD19" i="41"/>
  <c r="BD18" i="41"/>
  <c r="BD17" i="41"/>
  <c r="BD16" i="41"/>
  <c r="BD15" i="41"/>
  <c r="BD14" i="41"/>
  <c r="BD13" i="41"/>
  <c r="BD12" i="41"/>
  <c r="BD11" i="41"/>
  <c r="BD10" i="41"/>
  <c r="BD9" i="41"/>
  <c r="BD8" i="41"/>
  <c r="BD7" i="41"/>
  <c r="BD40" i="41"/>
  <c r="BD39" i="41"/>
  <c r="BD38" i="41"/>
  <c r="BD37" i="41"/>
  <c r="BD36" i="41"/>
  <c r="BD35" i="41"/>
  <c r="BD34" i="41"/>
  <c r="BD33" i="41"/>
  <c r="BD32" i="41"/>
  <c r="BD31" i="41"/>
  <c r="BD30" i="41"/>
  <c r="BD29" i="41"/>
  <c r="BD28" i="41"/>
  <c r="BD27" i="41"/>
  <c r="BD26" i="41"/>
  <c r="BD25" i="41"/>
  <c r="BD24" i="41"/>
  <c r="BD23" i="41"/>
  <c r="BD22" i="41"/>
  <c r="BD53" i="41"/>
  <c r="BD52" i="41"/>
  <c r="BD51" i="41"/>
  <c r="BD50" i="41"/>
  <c r="BD49" i="41"/>
  <c r="BD48" i="41"/>
  <c r="BD47" i="41"/>
  <c r="BD46" i="41"/>
  <c r="BD45" i="41"/>
  <c r="BD44" i="41"/>
  <c r="BD43" i="41"/>
  <c r="BD65" i="41"/>
  <c r="BD64" i="41"/>
  <c r="BD63" i="41"/>
  <c r="BD62" i="41"/>
  <c r="BD61" i="41"/>
  <c r="BD60" i="41"/>
  <c r="BD59" i="41"/>
  <c r="BD58" i="41"/>
  <c r="BD57" i="41"/>
  <c r="BD56" i="41"/>
  <c r="BD84" i="41"/>
  <c r="BD83" i="41"/>
  <c r="BD82" i="41"/>
  <c r="BD81" i="41"/>
  <c r="BD80" i="41"/>
  <c r="BD79" i="41"/>
  <c r="BD78" i="41"/>
  <c r="BD77" i="41"/>
  <c r="BD76" i="41"/>
  <c r="BD75" i="41"/>
  <c r="BD74" i="41"/>
  <c r="BD73" i="41"/>
  <c r="BD72" i="41"/>
  <c r="BD71" i="41"/>
  <c r="BD70" i="41"/>
  <c r="BD69" i="41"/>
  <c r="BD68" i="41"/>
  <c r="BD85" i="41"/>
  <c r="BD96" i="41"/>
  <c r="BD95" i="41"/>
  <c r="BD94" i="41"/>
  <c r="BD93" i="41"/>
  <c r="BD92" i="41"/>
  <c r="BD91" i="41"/>
  <c r="BD90" i="41"/>
  <c r="BD89" i="41"/>
  <c r="BD88" i="41"/>
  <c r="BD97" i="41"/>
  <c r="BD139" i="41"/>
  <c r="BD138" i="41"/>
  <c r="BD137" i="41"/>
  <c r="BD136" i="41"/>
  <c r="BD135" i="41"/>
  <c r="BD134" i="41"/>
  <c r="BD133" i="41"/>
  <c r="BD132" i="41"/>
  <c r="BD131" i="41"/>
  <c r="BD130" i="41"/>
  <c r="BD129" i="41"/>
  <c r="BD128" i="41"/>
  <c r="BD127" i="41"/>
  <c r="BD126" i="41"/>
  <c r="BD125" i="41"/>
  <c r="BD124" i="41"/>
  <c r="BD123" i="41"/>
  <c r="BD122" i="41"/>
  <c r="BD121" i="41"/>
  <c r="BD120" i="41"/>
  <c r="BD119" i="41"/>
  <c r="BD118" i="41"/>
  <c r="BD117" i="41"/>
  <c r="BD116" i="41"/>
  <c r="BD115" i="41"/>
  <c r="BD114" i="41"/>
  <c r="BD113" i="41"/>
  <c r="BD112" i="41"/>
  <c r="BD111" i="41"/>
  <c r="BD110" i="41"/>
  <c r="BD109" i="41"/>
  <c r="BD108" i="41"/>
  <c r="BD107" i="41"/>
  <c r="BD106" i="41"/>
  <c r="BD105" i="41"/>
  <c r="BD104" i="41"/>
  <c r="BD103" i="41"/>
  <c r="BD102" i="41"/>
  <c r="BD100" i="41"/>
  <c r="BD101" i="41"/>
  <c r="BI139" i="41"/>
  <c r="BH139" i="41"/>
  <c r="BG139" i="41"/>
  <c r="BI138" i="41"/>
  <c r="BH138" i="41"/>
  <c r="BG138" i="41"/>
  <c r="BI137" i="41"/>
  <c r="BH137" i="41"/>
  <c r="BG137" i="41"/>
  <c r="BI136" i="41"/>
  <c r="BH136" i="41"/>
  <c r="BG136" i="41"/>
  <c r="BI135" i="41"/>
  <c r="BH135" i="41"/>
  <c r="BG135" i="41"/>
  <c r="BI134" i="41"/>
  <c r="BH134" i="41"/>
  <c r="BG134" i="41"/>
  <c r="BI133" i="41"/>
  <c r="BH133" i="41"/>
  <c r="BG133" i="41"/>
  <c r="BI132" i="41"/>
  <c r="BH132" i="41"/>
  <c r="BG132" i="41"/>
  <c r="BI131" i="41"/>
  <c r="BH131" i="41"/>
  <c r="BG131" i="41"/>
  <c r="BI130" i="41"/>
  <c r="BH130" i="41"/>
  <c r="BG130" i="41"/>
  <c r="BI129" i="41"/>
  <c r="BH129" i="41"/>
  <c r="BG129" i="41"/>
  <c r="BI128" i="41"/>
  <c r="BH128" i="41"/>
  <c r="BG128" i="41"/>
  <c r="BI127" i="41"/>
  <c r="BH127" i="41"/>
  <c r="BG127" i="41"/>
  <c r="BI126" i="41"/>
  <c r="BH126" i="41"/>
  <c r="BG126" i="41"/>
  <c r="BI125" i="41"/>
  <c r="BH125" i="41"/>
  <c r="BG125" i="41"/>
  <c r="BI124" i="41"/>
  <c r="BH124" i="41"/>
  <c r="BG124" i="41"/>
  <c r="BI123" i="41"/>
  <c r="BH123" i="41"/>
  <c r="BG123" i="41"/>
  <c r="BI122" i="41"/>
  <c r="BH122" i="41"/>
  <c r="BG122" i="41"/>
  <c r="BI121" i="41"/>
  <c r="BH121" i="41"/>
  <c r="BG121" i="41"/>
  <c r="BI120" i="41"/>
  <c r="BH120" i="41"/>
  <c r="BG120" i="41"/>
  <c r="BI119" i="41"/>
  <c r="BH119" i="41"/>
  <c r="BG119" i="41"/>
  <c r="BI118" i="41"/>
  <c r="BH118" i="41"/>
  <c r="BG118" i="41"/>
  <c r="BI117" i="41"/>
  <c r="BH117" i="41"/>
  <c r="BG117" i="41"/>
  <c r="BI116" i="41"/>
  <c r="BH116" i="41"/>
  <c r="BG116" i="41"/>
  <c r="BI115" i="41"/>
  <c r="BH115" i="41"/>
  <c r="BG115" i="41"/>
  <c r="BI114" i="41"/>
  <c r="BH114" i="41"/>
  <c r="BG114" i="41"/>
  <c r="BI113" i="41"/>
  <c r="BH113" i="41"/>
  <c r="BG113" i="41"/>
  <c r="BI112" i="41"/>
  <c r="BH112" i="41"/>
  <c r="BG112" i="41"/>
  <c r="BI111" i="41"/>
  <c r="BH111" i="41"/>
  <c r="BG111" i="41"/>
  <c r="BI110" i="41"/>
  <c r="BH110" i="41"/>
  <c r="BG110" i="41"/>
  <c r="BI109" i="41"/>
  <c r="BH109" i="41"/>
  <c r="BG109" i="41"/>
  <c r="BI108" i="41"/>
  <c r="BH108" i="41"/>
  <c r="BG108" i="41"/>
  <c r="BI107" i="41"/>
  <c r="BH107" i="41"/>
  <c r="BG107" i="41"/>
  <c r="BI106" i="41"/>
  <c r="BH106" i="41"/>
  <c r="BG106" i="41"/>
  <c r="BI105" i="41"/>
  <c r="BH105" i="41"/>
  <c r="BG105" i="41"/>
  <c r="BI104" i="41"/>
  <c r="BH104" i="41"/>
  <c r="BG104" i="41"/>
  <c r="BI103" i="41"/>
  <c r="BH103" i="41"/>
  <c r="BG103" i="41"/>
  <c r="BI102" i="41"/>
  <c r="BH102" i="41"/>
  <c r="BG102" i="41"/>
  <c r="BG101" i="41"/>
  <c r="BH101" i="41"/>
  <c r="BI101" i="41"/>
  <c r="BI100" i="41"/>
  <c r="BG100" i="41"/>
  <c r="BH100" i="41"/>
  <c r="BA139" i="41"/>
  <c r="BA138" i="41"/>
  <c r="BA137" i="41"/>
  <c r="BA136" i="41"/>
  <c r="BA135" i="41"/>
  <c r="BA134" i="41"/>
  <c r="BA133" i="41"/>
  <c r="BA132" i="41"/>
  <c r="BA131" i="41"/>
  <c r="BA130" i="41"/>
  <c r="BA129" i="41"/>
  <c r="BA128" i="41"/>
  <c r="BA127" i="41"/>
  <c r="BA126" i="41"/>
  <c r="BA125" i="41"/>
  <c r="BA124" i="41"/>
  <c r="BA123" i="41"/>
  <c r="BA122" i="41"/>
  <c r="BA121" i="41"/>
  <c r="BA120" i="41"/>
  <c r="BA119" i="41"/>
  <c r="BA118" i="41"/>
  <c r="BA117" i="41"/>
  <c r="BA116" i="41"/>
  <c r="BA115" i="41"/>
  <c r="BA114" i="41"/>
  <c r="BA113" i="41"/>
  <c r="BA112" i="41"/>
  <c r="BA111" i="41"/>
  <c r="BA110" i="41"/>
  <c r="BA109" i="41"/>
  <c r="BA108" i="41"/>
  <c r="BA107" i="41"/>
  <c r="BA106" i="41"/>
  <c r="BA105" i="41"/>
  <c r="BA104" i="41"/>
  <c r="BA103" i="41"/>
  <c r="BA102" i="41"/>
  <c r="BA101" i="41"/>
  <c r="BA100" i="41"/>
  <c r="AU100" i="41"/>
  <c r="AU140" i="41" s="1"/>
  <c r="E23" i="1" l="1"/>
  <c r="E14" i="68"/>
  <c r="J18" i="1"/>
  <c r="K18" i="1"/>
  <c r="BD86" i="41"/>
  <c r="BA140" i="41"/>
  <c r="BH140" i="41"/>
  <c r="BD66" i="41"/>
  <c r="BD20" i="41"/>
  <c r="BG140" i="41"/>
  <c r="BG247" i="41" s="1"/>
  <c r="BD140" i="41"/>
  <c r="BD98" i="41"/>
  <c r="BD41" i="41"/>
  <c r="BL140" i="41"/>
  <c r="BL98" i="41"/>
  <c r="BI140" i="41"/>
  <c r="BD54" i="41"/>
  <c r="AF153" i="41"/>
  <c r="AF152" i="41"/>
  <c r="AF151" i="41"/>
  <c r="AF150" i="41"/>
  <c r="AF149" i="41"/>
  <c r="AF148" i="41"/>
  <c r="AF147" i="41"/>
  <c r="AF146" i="41"/>
  <c r="AF145" i="41"/>
  <c r="AF144" i="41"/>
  <c r="AF143" i="41"/>
  <c r="AF142" i="41"/>
  <c r="AF154" i="41" l="1"/>
  <c r="BL247" i="41"/>
  <c r="BD247" i="41"/>
  <c r="D10" i="71" s="1"/>
  <c r="AU19" i="41"/>
  <c r="AU18" i="41"/>
  <c r="AU17" i="41"/>
  <c r="AU16" i="41"/>
  <c r="AU15" i="41"/>
  <c r="AU14" i="41"/>
  <c r="AU13" i="41"/>
  <c r="AU12" i="41"/>
  <c r="AU11" i="41"/>
  <c r="AU10" i="41"/>
  <c r="AU9" i="41"/>
  <c r="AU8" i="41"/>
  <c r="AU7" i="41"/>
  <c r="G10" i="71" l="1"/>
  <c r="D12" i="71"/>
  <c r="G12" i="71" s="1"/>
  <c r="D15" i="71"/>
  <c r="G15" i="71" s="1"/>
  <c r="D11" i="71"/>
  <c r="G11" i="71" s="1"/>
  <c r="D13" i="71"/>
  <c r="G13" i="71" s="1"/>
  <c r="D14" i="71"/>
  <c r="G14" i="71" s="1"/>
  <c r="AU20" i="41"/>
  <c r="CA55" i="41"/>
  <c r="BZ55" i="41"/>
  <c r="CA59" i="41"/>
  <c r="CA58" i="41"/>
  <c r="BZ59" i="41"/>
  <c r="BZ60" i="41" s="1"/>
  <c r="BZ61" i="41" s="1"/>
  <c r="BZ58" i="41"/>
  <c r="CA56" i="41" l="1"/>
  <c r="CA60" i="41"/>
  <c r="CB60" i="41" s="1"/>
  <c r="AN139" i="41"/>
  <c r="AN138" i="41"/>
  <c r="AN137" i="41"/>
  <c r="AN136" i="41"/>
  <c r="AN135" i="41"/>
  <c r="AN134" i="41"/>
  <c r="AN133" i="41"/>
  <c r="AN132" i="41"/>
  <c r="AN131" i="41"/>
  <c r="AN130" i="41"/>
  <c r="AN129" i="41"/>
  <c r="AN128" i="41"/>
  <c r="AN127" i="41"/>
  <c r="AN126" i="41"/>
  <c r="AN125" i="41"/>
  <c r="AN124" i="41"/>
  <c r="AN123" i="41"/>
  <c r="AN122" i="41"/>
  <c r="AN121" i="41"/>
  <c r="AN120" i="41"/>
  <c r="AN119" i="41"/>
  <c r="AN118" i="41"/>
  <c r="AN117" i="41"/>
  <c r="AN116" i="41"/>
  <c r="AN115" i="41"/>
  <c r="AN114" i="41"/>
  <c r="AN113" i="41"/>
  <c r="AN112" i="41"/>
  <c r="AN111" i="41"/>
  <c r="AN110" i="41"/>
  <c r="AN109" i="41"/>
  <c r="AN108" i="41"/>
  <c r="AN107" i="41"/>
  <c r="AN106" i="41"/>
  <c r="AN105" i="41"/>
  <c r="AN104" i="41"/>
  <c r="AN103" i="41"/>
  <c r="AN102" i="41"/>
  <c r="AN101" i="41"/>
  <c r="AN100" i="41"/>
  <c r="AF139" i="41"/>
  <c r="AF138" i="41"/>
  <c r="AF137" i="41"/>
  <c r="AF136" i="41"/>
  <c r="AF135" i="41"/>
  <c r="AF134" i="41"/>
  <c r="AF133" i="41"/>
  <c r="AF132" i="41"/>
  <c r="AF131" i="41"/>
  <c r="AF130" i="41"/>
  <c r="AF129" i="41"/>
  <c r="AF128" i="41"/>
  <c r="AF127" i="41"/>
  <c r="AF126" i="41"/>
  <c r="AF125" i="41"/>
  <c r="AF124" i="41"/>
  <c r="AF123" i="41"/>
  <c r="AF122" i="41"/>
  <c r="AF121" i="41"/>
  <c r="AF120" i="41"/>
  <c r="AF119" i="41"/>
  <c r="AF118" i="41"/>
  <c r="AF117" i="41"/>
  <c r="AF116" i="41"/>
  <c r="AF115" i="41"/>
  <c r="AF114" i="41"/>
  <c r="AF113" i="41"/>
  <c r="AF112" i="41"/>
  <c r="AF111" i="41"/>
  <c r="AF110" i="41"/>
  <c r="AF109" i="41"/>
  <c r="AF108" i="41"/>
  <c r="AF107" i="41"/>
  <c r="AF106" i="41"/>
  <c r="AF105" i="41"/>
  <c r="AF104" i="41"/>
  <c r="AF103" i="41"/>
  <c r="AF102" i="41"/>
  <c r="AF101" i="41"/>
  <c r="AF100" i="41"/>
  <c r="BA97" i="41"/>
  <c r="BA96" i="41"/>
  <c r="BA95" i="41"/>
  <c r="BA94" i="41"/>
  <c r="BA93" i="41"/>
  <c r="BA92" i="41"/>
  <c r="BA91" i="41"/>
  <c r="BA90" i="41"/>
  <c r="BA89" i="41"/>
  <c r="BA88" i="41"/>
  <c r="AU97" i="41"/>
  <c r="AU96" i="41"/>
  <c r="AU95" i="41"/>
  <c r="AU94" i="41"/>
  <c r="AU93" i="41"/>
  <c r="AU92" i="41"/>
  <c r="AU91" i="41"/>
  <c r="AU90" i="41"/>
  <c r="AU89" i="41"/>
  <c r="AU88" i="41"/>
  <c r="AN97" i="41"/>
  <c r="AN96" i="41"/>
  <c r="AN95" i="41"/>
  <c r="AN94" i="41"/>
  <c r="AN93" i="41"/>
  <c r="AN92" i="41"/>
  <c r="AN91" i="41"/>
  <c r="AN90" i="41"/>
  <c r="AN89" i="41"/>
  <c r="AN88" i="41"/>
  <c r="AF97" i="41"/>
  <c r="AF96" i="41"/>
  <c r="AF95" i="41"/>
  <c r="AF94" i="41"/>
  <c r="AF93" i="41"/>
  <c r="AF92" i="41"/>
  <c r="AF91" i="41"/>
  <c r="AF90" i="41"/>
  <c r="AF89" i="41"/>
  <c r="AF88" i="41"/>
  <c r="B37" i="71"/>
  <c r="BX86" i="41"/>
  <c r="BA70" i="41"/>
  <c r="AF85" i="41"/>
  <c r="AF84" i="41"/>
  <c r="AF83" i="41"/>
  <c r="AF82" i="41"/>
  <c r="AF81" i="41"/>
  <c r="AF80" i="41"/>
  <c r="AF79" i="41"/>
  <c r="AF78" i="41"/>
  <c r="AF77" i="41"/>
  <c r="AF76" i="41"/>
  <c r="AF75" i="41"/>
  <c r="AF74" i="41"/>
  <c r="AF73" i="41"/>
  <c r="AF72" i="41"/>
  <c r="AF71" i="41"/>
  <c r="AF70" i="41"/>
  <c r="AF69" i="41"/>
  <c r="AF68" i="41"/>
  <c r="BA85" i="41"/>
  <c r="BA84" i="41"/>
  <c r="BA83" i="41"/>
  <c r="BA82" i="41"/>
  <c r="BA81" i="41"/>
  <c r="BA80" i="41"/>
  <c r="BA79" i="41"/>
  <c r="BA78" i="41"/>
  <c r="BA77" i="41"/>
  <c r="BA76" i="41"/>
  <c r="BA75" i="41"/>
  <c r="BA74" i="41"/>
  <c r="BA73" i="41"/>
  <c r="BA72" i="41"/>
  <c r="BA71" i="41"/>
  <c r="BA69" i="41"/>
  <c r="BA68" i="41"/>
  <c r="AU85" i="41"/>
  <c r="AU84" i="41"/>
  <c r="AU83" i="41"/>
  <c r="AU82" i="41"/>
  <c r="AU81" i="41"/>
  <c r="AU80" i="41"/>
  <c r="AU79" i="41"/>
  <c r="AU78" i="41"/>
  <c r="AU77" i="41"/>
  <c r="AU76" i="41"/>
  <c r="AU75" i="41"/>
  <c r="AU74" i="41"/>
  <c r="AU73" i="41"/>
  <c r="AU72" i="41"/>
  <c r="AU71" i="41"/>
  <c r="AU70" i="41"/>
  <c r="AU69" i="41"/>
  <c r="AU68" i="41"/>
  <c r="AN85" i="41"/>
  <c r="AN84" i="41"/>
  <c r="AN83" i="41"/>
  <c r="AN82" i="41"/>
  <c r="AN81" i="41"/>
  <c r="AN80" i="41"/>
  <c r="AN79" i="41"/>
  <c r="AN78" i="41"/>
  <c r="AN77" i="41"/>
  <c r="AN76" i="41"/>
  <c r="AN75" i="41"/>
  <c r="AN74" i="41"/>
  <c r="AN73" i="41"/>
  <c r="AN72" i="41"/>
  <c r="AN71" i="41"/>
  <c r="AN70" i="41"/>
  <c r="AN69" i="41"/>
  <c r="AN68" i="41"/>
  <c r="AN65" i="41"/>
  <c r="AN64" i="41"/>
  <c r="AN63" i="41"/>
  <c r="AN62" i="41"/>
  <c r="AN61" i="41"/>
  <c r="AN60" i="41"/>
  <c r="AN59" i="41"/>
  <c r="AN58" i="41"/>
  <c r="AN57" i="41"/>
  <c r="AU65" i="41"/>
  <c r="AU64" i="41"/>
  <c r="AU63" i="41"/>
  <c r="AU62" i="41"/>
  <c r="AU61" i="41"/>
  <c r="AU60" i="41"/>
  <c r="AU59" i="41"/>
  <c r="AU58" i="41"/>
  <c r="AU57" i="41"/>
  <c r="BA65" i="41"/>
  <c r="BA64" i="41"/>
  <c r="BA63" i="41"/>
  <c r="BA62" i="41"/>
  <c r="BA61" i="41"/>
  <c r="BA60" i="41"/>
  <c r="BA59" i="41"/>
  <c r="BA58" i="41"/>
  <c r="BA57" i="41"/>
  <c r="BA56" i="41"/>
  <c r="AF65" i="41"/>
  <c r="AF64" i="41"/>
  <c r="AF63" i="41"/>
  <c r="AF62" i="41"/>
  <c r="AF61" i="41"/>
  <c r="AF60" i="41"/>
  <c r="AF59" i="41"/>
  <c r="AF58" i="41"/>
  <c r="AF57" i="41"/>
  <c r="AF56" i="41"/>
  <c r="CB56" i="41" l="1"/>
  <c r="AF86" i="41"/>
  <c r="AF66" i="41"/>
  <c r="AU66" i="41"/>
  <c r="AU86" i="41"/>
  <c r="AF98" i="41"/>
  <c r="AU98" i="41"/>
  <c r="AF140" i="41"/>
  <c r="AN140" i="41"/>
  <c r="AN66" i="41"/>
  <c r="BA66" i="41"/>
  <c r="AN86" i="41"/>
  <c r="BA86" i="41"/>
  <c r="AN98" i="41"/>
  <c r="BA98" i="41"/>
  <c r="AU53" i="41"/>
  <c r="AU52" i="41"/>
  <c r="AU51" i="41"/>
  <c r="AU50" i="41"/>
  <c r="AU49" i="41"/>
  <c r="AU48" i="41"/>
  <c r="AU47" i="41"/>
  <c r="AU46" i="41"/>
  <c r="AU45" i="41"/>
  <c r="AU44" i="41"/>
  <c r="BA51" i="41"/>
  <c r="BA50" i="41"/>
  <c r="BA49" i="41"/>
  <c r="BA48" i="41"/>
  <c r="BA47" i="41"/>
  <c r="BA46" i="41"/>
  <c r="BA45" i="41"/>
  <c r="BA44" i="41"/>
  <c r="BA43" i="41"/>
  <c r="BA52" i="41"/>
  <c r="BA53" i="41"/>
  <c r="AN51" i="41"/>
  <c r="AN50" i="41"/>
  <c r="AN49" i="41"/>
  <c r="AN48" i="41"/>
  <c r="AN47" i="41"/>
  <c r="AN46" i="41"/>
  <c r="AN45" i="41"/>
  <c r="AN44" i="41"/>
  <c r="AN52" i="41"/>
  <c r="AN53" i="41"/>
  <c r="AF51" i="41"/>
  <c r="AF50" i="41"/>
  <c r="AF49" i="41"/>
  <c r="AF48" i="41"/>
  <c r="AF47" i="41"/>
  <c r="AF46" i="41"/>
  <c r="AF45" i="41"/>
  <c r="AF44" i="41"/>
  <c r="AF43" i="41"/>
  <c r="AF52" i="41"/>
  <c r="AF53" i="41"/>
  <c r="BA18" i="41"/>
  <c r="BA17" i="41"/>
  <c r="BA16" i="41"/>
  <c r="BA15" i="41"/>
  <c r="BA14" i="41"/>
  <c r="BA13" i="41"/>
  <c r="BA12" i="41"/>
  <c r="BA11" i="41"/>
  <c r="BA10" i="41"/>
  <c r="BA9" i="41"/>
  <c r="BA8" i="41"/>
  <c r="BA7" i="41"/>
  <c r="BA19" i="41"/>
  <c r="BA40" i="41"/>
  <c r="BA39" i="41"/>
  <c r="BA38" i="41"/>
  <c r="BA37" i="41"/>
  <c r="BA36" i="41"/>
  <c r="BA35" i="41"/>
  <c r="BA34" i="41"/>
  <c r="BA33" i="41"/>
  <c r="BA32" i="41"/>
  <c r="BA31" i="41"/>
  <c r="BA30" i="41"/>
  <c r="BA29" i="41"/>
  <c r="BA28" i="41"/>
  <c r="BA27" i="41"/>
  <c r="BA26" i="41"/>
  <c r="BA25" i="41"/>
  <c r="BA24" i="41"/>
  <c r="BA20" i="41" l="1"/>
  <c r="AU54" i="41"/>
  <c r="AN54" i="41"/>
  <c r="BA41" i="41"/>
  <c r="AF54" i="41"/>
  <c r="BA54" i="41"/>
  <c r="AN17" i="41"/>
  <c r="AN16" i="41"/>
  <c r="AN15" i="41"/>
  <c r="AN14" i="41"/>
  <c r="AN13" i="41"/>
  <c r="AN12" i="41"/>
  <c r="AN11" i="41"/>
  <c r="AN10" i="41"/>
  <c r="AN9" i="41"/>
  <c r="AN8" i="41"/>
  <c r="AN7" i="41"/>
  <c r="AN18" i="41"/>
  <c r="AN19" i="41"/>
  <c r="AN40" i="41"/>
  <c r="AN39" i="41"/>
  <c r="AN38" i="41"/>
  <c r="AN37" i="41"/>
  <c r="AN36" i="41"/>
  <c r="AN35" i="41"/>
  <c r="AN34" i="41"/>
  <c r="AN33" i="41"/>
  <c r="AN32" i="41"/>
  <c r="AN31" i="41"/>
  <c r="AN30" i="41"/>
  <c r="AN29" i="41"/>
  <c r="AN28" i="41"/>
  <c r="AN27" i="41"/>
  <c r="AN26" i="41"/>
  <c r="AN25" i="41"/>
  <c r="AN23" i="41"/>
  <c r="AN22" i="41"/>
  <c r="AU40" i="41"/>
  <c r="AU39" i="41"/>
  <c r="AU38" i="41"/>
  <c r="AU37" i="41"/>
  <c r="AU36" i="41"/>
  <c r="AU35" i="41"/>
  <c r="AU34" i="41"/>
  <c r="AU33" i="41"/>
  <c r="AU32" i="41"/>
  <c r="AU31" i="41"/>
  <c r="AU30" i="41"/>
  <c r="AU29" i="41"/>
  <c r="AU28" i="41"/>
  <c r="AU27" i="41"/>
  <c r="AU26" i="41"/>
  <c r="AU25" i="41"/>
  <c r="AU24" i="41"/>
  <c r="AU22" i="41"/>
  <c r="AU23" i="41"/>
  <c r="AF40" i="41"/>
  <c r="AF39" i="41"/>
  <c r="AF38" i="41"/>
  <c r="AF37" i="41"/>
  <c r="AF36" i="41"/>
  <c r="AF35" i="41"/>
  <c r="AF34" i="41"/>
  <c r="AF33" i="41"/>
  <c r="AF32" i="41"/>
  <c r="AF31" i="41"/>
  <c r="AF30" i="41"/>
  <c r="AF29" i="41"/>
  <c r="AF28" i="41"/>
  <c r="AF27" i="41"/>
  <c r="AF26" i="41"/>
  <c r="AF25" i="41"/>
  <c r="AF24" i="41"/>
  <c r="AF23" i="41"/>
  <c r="AF22" i="41"/>
  <c r="AF19" i="41"/>
  <c r="AF18" i="41"/>
  <c r="AF17" i="41"/>
  <c r="AF16" i="41"/>
  <c r="AF15" i="41"/>
  <c r="AF14" i="41"/>
  <c r="AF13" i="41"/>
  <c r="AF12" i="41"/>
  <c r="AF11" i="41"/>
  <c r="AF10" i="41"/>
  <c r="AF9" i="41"/>
  <c r="AF8" i="41"/>
  <c r="AF7" i="41"/>
  <c r="AN41" i="41" l="1"/>
  <c r="AN20" i="41"/>
  <c r="BA247" i="41"/>
  <c r="AF20" i="41"/>
  <c r="AF41" i="41"/>
  <c r="AU41" i="41"/>
  <c r="AU247" i="41" s="1"/>
  <c r="BI7" i="41"/>
  <c r="BI16" i="41"/>
  <c r="BI15" i="41"/>
  <c r="BI14" i="41"/>
  <c r="BI13" i="41"/>
  <c r="BI12" i="41"/>
  <c r="BI11" i="41"/>
  <c r="BI10" i="41"/>
  <c r="BI9" i="41"/>
  <c r="BI8" i="41"/>
  <c r="BI19" i="41"/>
  <c r="BI18" i="41"/>
  <c r="BI17" i="41"/>
  <c r="BH7" i="41"/>
  <c r="BH11" i="41"/>
  <c r="BH10" i="41"/>
  <c r="BH9" i="41"/>
  <c r="BH8" i="41"/>
  <c r="BH17" i="41"/>
  <c r="BH16" i="41"/>
  <c r="BH15" i="41"/>
  <c r="BH14" i="41"/>
  <c r="BH13" i="41"/>
  <c r="BH12" i="41"/>
  <c r="BH18" i="41"/>
  <c r="BH19" i="41"/>
  <c r="AN247" i="41" l="1"/>
  <c r="BH20" i="41"/>
  <c r="BH247" i="41" s="1"/>
  <c r="BI20" i="41"/>
  <c r="BI247" i="41" s="1"/>
  <c r="AY19" i="41"/>
  <c r="AY18" i="41"/>
  <c r="AY17" i="41"/>
  <c r="AY16" i="41"/>
  <c r="AY15" i="41"/>
  <c r="AY14" i="41"/>
  <c r="AY13" i="41"/>
  <c r="AY12" i="41"/>
  <c r="AY11" i="41"/>
  <c r="AY10" i="41"/>
  <c r="AY9" i="41"/>
  <c r="AY8" i="41"/>
  <c r="AY7" i="41"/>
  <c r="E12" i="68" l="1"/>
  <c r="AY20" i="41"/>
  <c r="AY247" i="41" s="1"/>
  <c r="E112" i="1" s="1"/>
  <c r="K32" i="1"/>
  <c r="J32" i="1"/>
  <c r="K31" i="1"/>
  <c r="J31" i="1"/>
  <c r="K30" i="1"/>
  <c r="J30" i="1"/>
  <c r="K29" i="1"/>
  <c r="J29" i="1"/>
  <c r="K33" i="1"/>
  <c r="J33" i="1"/>
  <c r="I172" i="41" l="1"/>
  <c r="J172" i="41"/>
  <c r="L172" i="41" l="1"/>
  <c r="K172" i="41"/>
  <c r="O242" i="41"/>
  <c r="O150" i="41"/>
  <c r="E27" i="1" l="1"/>
  <c r="E26" i="1"/>
  <c r="E25" i="1"/>
  <c r="E24" i="1"/>
  <c r="E38" i="1"/>
  <c r="E37" i="1"/>
  <c r="E36" i="1"/>
  <c r="E35" i="1"/>
  <c r="K35" i="1" l="1"/>
  <c r="J35" i="1"/>
  <c r="K36" i="1"/>
  <c r="J36" i="1"/>
  <c r="K37" i="1"/>
  <c r="J37" i="1"/>
  <c r="K38" i="1"/>
  <c r="J38" i="1"/>
  <c r="J26" i="1"/>
  <c r="K26" i="1"/>
  <c r="J24" i="1"/>
  <c r="K24" i="1"/>
  <c r="K25" i="1"/>
  <c r="J25" i="1"/>
  <c r="K27" i="1"/>
  <c r="J27" i="1"/>
  <c r="J245" i="41" l="1"/>
  <c r="J244" i="41"/>
  <c r="J243" i="41"/>
  <c r="J242" i="41"/>
  <c r="J241" i="41"/>
  <c r="J240" i="41"/>
  <c r="J239" i="41"/>
  <c r="J238" i="41"/>
  <c r="J237" i="41"/>
  <c r="J236" i="41"/>
  <c r="J235" i="41"/>
  <c r="J234" i="41"/>
  <c r="J233" i="41"/>
  <c r="J232" i="41"/>
  <c r="J231" i="41"/>
  <c r="J230" i="41"/>
  <c r="J229" i="41"/>
  <c r="J228" i="41"/>
  <c r="J227" i="41"/>
  <c r="J226" i="41"/>
  <c r="J225" i="41"/>
  <c r="J224" i="41"/>
  <c r="J223" i="41"/>
  <c r="J222" i="41"/>
  <c r="J221" i="41"/>
  <c r="I245" i="41"/>
  <c r="L245" i="41" s="1"/>
  <c r="I244" i="41"/>
  <c r="L244" i="41" s="1"/>
  <c r="I243" i="41"/>
  <c r="L243" i="41" s="1"/>
  <c r="I242" i="41"/>
  <c r="L242" i="41" s="1"/>
  <c r="I241" i="41"/>
  <c r="L241" i="41" s="1"/>
  <c r="I240" i="41"/>
  <c r="L240" i="41" s="1"/>
  <c r="I239" i="41"/>
  <c r="L239" i="41" s="1"/>
  <c r="I238" i="41"/>
  <c r="L238" i="41" s="1"/>
  <c r="I237" i="41"/>
  <c r="L237" i="41" s="1"/>
  <c r="I236" i="41"/>
  <c r="L236" i="41" s="1"/>
  <c r="I235" i="41"/>
  <c r="L235" i="41" s="1"/>
  <c r="I234" i="41"/>
  <c r="L234" i="41" s="1"/>
  <c r="I233" i="41"/>
  <c r="L233" i="41" s="1"/>
  <c r="I232" i="41"/>
  <c r="I231" i="41"/>
  <c r="I230" i="41"/>
  <c r="I229" i="41"/>
  <c r="I228" i="41"/>
  <c r="L228" i="41" s="1"/>
  <c r="I227" i="41"/>
  <c r="L227" i="41" s="1"/>
  <c r="I226" i="41"/>
  <c r="L226" i="41" s="1"/>
  <c r="I225" i="41"/>
  <c r="L225" i="41" s="1"/>
  <c r="I224" i="41"/>
  <c r="L224" i="41" s="1"/>
  <c r="I223" i="41"/>
  <c r="L223" i="41" s="1"/>
  <c r="I222" i="41"/>
  <c r="L222" i="41" s="1"/>
  <c r="I221" i="41"/>
  <c r="H246" i="41"/>
  <c r="H180" i="41"/>
  <c r="I218" i="41"/>
  <c r="I217" i="41"/>
  <c r="I216" i="41"/>
  <c r="L216" i="41" s="1"/>
  <c r="I215" i="41"/>
  <c r="L215" i="41" s="1"/>
  <c r="I214" i="41"/>
  <c r="L214" i="41" s="1"/>
  <c r="I213" i="41"/>
  <c r="L213" i="41" s="1"/>
  <c r="I212" i="41"/>
  <c r="L212" i="41" s="1"/>
  <c r="I211" i="41"/>
  <c r="L211" i="41" s="1"/>
  <c r="I210" i="41"/>
  <c r="L210" i="41" s="1"/>
  <c r="I209" i="41"/>
  <c r="L209" i="41" s="1"/>
  <c r="I208" i="41"/>
  <c r="L208" i="41" s="1"/>
  <c r="I207" i="41"/>
  <c r="L207" i="41" s="1"/>
  <c r="I206" i="41"/>
  <c r="I205" i="41"/>
  <c r="I204" i="41"/>
  <c r="I203" i="41"/>
  <c r="I202" i="41"/>
  <c r="I201" i="41"/>
  <c r="I200" i="41"/>
  <c r="I199" i="41"/>
  <c r="I198" i="41"/>
  <c r="I197" i="41"/>
  <c r="I196" i="41"/>
  <c r="I195" i="41"/>
  <c r="I194" i="41"/>
  <c r="L194" i="41" s="1"/>
  <c r="I193" i="41"/>
  <c r="L193" i="41" s="1"/>
  <c r="I192" i="41"/>
  <c r="L192" i="41" s="1"/>
  <c r="I191" i="41"/>
  <c r="L191" i="41" s="1"/>
  <c r="I190" i="41"/>
  <c r="L190" i="41" s="1"/>
  <c r="I189" i="41"/>
  <c r="L189" i="41" s="1"/>
  <c r="I188" i="41"/>
  <c r="L188" i="41" s="1"/>
  <c r="I187" i="41"/>
  <c r="L187" i="41" s="1"/>
  <c r="I186" i="41"/>
  <c r="L186" i="41" s="1"/>
  <c r="I185" i="41"/>
  <c r="L185" i="41" s="1"/>
  <c r="I184" i="41"/>
  <c r="L184" i="41" s="1"/>
  <c r="I183" i="41"/>
  <c r="L183" i="41" s="1"/>
  <c r="I182" i="41"/>
  <c r="L182" i="41" s="1"/>
  <c r="H219" i="41"/>
  <c r="T196" i="41"/>
  <c r="O196" i="41"/>
  <c r="J196" i="41"/>
  <c r="J195" i="41"/>
  <c r="T194" i="41"/>
  <c r="O194" i="41"/>
  <c r="J194" i="41"/>
  <c r="T193" i="41"/>
  <c r="O193" i="41"/>
  <c r="J193" i="41"/>
  <c r="T192" i="41"/>
  <c r="O192" i="41"/>
  <c r="J192" i="41"/>
  <c r="T191" i="41"/>
  <c r="O191" i="41"/>
  <c r="J191" i="41"/>
  <c r="J190" i="41"/>
  <c r="O189" i="41"/>
  <c r="J189" i="41"/>
  <c r="O188" i="41"/>
  <c r="J188" i="41"/>
  <c r="T187" i="41"/>
  <c r="O187" i="41"/>
  <c r="J187" i="41"/>
  <c r="J186" i="41"/>
  <c r="T185" i="41"/>
  <c r="O185" i="41"/>
  <c r="J185" i="41"/>
  <c r="T184" i="41"/>
  <c r="O184" i="41"/>
  <c r="J184" i="41"/>
  <c r="T183" i="41"/>
  <c r="O183" i="41"/>
  <c r="J183" i="41"/>
  <c r="T205" i="41"/>
  <c r="O205" i="41"/>
  <c r="J205" i="41"/>
  <c r="J204" i="41"/>
  <c r="T203" i="41"/>
  <c r="O203" i="41"/>
  <c r="J203" i="41"/>
  <c r="T202" i="41"/>
  <c r="O202" i="41"/>
  <c r="J202" i="41"/>
  <c r="T201" i="41"/>
  <c r="O201" i="41"/>
  <c r="J201" i="41"/>
  <c r="J200" i="41"/>
  <c r="T199" i="41"/>
  <c r="O199" i="41"/>
  <c r="J199" i="41"/>
  <c r="T198" i="41"/>
  <c r="O198" i="41"/>
  <c r="J198" i="41"/>
  <c r="T197" i="41"/>
  <c r="O197" i="41"/>
  <c r="J197" i="41"/>
  <c r="T212" i="41"/>
  <c r="O212" i="41"/>
  <c r="J212" i="41"/>
  <c r="T211" i="41"/>
  <c r="O211" i="41"/>
  <c r="J211" i="41"/>
  <c r="T210" i="41"/>
  <c r="O210" i="41"/>
  <c r="J210" i="41"/>
  <c r="J209" i="41"/>
  <c r="T208" i="41"/>
  <c r="O208" i="41"/>
  <c r="J208" i="41"/>
  <c r="T207" i="41"/>
  <c r="O207" i="41"/>
  <c r="J207" i="41"/>
  <c r="T206" i="41"/>
  <c r="O206" i="41"/>
  <c r="J206" i="41"/>
  <c r="J182" i="41"/>
  <c r="T216" i="41"/>
  <c r="O216" i="41"/>
  <c r="J216" i="41"/>
  <c r="T215" i="41"/>
  <c r="O215" i="41"/>
  <c r="J215" i="41"/>
  <c r="T214" i="41"/>
  <c r="O214" i="41"/>
  <c r="J214" i="41"/>
  <c r="J213" i="41"/>
  <c r="T174" i="41"/>
  <c r="O174" i="41"/>
  <c r="J174" i="41"/>
  <c r="I174" i="41"/>
  <c r="J173" i="41"/>
  <c r="I173" i="41"/>
  <c r="J171" i="41"/>
  <c r="I171" i="41"/>
  <c r="J170" i="41"/>
  <c r="I170" i="41"/>
  <c r="J169" i="41"/>
  <c r="I169" i="41"/>
  <c r="J168" i="41"/>
  <c r="I168" i="41"/>
  <c r="AK167" i="41"/>
  <c r="AK180" i="41" s="1"/>
  <c r="AK247" i="41" s="1"/>
  <c r="E104" i="1" s="1"/>
  <c r="AD167" i="41"/>
  <c r="AC167" i="41"/>
  <c r="AC180" i="41" s="1"/>
  <c r="AC247" i="41" s="1"/>
  <c r="E22" i="68" s="1"/>
  <c r="T167" i="41"/>
  <c r="O167" i="41"/>
  <c r="J167" i="41"/>
  <c r="I167" i="41"/>
  <c r="L199" i="41" l="1"/>
  <c r="K199" i="41"/>
  <c r="L231" i="41"/>
  <c r="K231" i="41"/>
  <c r="L168" i="41"/>
  <c r="K168" i="41"/>
  <c r="L170" i="41"/>
  <c r="K170" i="41"/>
  <c r="L173" i="41"/>
  <c r="K173" i="41"/>
  <c r="L196" i="41"/>
  <c r="K196" i="41"/>
  <c r="L200" i="41"/>
  <c r="K200" i="41"/>
  <c r="L204" i="41"/>
  <c r="K204" i="41"/>
  <c r="L232" i="41"/>
  <c r="K232" i="41"/>
  <c r="L195" i="41"/>
  <c r="K195" i="41"/>
  <c r="L203" i="41"/>
  <c r="K203" i="41"/>
  <c r="L167" i="41"/>
  <c r="K167" i="41"/>
  <c r="L197" i="41"/>
  <c r="K197" i="41"/>
  <c r="L201" i="41"/>
  <c r="K201" i="41"/>
  <c r="L205" i="41"/>
  <c r="K205" i="41"/>
  <c r="L229" i="41"/>
  <c r="K229" i="41"/>
  <c r="AD180" i="41"/>
  <c r="AD247" i="41" s="1"/>
  <c r="BO167" i="41"/>
  <c r="BO180" i="41" s="1"/>
  <c r="BO247" i="41" s="1"/>
  <c r="AF167" i="41"/>
  <c r="AF180" i="41" s="1"/>
  <c r="AF247" i="41" s="1"/>
  <c r="E97" i="1" s="1"/>
  <c r="L169" i="41"/>
  <c r="K169" i="41"/>
  <c r="L171" i="41"/>
  <c r="K171" i="41"/>
  <c r="L174" i="41"/>
  <c r="K174" i="41"/>
  <c r="L198" i="41"/>
  <c r="K198" i="41"/>
  <c r="L202" i="41"/>
  <c r="K202" i="41"/>
  <c r="L206" i="41"/>
  <c r="K206" i="41"/>
  <c r="L230" i="41"/>
  <c r="K230" i="41"/>
  <c r="I219" i="41"/>
  <c r="I246" i="41"/>
  <c r="J246" i="41"/>
  <c r="L221" i="41"/>
  <c r="T175" i="41"/>
  <c r="O175" i="41"/>
  <c r="J175" i="41"/>
  <c r="I175" i="41"/>
  <c r="T166" i="41"/>
  <c r="O166" i="41"/>
  <c r="J166" i="41"/>
  <c r="I166" i="41"/>
  <c r="T165" i="41"/>
  <c r="O165" i="41"/>
  <c r="J165" i="41"/>
  <c r="I165" i="41"/>
  <c r="J164" i="41"/>
  <c r="I164" i="41"/>
  <c r="L164" i="41" s="1"/>
  <c r="J163" i="41"/>
  <c r="I163" i="41"/>
  <c r="L163" i="41" s="1"/>
  <c r="J162" i="41"/>
  <c r="I162" i="41"/>
  <c r="L162" i="41" s="1"/>
  <c r="J161" i="41"/>
  <c r="I161" i="41"/>
  <c r="L161" i="41" s="1"/>
  <c r="J160" i="41"/>
  <c r="I160" i="41"/>
  <c r="L160" i="41" s="1"/>
  <c r="T221" i="41"/>
  <c r="T246" i="41" s="1"/>
  <c r="O221" i="41"/>
  <c r="O246" i="41" s="1"/>
  <c r="T218" i="41"/>
  <c r="T219" i="41" s="1"/>
  <c r="O218" i="41"/>
  <c r="O219" i="41" s="1"/>
  <c r="L218" i="41"/>
  <c r="J218" i="41"/>
  <c r="J217" i="41"/>
  <c r="L217" i="41"/>
  <c r="J179" i="41"/>
  <c r="I179" i="41"/>
  <c r="J178" i="41"/>
  <c r="I178" i="41"/>
  <c r="J177" i="41"/>
  <c r="I177" i="41"/>
  <c r="J176" i="41"/>
  <c r="I176" i="41"/>
  <c r="J159" i="41"/>
  <c r="I159" i="41"/>
  <c r="L159" i="41" s="1"/>
  <c r="J158" i="41"/>
  <c r="I158" i="41"/>
  <c r="L158" i="41" s="1"/>
  <c r="J157" i="41"/>
  <c r="I157" i="41"/>
  <c r="L157" i="41" s="1"/>
  <c r="T156" i="41"/>
  <c r="O156" i="41"/>
  <c r="J156" i="41"/>
  <c r="I156" i="41"/>
  <c r="J153" i="41"/>
  <c r="J152" i="41"/>
  <c r="J151" i="41"/>
  <c r="J150" i="41"/>
  <c r="J149" i="41"/>
  <c r="J148" i="41"/>
  <c r="J147" i="41"/>
  <c r="J146" i="41"/>
  <c r="J145" i="41"/>
  <c r="J144" i="41"/>
  <c r="J143" i="41"/>
  <c r="J142" i="41"/>
  <c r="I153" i="41"/>
  <c r="L153" i="41" s="1"/>
  <c r="I152" i="41"/>
  <c r="L152" i="41" s="1"/>
  <c r="I151" i="41"/>
  <c r="L151" i="41" s="1"/>
  <c r="I150" i="41"/>
  <c r="L150" i="41" s="1"/>
  <c r="I149" i="41"/>
  <c r="L149" i="41" s="1"/>
  <c r="I148" i="41"/>
  <c r="L148" i="41" s="1"/>
  <c r="I147" i="41"/>
  <c r="L147" i="41" s="1"/>
  <c r="I146" i="41"/>
  <c r="L146" i="41" s="1"/>
  <c r="I145" i="41"/>
  <c r="L145" i="41" s="1"/>
  <c r="I144" i="41"/>
  <c r="L144" i="41" s="1"/>
  <c r="I143" i="41"/>
  <c r="L143" i="41" s="1"/>
  <c r="I142" i="41"/>
  <c r="L142" i="41" s="1"/>
  <c r="I139" i="41"/>
  <c r="L139" i="41" s="1"/>
  <c r="I138" i="41"/>
  <c r="L138" i="41" s="1"/>
  <c r="I137" i="41"/>
  <c r="L137" i="41" s="1"/>
  <c r="I136" i="41"/>
  <c r="L136" i="41" s="1"/>
  <c r="I135" i="41"/>
  <c r="L135" i="41" s="1"/>
  <c r="I134" i="41"/>
  <c r="L134" i="41" s="1"/>
  <c r="I133" i="41"/>
  <c r="L133" i="41" s="1"/>
  <c r="I132" i="41"/>
  <c r="L132" i="41" s="1"/>
  <c r="I131" i="41"/>
  <c r="L131" i="41" s="1"/>
  <c r="I130" i="41"/>
  <c r="L130" i="41" s="1"/>
  <c r="I129" i="41"/>
  <c r="L129" i="41" s="1"/>
  <c r="I128" i="41"/>
  <c r="L128" i="41" s="1"/>
  <c r="I127" i="41"/>
  <c r="L127" i="41" s="1"/>
  <c r="I126" i="41"/>
  <c r="L126" i="41" s="1"/>
  <c r="I125" i="41"/>
  <c r="L125" i="41" s="1"/>
  <c r="I124" i="41"/>
  <c r="L124" i="41" s="1"/>
  <c r="I123" i="41"/>
  <c r="L123" i="41" s="1"/>
  <c r="I122" i="41"/>
  <c r="L122" i="41" s="1"/>
  <c r="I121" i="41"/>
  <c r="L121" i="41" s="1"/>
  <c r="I120" i="41"/>
  <c r="L120" i="41" s="1"/>
  <c r="I119" i="41"/>
  <c r="L119" i="41" s="1"/>
  <c r="I118" i="41"/>
  <c r="L118" i="41" s="1"/>
  <c r="I117" i="41"/>
  <c r="L117" i="41" s="1"/>
  <c r="I116" i="41"/>
  <c r="L116" i="41" s="1"/>
  <c r="I115" i="41"/>
  <c r="L115" i="41" s="1"/>
  <c r="I114" i="41"/>
  <c r="L114" i="41" s="1"/>
  <c r="I113" i="41"/>
  <c r="L113" i="41" s="1"/>
  <c r="I112" i="41"/>
  <c r="L112" i="41" s="1"/>
  <c r="I111" i="41"/>
  <c r="L111" i="41" s="1"/>
  <c r="I110" i="41"/>
  <c r="L110" i="41" s="1"/>
  <c r="I109" i="41"/>
  <c r="L109" i="41" s="1"/>
  <c r="I108" i="41"/>
  <c r="L108" i="41" s="1"/>
  <c r="I107" i="41"/>
  <c r="L107" i="41" s="1"/>
  <c r="I106" i="41"/>
  <c r="L106" i="41" s="1"/>
  <c r="I105" i="41"/>
  <c r="L105" i="41" s="1"/>
  <c r="I104" i="41"/>
  <c r="L104" i="41" s="1"/>
  <c r="I103" i="41"/>
  <c r="L103" i="41" s="1"/>
  <c r="I102" i="41"/>
  <c r="L102" i="41" s="1"/>
  <c r="I101" i="41"/>
  <c r="L101" i="41" s="1"/>
  <c r="I100" i="41"/>
  <c r="L100" i="41" s="1"/>
  <c r="J97" i="41"/>
  <c r="J96" i="41"/>
  <c r="J95" i="41"/>
  <c r="J94" i="41"/>
  <c r="BB94" i="41" s="1"/>
  <c r="J93" i="41"/>
  <c r="BB93" i="41" s="1"/>
  <c r="J92" i="41"/>
  <c r="BB92" i="41" s="1"/>
  <c r="J91" i="41"/>
  <c r="BB91" i="41" s="1"/>
  <c r="J90" i="41"/>
  <c r="BB90" i="41" s="1"/>
  <c r="J89" i="41"/>
  <c r="BB89" i="41" s="1"/>
  <c r="J88" i="41"/>
  <c r="BB88" i="41" s="1"/>
  <c r="I97" i="41"/>
  <c r="L97" i="41" s="1"/>
  <c r="I96" i="41"/>
  <c r="L96" i="41" s="1"/>
  <c r="I95" i="41"/>
  <c r="L95" i="41" s="1"/>
  <c r="I94" i="41"/>
  <c r="L94" i="41" s="1"/>
  <c r="I93" i="41"/>
  <c r="L93" i="41" s="1"/>
  <c r="I92" i="41"/>
  <c r="L92" i="41" s="1"/>
  <c r="I91" i="41"/>
  <c r="L91" i="41" s="1"/>
  <c r="I90" i="41"/>
  <c r="L90" i="41" s="1"/>
  <c r="I89" i="41"/>
  <c r="L89" i="41" s="1"/>
  <c r="I88" i="41"/>
  <c r="L88" i="41" s="1"/>
  <c r="I85" i="41"/>
  <c r="L85" i="41" s="1"/>
  <c r="I84" i="41"/>
  <c r="L84" i="41" s="1"/>
  <c r="I83" i="41"/>
  <c r="L83" i="41" s="1"/>
  <c r="I82" i="41"/>
  <c r="L82" i="41" s="1"/>
  <c r="I81" i="41"/>
  <c r="L81" i="41" s="1"/>
  <c r="I80" i="41"/>
  <c r="L80" i="41" s="1"/>
  <c r="I79" i="41"/>
  <c r="L79" i="41" s="1"/>
  <c r="I78" i="41"/>
  <c r="L78" i="41" s="1"/>
  <c r="I77" i="41"/>
  <c r="L77" i="41" s="1"/>
  <c r="I76" i="41"/>
  <c r="L76" i="41" s="1"/>
  <c r="I75" i="41"/>
  <c r="L75" i="41" s="1"/>
  <c r="I74" i="41"/>
  <c r="L74" i="41" s="1"/>
  <c r="I73" i="41"/>
  <c r="L73" i="41" s="1"/>
  <c r="I72" i="41"/>
  <c r="L72" i="41" s="1"/>
  <c r="I71" i="41"/>
  <c r="L71" i="41" s="1"/>
  <c r="I70" i="41"/>
  <c r="L70" i="41" s="1"/>
  <c r="I69" i="41"/>
  <c r="L69" i="41" s="1"/>
  <c r="I68" i="41"/>
  <c r="L68" i="41" s="1"/>
  <c r="I65" i="41"/>
  <c r="L65" i="41" s="1"/>
  <c r="I64" i="41"/>
  <c r="L64" i="41" s="1"/>
  <c r="I63" i="41"/>
  <c r="L63" i="41" s="1"/>
  <c r="I62" i="41"/>
  <c r="L62" i="41" s="1"/>
  <c r="I61" i="41"/>
  <c r="L61" i="41" s="1"/>
  <c r="I60" i="41"/>
  <c r="L60" i="41" s="1"/>
  <c r="I59" i="41"/>
  <c r="L59" i="41" s="1"/>
  <c r="I58" i="41"/>
  <c r="L58" i="41" s="1"/>
  <c r="I57" i="41"/>
  <c r="L57" i="41" s="1"/>
  <c r="I56" i="41"/>
  <c r="L56" i="41" s="1"/>
  <c r="I53" i="41"/>
  <c r="L53" i="41" s="1"/>
  <c r="I52" i="41"/>
  <c r="L52" i="41" s="1"/>
  <c r="I51" i="41"/>
  <c r="L51" i="41" s="1"/>
  <c r="I50" i="41"/>
  <c r="L50" i="41" s="1"/>
  <c r="I49" i="41"/>
  <c r="L49" i="41" s="1"/>
  <c r="I48" i="41"/>
  <c r="L48" i="41" s="1"/>
  <c r="I47" i="41"/>
  <c r="L47" i="41" s="1"/>
  <c r="I46" i="41"/>
  <c r="L46" i="41" s="1"/>
  <c r="I45" i="41"/>
  <c r="L45" i="41" s="1"/>
  <c r="I44" i="41"/>
  <c r="L44" i="41" s="1"/>
  <c r="I43" i="41"/>
  <c r="L43" i="41" s="1"/>
  <c r="I40" i="41"/>
  <c r="L40" i="41" s="1"/>
  <c r="I39" i="41"/>
  <c r="L39" i="41" s="1"/>
  <c r="I38" i="41"/>
  <c r="L38" i="41" s="1"/>
  <c r="I37" i="41"/>
  <c r="L37" i="41" s="1"/>
  <c r="I36" i="41"/>
  <c r="L36" i="41" s="1"/>
  <c r="I35" i="41"/>
  <c r="L35" i="41" s="1"/>
  <c r="I34" i="41"/>
  <c r="L34" i="41" s="1"/>
  <c r="I33" i="41"/>
  <c r="L33" i="41" s="1"/>
  <c r="I32" i="41"/>
  <c r="L32" i="41" s="1"/>
  <c r="I31" i="41"/>
  <c r="L31" i="41" s="1"/>
  <c r="I30" i="41"/>
  <c r="L30" i="41" s="1"/>
  <c r="I29" i="41"/>
  <c r="L29" i="41" s="1"/>
  <c r="I28" i="41"/>
  <c r="L28" i="41" s="1"/>
  <c r="I27" i="41"/>
  <c r="L27" i="41" s="1"/>
  <c r="I26" i="41"/>
  <c r="L26" i="41" s="1"/>
  <c r="I25" i="41"/>
  <c r="L25" i="41" s="1"/>
  <c r="I24" i="41"/>
  <c r="L24" i="41" s="1"/>
  <c r="I23" i="41"/>
  <c r="L23" i="41" s="1"/>
  <c r="I22" i="41"/>
  <c r="L22" i="41" s="1"/>
  <c r="I19" i="41"/>
  <c r="L19" i="41" s="1"/>
  <c r="I18" i="41"/>
  <c r="L18" i="41" s="1"/>
  <c r="I17" i="41"/>
  <c r="L17" i="41" s="1"/>
  <c r="I16" i="41"/>
  <c r="L16" i="41" s="1"/>
  <c r="I15" i="41"/>
  <c r="L15" i="41" s="1"/>
  <c r="I14" i="41"/>
  <c r="L14" i="41" s="1"/>
  <c r="I13" i="41"/>
  <c r="L13" i="41" s="1"/>
  <c r="I12" i="41"/>
  <c r="L12" i="41" s="1"/>
  <c r="I11" i="41"/>
  <c r="L11" i="41" s="1"/>
  <c r="I10" i="41"/>
  <c r="L10" i="41" s="1"/>
  <c r="I9" i="41"/>
  <c r="L9" i="41" s="1"/>
  <c r="I8" i="41"/>
  <c r="L8" i="41" s="1"/>
  <c r="I7" i="41"/>
  <c r="L7" i="41" s="1"/>
  <c r="T180" i="41" l="1"/>
  <c r="O180" i="41"/>
  <c r="D23" i="71"/>
  <c r="E17" i="68"/>
  <c r="E90" i="1"/>
  <c r="E92" i="1" s="1"/>
  <c r="J92" i="1" s="1"/>
  <c r="E18" i="68"/>
  <c r="L219" i="41"/>
  <c r="L66" i="41"/>
  <c r="L98" i="41"/>
  <c r="L140" i="41"/>
  <c r="L154" i="41"/>
  <c r="L246" i="41"/>
  <c r="L177" i="41"/>
  <c r="K177" i="41"/>
  <c r="L166" i="41"/>
  <c r="K166" i="41"/>
  <c r="L54" i="41"/>
  <c r="L41" i="41"/>
  <c r="L86" i="41"/>
  <c r="L176" i="41"/>
  <c r="K176" i="41"/>
  <c r="L178" i="41"/>
  <c r="K178" i="41"/>
  <c r="K246" i="41"/>
  <c r="K219" i="41"/>
  <c r="L179" i="41"/>
  <c r="K179" i="41"/>
  <c r="L165" i="41"/>
  <c r="K165" i="41"/>
  <c r="L175" i="41"/>
  <c r="K175" i="41"/>
  <c r="L20" i="41"/>
  <c r="I180" i="41"/>
  <c r="J180" i="41"/>
  <c r="J219" i="41"/>
  <c r="L156" i="41"/>
  <c r="K92" i="1" l="1"/>
  <c r="D25" i="71"/>
  <c r="G25" i="71" s="1"/>
  <c r="G23" i="71"/>
  <c r="D26" i="71"/>
  <c r="G26" i="71" s="1"/>
  <c r="D24" i="71"/>
  <c r="G24" i="71" s="1"/>
  <c r="K180" i="41"/>
  <c r="K247" i="41" s="1"/>
  <c r="E24" i="68" s="1"/>
  <c r="E13" i="72" s="1"/>
  <c r="L180" i="41"/>
  <c r="L247" i="41" s="1"/>
  <c r="E23" i="68" s="1"/>
  <c r="E9" i="72" s="1"/>
  <c r="I20" i="41"/>
  <c r="I41" i="41"/>
  <c r="I54" i="41"/>
  <c r="I66" i="41"/>
  <c r="I86" i="41"/>
  <c r="J98" i="41"/>
  <c r="I98" i="41"/>
  <c r="I140" i="41"/>
  <c r="I154" i="41"/>
  <c r="M13" i="72" l="1"/>
  <c r="E14" i="72"/>
  <c r="M14" i="72" s="1"/>
  <c r="E16" i="72"/>
  <c r="M16" i="72" s="1"/>
  <c r="E15" i="72"/>
  <c r="M15" i="72" s="1"/>
  <c r="E67" i="1"/>
  <c r="I247" i="41"/>
  <c r="I250" i="41" s="1"/>
  <c r="J138" i="41"/>
  <c r="BB138" i="41" s="1"/>
  <c r="H154" i="41"/>
  <c r="T153" i="41"/>
  <c r="O153" i="41"/>
  <c r="T152" i="41"/>
  <c r="O152" i="41"/>
  <c r="T151" i="41"/>
  <c r="O151" i="41"/>
  <c r="T142" i="41"/>
  <c r="O142" i="41"/>
  <c r="H140" i="41"/>
  <c r="O115" i="41"/>
  <c r="J115" i="41"/>
  <c r="BB115" i="41" s="1"/>
  <c r="O114" i="41"/>
  <c r="J114" i="41"/>
  <c r="BB114" i="41" s="1"/>
  <c r="O113" i="41"/>
  <c r="J113" i="41"/>
  <c r="BB113" i="41" s="1"/>
  <c r="O112" i="41"/>
  <c r="J112" i="41"/>
  <c r="BB112" i="41" s="1"/>
  <c r="O111" i="41"/>
  <c r="J111" i="41"/>
  <c r="BB111" i="41" s="1"/>
  <c r="O110" i="41"/>
  <c r="J110" i="41"/>
  <c r="BB110" i="41" s="1"/>
  <c r="O109" i="41"/>
  <c r="J109" i="41"/>
  <c r="BB109" i="41" s="1"/>
  <c r="O108" i="41"/>
  <c r="J108" i="41"/>
  <c r="BB108" i="41" s="1"/>
  <c r="O107" i="41"/>
  <c r="J107" i="41"/>
  <c r="BB107" i="41" s="1"/>
  <c r="O106" i="41"/>
  <c r="J106" i="41"/>
  <c r="BB106" i="41" s="1"/>
  <c r="O105" i="41"/>
  <c r="J105" i="41"/>
  <c r="BB105" i="41" s="1"/>
  <c r="O124" i="41"/>
  <c r="J124" i="41"/>
  <c r="BB124" i="41" s="1"/>
  <c r="O123" i="41"/>
  <c r="J123" i="41"/>
  <c r="BB123" i="41" s="1"/>
  <c r="O122" i="41"/>
  <c r="J122" i="41"/>
  <c r="BB122" i="41" s="1"/>
  <c r="O121" i="41"/>
  <c r="J121" i="41"/>
  <c r="BB121" i="41" s="1"/>
  <c r="O120" i="41"/>
  <c r="J120" i="41"/>
  <c r="BB120" i="41" s="1"/>
  <c r="O119" i="41"/>
  <c r="J119" i="41"/>
  <c r="BB119" i="41" s="1"/>
  <c r="O118" i="41"/>
  <c r="J118" i="41"/>
  <c r="BB118" i="41" s="1"/>
  <c r="O117" i="41"/>
  <c r="J117" i="41"/>
  <c r="BB117" i="41" s="1"/>
  <c r="O116" i="41"/>
  <c r="J116" i="41"/>
  <c r="BB116" i="41" s="1"/>
  <c r="O104" i="41"/>
  <c r="O103" i="41"/>
  <c r="J103" i="41"/>
  <c r="BB103" i="41" s="1"/>
  <c r="O139" i="41"/>
  <c r="J139" i="41"/>
  <c r="BB139" i="41" s="1"/>
  <c r="O137" i="41"/>
  <c r="O136" i="41"/>
  <c r="J136" i="41"/>
  <c r="BB136" i="41" s="1"/>
  <c r="O135" i="41"/>
  <c r="J135" i="41"/>
  <c r="BB135" i="41" s="1"/>
  <c r="O134" i="41"/>
  <c r="O133" i="41"/>
  <c r="J133" i="41"/>
  <c r="BB133" i="41" s="1"/>
  <c r="O132" i="41"/>
  <c r="J132" i="41"/>
  <c r="BB132" i="41" s="1"/>
  <c r="O131" i="41"/>
  <c r="O130" i="41"/>
  <c r="J130" i="41"/>
  <c r="BB130" i="41" s="1"/>
  <c r="O129" i="41"/>
  <c r="J129" i="41"/>
  <c r="BB129" i="41" s="1"/>
  <c r="O128" i="41"/>
  <c r="J128" i="41"/>
  <c r="BB128" i="41" s="1"/>
  <c r="O127" i="41"/>
  <c r="J127" i="41"/>
  <c r="BB127" i="41" s="1"/>
  <c r="O126" i="41"/>
  <c r="O125" i="41"/>
  <c r="J125" i="41"/>
  <c r="BB125" i="41" s="1"/>
  <c r="O102" i="41"/>
  <c r="J102" i="41"/>
  <c r="BB102" i="41" s="1"/>
  <c r="O101" i="41"/>
  <c r="J101" i="41"/>
  <c r="BB101" i="41" s="1"/>
  <c r="O100" i="41"/>
  <c r="J100" i="41"/>
  <c r="O82" i="41"/>
  <c r="J82" i="41"/>
  <c r="BB82" i="41" s="1"/>
  <c r="O81" i="41"/>
  <c r="O80" i="41"/>
  <c r="J80" i="41"/>
  <c r="BB80" i="41" s="1"/>
  <c r="O79" i="41"/>
  <c r="J79" i="41"/>
  <c r="BB79" i="41" s="1"/>
  <c r="O78" i="41"/>
  <c r="J78" i="41"/>
  <c r="BB78" i="41" s="1"/>
  <c r="O77" i="41"/>
  <c r="J77" i="41"/>
  <c r="BB77" i="41" s="1"/>
  <c r="O85" i="41"/>
  <c r="J85" i="41"/>
  <c r="BB85" i="41" s="1"/>
  <c r="O84" i="41"/>
  <c r="J84" i="41"/>
  <c r="BB84" i="41" s="1"/>
  <c r="O83" i="41"/>
  <c r="J83" i="41"/>
  <c r="BB83" i="41" s="1"/>
  <c r="O73" i="41"/>
  <c r="J73" i="41"/>
  <c r="BB73" i="41" s="1"/>
  <c r="O72" i="41"/>
  <c r="J72" i="41"/>
  <c r="BB72" i="41" s="1"/>
  <c r="O71" i="41"/>
  <c r="BX54" i="41"/>
  <c r="BX41" i="41"/>
  <c r="H20" i="41"/>
  <c r="O154" i="41" l="1"/>
  <c r="O140" i="41"/>
  <c r="T154" i="41"/>
  <c r="BB100" i="41"/>
  <c r="J154" i="41"/>
  <c r="J126" i="41"/>
  <c r="BB126" i="41" s="1"/>
  <c r="J104" i="41"/>
  <c r="BB104" i="41" s="1"/>
  <c r="J71" i="41"/>
  <c r="BB71" i="41" s="1"/>
  <c r="J131" i="41"/>
  <c r="BB131" i="41" s="1"/>
  <c r="J134" i="41"/>
  <c r="BB134" i="41" s="1"/>
  <c r="J137" i="41"/>
  <c r="BB137" i="41" s="1"/>
  <c r="J81" i="41"/>
  <c r="BB81" i="41" s="1"/>
  <c r="A3" i="78"/>
  <c r="BB140" i="41" l="1"/>
  <c r="J140" i="41"/>
  <c r="A9" i="72"/>
  <c r="A13" i="72" s="1"/>
  <c r="A3" i="81" l="1"/>
  <c r="B31" i="71"/>
  <c r="I27" i="81" l="1"/>
  <c r="F23" i="68" s="1"/>
  <c r="H28" i="81"/>
  <c r="I28" i="81" s="1"/>
  <c r="G97" i="1"/>
  <c r="G23" i="68" l="1"/>
  <c r="F24" i="68"/>
  <c r="T19" i="41"/>
  <c r="T15" i="41"/>
  <c r="T14" i="41"/>
  <c r="T13" i="41"/>
  <c r="T12" i="41"/>
  <c r="T11" i="41"/>
  <c r="T10" i="41"/>
  <c r="T9" i="41"/>
  <c r="T8" i="41"/>
  <c r="T7" i="41"/>
  <c r="O19" i="41"/>
  <c r="O18" i="41"/>
  <c r="O17" i="41"/>
  <c r="O16" i="41"/>
  <c r="O15" i="41"/>
  <c r="O14" i="41"/>
  <c r="O13" i="41"/>
  <c r="O12" i="41"/>
  <c r="O11" i="41"/>
  <c r="O10" i="41"/>
  <c r="O9" i="41"/>
  <c r="O8" i="41"/>
  <c r="O7" i="41"/>
  <c r="J19" i="41"/>
  <c r="BB19" i="41" s="1"/>
  <c r="J18" i="41"/>
  <c r="BB18" i="41" s="1"/>
  <c r="J17" i="41"/>
  <c r="BB17" i="41" s="1"/>
  <c r="J16" i="41"/>
  <c r="BB16" i="41" s="1"/>
  <c r="J15" i="41"/>
  <c r="BB15" i="41" s="1"/>
  <c r="J14" i="41"/>
  <c r="BB14" i="41" s="1"/>
  <c r="J13" i="41"/>
  <c r="BB13" i="41" s="1"/>
  <c r="J12" i="41"/>
  <c r="BB12" i="41" s="1"/>
  <c r="J11" i="41"/>
  <c r="BB11" i="41" s="1"/>
  <c r="J10" i="41"/>
  <c r="BB10" i="41" s="1"/>
  <c r="J9" i="41"/>
  <c r="BB9" i="41" s="1"/>
  <c r="J8" i="41"/>
  <c r="BB8" i="41" s="1"/>
  <c r="J7" i="41"/>
  <c r="T20" i="41" l="1"/>
  <c r="O20" i="41"/>
  <c r="BB7" i="41"/>
  <c r="BB20" i="41" s="1"/>
  <c r="J20" i="41"/>
  <c r="K111" i="1"/>
  <c r="J111" i="1"/>
  <c r="G19" i="1"/>
  <c r="N13" i="1" l="1"/>
  <c r="F35" i="82" l="1"/>
  <c r="F36" i="82"/>
  <c r="F38" i="82"/>
  <c r="F39" i="82"/>
  <c r="F40" i="82"/>
  <c r="F41" i="82"/>
  <c r="F42" i="82"/>
  <c r="F43" i="82"/>
  <c r="F44" i="82"/>
  <c r="F45" i="82"/>
  <c r="F46" i="82"/>
  <c r="F47" i="82"/>
  <c r="F48" i="82"/>
  <c r="F49" i="82"/>
  <c r="F50" i="82"/>
  <c r="J18" i="68"/>
  <c r="I17" i="68" l="1"/>
  <c r="J17" i="68" l="1"/>
  <c r="G107" i="1" l="1"/>
  <c r="G99" i="1"/>
  <c r="F88" i="1"/>
  <c r="F85" i="1"/>
  <c r="G75" i="1"/>
  <c r="O40" i="1"/>
  <c r="O39" i="1" s="1"/>
  <c r="F56" i="1"/>
  <c r="G43" i="1"/>
  <c r="G17" i="1"/>
  <c r="BX98" i="41" l="1"/>
  <c r="BX20" i="41"/>
  <c r="BX66" i="41" s="1"/>
  <c r="D41" i="71" l="1"/>
  <c r="G41" i="71" s="1"/>
  <c r="I10" i="68"/>
  <c r="I15" i="68"/>
  <c r="E109" i="1"/>
  <c r="J109" i="1" s="1"/>
  <c r="BX247" i="41"/>
  <c r="D34" i="71" l="1"/>
  <c r="G34" i="71" s="1"/>
  <c r="D33" i="71"/>
  <c r="G33" i="71" s="1"/>
  <c r="D35" i="71"/>
  <c r="G35" i="71" s="1"/>
  <c r="I13" i="68"/>
  <c r="I19" i="68"/>
  <c r="K109" i="1"/>
  <c r="K112" i="1" l="1"/>
  <c r="H41" i="41" l="1"/>
  <c r="J112" i="1"/>
  <c r="J75" i="41"/>
  <c r="BB75" i="41" s="1"/>
  <c r="J70" i="41"/>
  <c r="BB70" i="41" s="1"/>
  <c r="J53" i="41"/>
  <c r="BB53" i="41" s="1"/>
  <c r="J46" i="41"/>
  <c r="J45" i="41"/>
  <c r="J44" i="41"/>
  <c r="J43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O76" i="41"/>
  <c r="O75" i="41"/>
  <c r="O74" i="41"/>
  <c r="O70" i="41"/>
  <c r="O69" i="41"/>
  <c r="O68" i="41"/>
  <c r="O65" i="41"/>
  <c r="O64" i="41"/>
  <c r="O63" i="41"/>
  <c r="O62" i="41"/>
  <c r="O61" i="41"/>
  <c r="O60" i="41"/>
  <c r="O59" i="41"/>
  <c r="O58" i="41"/>
  <c r="O57" i="41"/>
  <c r="O56" i="41"/>
  <c r="O53" i="41"/>
  <c r="O52" i="41"/>
  <c r="O51" i="41"/>
  <c r="O50" i="41"/>
  <c r="O49" i="41"/>
  <c r="O48" i="41"/>
  <c r="O47" i="41"/>
  <c r="O46" i="41"/>
  <c r="O45" i="41"/>
  <c r="O44" i="41"/>
  <c r="O43" i="41"/>
  <c r="O40" i="41"/>
  <c r="O39" i="41"/>
  <c r="O38" i="41"/>
  <c r="O37" i="41"/>
  <c r="O36" i="41"/>
  <c r="O35" i="41"/>
  <c r="O34" i="41"/>
  <c r="O33" i="41"/>
  <c r="O32" i="41"/>
  <c r="O31" i="41"/>
  <c r="O30" i="41"/>
  <c r="O29" i="41"/>
  <c r="O28" i="41"/>
  <c r="O27" i="41"/>
  <c r="O26" i="41"/>
  <c r="O25" i="41"/>
  <c r="O24" i="41"/>
  <c r="O86" i="41" l="1"/>
  <c r="O66" i="41"/>
  <c r="O54" i="41"/>
  <c r="H54" i="41"/>
  <c r="H66" i="41"/>
  <c r="H86" i="41"/>
  <c r="J47" i="41"/>
  <c r="J51" i="41"/>
  <c r="J57" i="41"/>
  <c r="J61" i="41"/>
  <c r="J65" i="41"/>
  <c r="J74" i="41"/>
  <c r="BB74" i="41" s="1"/>
  <c r="J48" i="41"/>
  <c r="J52" i="41"/>
  <c r="BB52" i="41" s="1"/>
  <c r="J58" i="41"/>
  <c r="J62" i="41"/>
  <c r="J68" i="41"/>
  <c r="J49" i="41"/>
  <c r="J59" i="41"/>
  <c r="J63" i="41"/>
  <c r="J69" i="41"/>
  <c r="BB69" i="41" s="1"/>
  <c r="J76" i="41"/>
  <c r="BB76" i="41" s="1"/>
  <c r="J50" i="41"/>
  <c r="BB50" i="41" s="1"/>
  <c r="J56" i="41"/>
  <c r="J60" i="41"/>
  <c r="J64" i="41"/>
  <c r="H98" i="41"/>
  <c r="T97" i="41"/>
  <c r="O97" i="41"/>
  <c r="BB97" i="41"/>
  <c r="T96" i="41"/>
  <c r="O96" i="41"/>
  <c r="BB96" i="41"/>
  <c r="T95" i="41"/>
  <c r="O95" i="41"/>
  <c r="BB95" i="41"/>
  <c r="O88" i="41"/>
  <c r="BB45" i="41"/>
  <c r="O98" i="41" l="1"/>
  <c r="BB98" i="41"/>
  <c r="T98" i="41"/>
  <c r="T247" i="41" s="1"/>
  <c r="E60" i="1" s="1"/>
  <c r="H247" i="41"/>
  <c r="J86" i="41"/>
  <c r="J54" i="41"/>
  <c r="J66" i="41"/>
  <c r="C11" i="68"/>
  <c r="B11" i="68"/>
  <c r="D10" i="68"/>
  <c r="C10" i="68"/>
  <c r="B10" i="68"/>
  <c r="C28" i="11"/>
  <c r="C24" i="11"/>
  <c r="L8" i="72"/>
  <c r="B20" i="11" l="1"/>
  <c r="C22" i="11" l="1"/>
  <c r="C20" i="11"/>
  <c r="H12" i="81" l="1"/>
  <c r="I12" i="81" s="1"/>
  <c r="A26" i="11"/>
  <c r="C26" i="11" s="1"/>
  <c r="C29" i="11" s="1"/>
  <c r="F13" i="81"/>
  <c r="E99" i="1" l="1"/>
  <c r="K99" i="1" s="1"/>
  <c r="J10" i="68"/>
  <c r="J107" i="1"/>
  <c r="D39" i="71" l="1"/>
  <c r="G39" i="71" s="1"/>
  <c r="D38" i="71"/>
  <c r="G38" i="71" s="1"/>
  <c r="J105" i="1"/>
  <c r="J19" i="68"/>
  <c r="D22" i="71"/>
  <c r="G22" i="71" s="1"/>
  <c r="K107" i="1"/>
  <c r="J99" i="1"/>
  <c r="K105" i="1" l="1"/>
  <c r="E16" i="1"/>
  <c r="J16" i="1" s="1"/>
  <c r="J15" i="1"/>
  <c r="E17" i="1"/>
  <c r="J17" i="1" s="1"/>
  <c r="J19" i="1"/>
  <c r="K16" i="1" l="1"/>
  <c r="K15" i="1"/>
  <c r="K104" i="1"/>
  <c r="J104" i="1"/>
  <c r="K19" i="1"/>
  <c r="N19" i="1" s="1"/>
  <c r="K17" i="1"/>
  <c r="J23" i="41"/>
  <c r="J22" i="41"/>
  <c r="J41" i="41" l="1"/>
  <c r="J247" i="41" s="1"/>
  <c r="E25" i="68" s="1"/>
  <c r="E17" i="72" s="1"/>
  <c r="K108" i="1"/>
  <c r="J108" i="1"/>
  <c r="D29" i="71" l="1"/>
  <c r="G29" i="71" s="1"/>
  <c r="E106" i="1" l="1"/>
  <c r="K106" i="1" s="1"/>
  <c r="J106" i="1" l="1"/>
  <c r="BB48" i="41"/>
  <c r="BB47" i="41"/>
  <c r="BB46" i="41"/>
  <c r="BB44" i="41"/>
  <c r="BB43" i="41"/>
  <c r="BB40" i="41"/>
  <c r="BB39" i="41"/>
  <c r="BB38" i="41"/>
  <c r="BB60" i="41"/>
  <c r="BB59" i="41"/>
  <c r="BB58" i="41"/>
  <c r="BB57" i="41"/>
  <c r="BB56" i="41"/>
  <c r="BB51" i="41"/>
  <c r="BB49" i="41"/>
  <c r="BB54" i="41" l="1"/>
  <c r="I11" i="68"/>
  <c r="G49" i="1" l="1"/>
  <c r="G65" i="1"/>
  <c r="G64" i="1"/>
  <c r="B68" i="1" l="1"/>
  <c r="E34" i="11"/>
  <c r="D33" i="11"/>
  <c r="E33" i="11" s="1"/>
  <c r="L46" i="82" l="1"/>
  <c r="E12" i="72" l="1"/>
  <c r="M12" i="72" s="1"/>
  <c r="E11" i="72"/>
  <c r="M11" i="72" s="1"/>
  <c r="M9" i="72"/>
  <c r="E10" i="72"/>
  <c r="M10" i="72" s="1"/>
  <c r="J97" i="1"/>
  <c r="K97" i="1"/>
  <c r="BB34" i="41"/>
  <c r="E68" i="1" l="1"/>
  <c r="M68" i="1" l="1"/>
  <c r="L68" i="1"/>
  <c r="K68" i="1"/>
  <c r="J68" i="1"/>
  <c r="E62" i="82"/>
  <c r="E61" i="82"/>
  <c r="E60" i="82"/>
  <c r="E59" i="82"/>
  <c r="J50" i="82"/>
  <c r="G50" i="82"/>
  <c r="H50" i="82" s="1"/>
  <c r="J49" i="82"/>
  <c r="G49" i="82"/>
  <c r="H49" i="82" s="1"/>
  <c r="J48" i="82"/>
  <c r="G48" i="82"/>
  <c r="H48" i="82" s="1"/>
  <c r="J47" i="82"/>
  <c r="G47" i="82"/>
  <c r="H47" i="82" s="1"/>
  <c r="J46" i="82"/>
  <c r="G46" i="82"/>
  <c r="H46" i="82" s="1"/>
  <c r="J45" i="82"/>
  <c r="G45" i="82"/>
  <c r="H45" i="82" s="1"/>
  <c r="J44" i="82"/>
  <c r="G44" i="82"/>
  <c r="H44" i="82" s="1"/>
  <c r="J43" i="82"/>
  <c r="G43" i="82"/>
  <c r="H43" i="82" s="1"/>
  <c r="J42" i="82"/>
  <c r="G42" i="82"/>
  <c r="H42" i="82" s="1"/>
  <c r="J41" i="82"/>
  <c r="G41" i="82"/>
  <c r="H41" i="82" s="1"/>
  <c r="J40" i="82"/>
  <c r="G40" i="82"/>
  <c r="H40" i="82" s="1"/>
  <c r="J39" i="82"/>
  <c r="G39" i="82"/>
  <c r="H39" i="82" s="1"/>
  <c r="C39" i="82"/>
  <c r="C40" i="82" s="1"/>
  <c r="C41" i="82" s="1"/>
  <c r="C42" i="82" s="1"/>
  <c r="C43" i="82" s="1"/>
  <c r="C44" i="82" s="1"/>
  <c r="C45" i="82" s="1"/>
  <c r="C46" i="82" s="1"/>
  <c r="C47" i="82" s="1"/>
  <c r="C48" i="82" s="1"/>
  <c r="C49" i="82" s="1"/>
  <c r="C50" i="82" s="1"/>
  <c r="J38" i="82"/>
  <c r="G38" i="82"/>
  <c r="H38" i="82" s="1"/>
  <c r="G36" i="82"/>
  <c r="H36" i="82" s="1"/>
  <c r="G35" i="82"/>
  <c r="H35" i="82" s="1"/>
  <c r="I21" i="82"/>
  <c r="F21" i="82"/>
  <c r="G21" i="82" s="1"/>
  <c r="I20" i="82"/>
  <c r="F20" i="82"/>
  <c r="G20" i="82" s="1"/>
  <c r="I19" i="82"/>
  <c r="F19" i="82"/>
  <c r="G19" i="82" s="1"/>
  <c r="I18" i="82"/>
  <c r="F18" i="82"/>
  <c r="G18" i="82" s="1"/>
  <c r="I17" i="82"/>
  <c r="F17" i="82"/>
  <c r="G17" i="82" s="1"/>
  <c r="I16" i="82"/>
  <c r="F16" i="82"/>
  <c r="G16" i="82" s="1"/>
  <c r="I15" i="82"/>
  <c r="F15" i="82"/>
  <c r="G15" i="82" s="1"/>
  <c r="I14" i="82"/>
  <c r="F14" i="82"/>
  <c r="G14" i="82" s="1"/>
  <c r="I13" i="82"/>
  <c r="F13" i="82"/>
  <c r="G13" i="82" s="1"/>
  <c r="I12" i="82"/>
  <c r="F12" i="82"/>
  <c r="G12" i="82" s="1"/>
  <c r="I11" i="82"/>
  <c r="F11" i="82"/>
  <c r="G11" i="82" s="1"/>
  <c r="I10" i="82"/>
  <c r="F10" i="82"/>
  <c r="G10" i="82" s="1"/>
  <c r="C10" i="82"/>
  <c r="C11" i="82" s="1"/>
  <c r="C12" i="82" s="1"/>
  <c r="C13" i="82" s="1"/>
  <c r="C14" i="82" s="1"/>
  <c r="C15" i="82" s="1"/>
  <c r="C16" i="82" s="1"/>
  <c r="C17" i="82" s="1"/>
  <c r="C18" i="82" s="1"/>
  <c r="C19" i="82" s="1"/>
  <c r="C20" i="82" s="1"/>
  <c r="C21" i="82" s="1"/>
  <c r="I9" i="82"/>
  <c r="F9" i="82"/>
  <c r="G9" i="82" s="1"/>
  <c r="D30" i="11"/>
  <c r="A5" i="11"/>
  <c r="A3" i="71"/>
  <c r="A3" i="72"/>
  <c r="A4" i="81"/>
  <c r="A4" i="68"/>
  <c r="A3" i="77" l="1"/>
  <c r="A4" i="78"/>
  <c r="BB68" i="41" l="1"/>
  <c r="BB86" i="41" s="1"/>
  <c r="BB65" i="41"/>
  <c r="BB64" i="41"/>
  <c r="BB63" i="41"/>
  <c r="BB62" i="41"/>
  <c r="BB61" i="41"/>
  <c r="BB37" i="41"/>
  <c r="BB36" i="41"/>
  <c r="BB35" i="41"/>
  <c r="BB33" i="41"/>
  <c r="BB32" i="41"/>
  <c r="BB31" i="41"/>
  <c r="BB30" i="41"/>
  <c r="BB29" i="41"/>
  <c r="BB28" i="41"/>
  <c r="BB27" i="41"/>
  <c r="BB26" i="41"/>
  <c r="BB25" i="41"/>
  <c r="BB24" i="41"/>
  <c r="O23" i="41"/>
  <c r="BB23" i="41"/>
  <c r="O22" i="41"/>
  <c r="BB22" i="41"/>
  <c r="E2" i="41"/>
  <c r="E22" i="11"/>
  <c r="E21" i="11" s="1"/>
  <c r="B8" i="11"/>
  <c r="A4" i="11"/>
  <c r="E36" i="71"/>
  <c r="G36" i="71" s="1"/>
  <c r="B36" i="71"/>
  <c r="B22" i="71"/>
  <c r="B21" i="71"/>
  <c r="E20" i="71"/>
  <c r="B20" i="71"/>
  <c r="M19" i="71"/>
  <c r="L19" i="71"/>
  <c r="K19" i="71"/>
  <c r="E19" i="71"/>
  <c r="B19" i="71"/>
  <c r="E18" i="71"/>
  <c r="B18" i="71"/>
  <c r="B17" i="71"/>
  <c r="B16" i="71"/>
  <c r="M17" i="71"/>
  <c r="E9" i="71"/>
  <c r="G9" i="71" s="1"/>
  <c r="B8" i="71"/>
  <c r="A2" i="71"/>
  <c r="A2" i="72"/>
  <c r="H24" i="81"/>
  <c r="I24" i="81" s="1"/>
  <c r="F20" i="68" s="1"/>
  <c r="H23" i="81"/>
  <c r="I23" i="81" s="1"/>
  <c r="F19" i="68" s="1"/>
  <c r="H22" i="81"/>
  <c r="I22" i="81" s="1"/>
  <c r="F18" i="68" s="1"/>
  <c r="G18" i="68" s="1"/>
  <c r="H21" i="81"/>
  <c r="I21" i="81" s="1"/>
  <c r="F17" i="68" s="1"/>
  <c r="G17" i="68" s="1"/>
  <c r="G20" i="81"/>
  <c r="G19" i="81"/>
  <c r="H17" i="81"/>
  <c r="K16" i="81"/>
  <c r="K17" i="81" s="1"/>
  <c r="J16" i="81"/>
  <c r="J17" i="81" s="1"/>
  <c r="I16" i="81"/>
  <c r="F12" i="68" s="1"/>
  <c r="J15" i="81"/>
  <c r="K15" i="81" s="1"/>
  <c r="L15" i="81" s="1"/>
  <c r="K14" i="81"/>
  <c r="J14" i="81"/>
  <c r="H10" i="81"/>
  <c r="I10" i="81" s="1"/>
  <c r="F9" i="68" s="1"/>
  <c r="A10" i="81"/>
  <c r="A16" i="81" s="1"/>
  <c r="A17" i="81" s="1"/>
  <c r="A18" i="81" s="1"/>
  <c r="A19" i="81" s="1"/>
  <c r="I9" i="81"/>
  <c r="F8" i="68" s="1"/>
  <c r="C9" i="68"/>
  <c r="B9" i="68"/>
  <c r="A9" i="68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C8" i="68"/>
  <c r="B8" i="68"/>
  <c r="A3" i="68"/>
  <c r="A106" i="1"/>
  <c r="A103" i="1"/>
  <c r="A104" i="1" s="1"/>
  <c r="M98" i="1"/>
  <c r="L98" i="1"/>
  <c r="M66" i="1"/>
  <c r="L66" i="1"/>
  <c r="G59" i="1"/>
  <c r="G58" i="1"/>
  <c r="G57" i="1"/>
  <c r="N55" i="1"/>
  <c r="F55" i="1"/>
  <c r="G53" i="1"/>
  <c r="G52" i="1"/>
  <c r="F47" i="1"/>
  <c r="G51" i="1"/>
  <c r="M22" i="1"/>
  <c r="L22" i="1"/>
  <c r="B3" i="1"/>
  <c r="B2" i="1"/>
  <c r="K253" i="76"/>
  <c r="J253" i="76"/>
  <c r="I253" i="76"/>
  <c r="K252" i="76"/>
  <c r="J252" i="76"/>
  <c r="I252" i="76"/>
  <c r="E249" i="76"/>
  <c r="J249" i="76" s="1"/>
  <c r="F248" i="76"/>
  <c r="E248" i="76"/>
  <c r="J248" i="76" s="1"/>
  <c r="K247" i="76"/>
  <c r="J247" i="76"/>
  <c r="I247" i="76"/>
  <c r="K246" i="76"/>
  <c r="J246" i="76"/>
  <c r="K243" i="76"/>
  <c r="J243" i="76"/>
  <c r="K242" i="76"/>
  <c r="J242" i="76"/>
  <c r="K241" i="76"/>
  <c r="J241" i="76"/>
  <c r="K240" i="76"/>
  <c r="J240" i="76"/>
  <c r="K239" i="76"/>
  <c r="J239" i="76"/>
  <c r="I239" i="76"/>
  <c r="K238" i="76"/>
  <c r="J238" i="76"/>
  <c r="I238" i="76"/>
  <c r="K236" i="76"/>
  <c r="J236" i="76"/>
  <c r="I236" i="76"/>
  <c r="K235" i="76"/>
  <c r="J235" i="76"/>
  <c r="I235" i="76"/>
  <c r="K234" i="76"/>
  <c r="J234" i="76"/>
  <c r="F234" i="76"/>
  <c r="I234" i="76" s="1"/>
  <c r="K233" i="76"/>
  <c r="J233" i="76"/>
  <c r="I233" i="76"/>
  <c r="K232" i="76"/>
  <c r="J232" i="76"/>
  <c r="I232" i="76"/>
  <c r="A232" i="76"/>
  <c r="A233" i="76" s="1"/>
  <c r="A234" i="76" s="1"/>
  <c r="K231" i="76"/>
  <c r="J231" i="76"/>
  <c r="I231" i="76"/>
  <c r="K230" i="76"/>
  <c r="J230" i="76"/>
  <c r="I230" i="76"/>
  <c r="K229" i="76"/>
  <c r="J229" i="76"/>
  <c r="I229" i="76"/>
  <c r="K228" i="76"/>
  <c r="J228" i="76"/>
  <c r="I228" i="76"/>
  <c r="K227" i="76"/>
  <c r="J227" i="76"/>
  <c r="I227" i="76"/>
  <c r="K226" i="76"/>
  <c r="J226" i="76"/>
  <c r="I226" i="76"/>
  <c r="K225" i="76"/>
  <c r="J225" i="76"/>
  <c r="I225" i="76"/>
  <c r="K224" i="76"/>
  <c r="J224" i="76"/>
  <c r="I224" i="76"/>
  <c r="K223" i="76"/>
  <c r="J223" i="76"/>
  <c r="I223" i="76"/>
  <c r="G219" i="76"/>
  <c r="E219" i="76"/>
  <c r="I219" i="76" s="1"/>
  <c r="E217" i="76"/>
  <c r="E218" i="76" s="1"/>
  <c r="A217" i="76"/>
  <c r="A218" i="76" s="1"/>
  <c r="A219" i="76" s="1"/>
  <c r="A221" i="76" s="1"/>
  <c r="A222" i="76" s="1"/>
  <c r="E216" i="76"/>
  <c r="J216" i="76" s="1"/>
  <c r="A216" i="76"/>
  <c r="E214" i="76"/>
  <c r="J214" i="76" s="1"/>
  <c r="G213" i="76"/>
  <c r="B213" i="76"/>
  <c r="G212" i="76"/>
  <c r="B212" i="76"/>
  <c r="F211" i="76"/>
  <c r="E211" i="76"/>
  <c r="K211" i="76" s="1"/>
  <c r="F210" i="76"/>
  <c r="E210" i="76"/>
  <c r="K209" i="76"/>
  <c r="J209" i="76"/>
  <c r="I209" i="76"/>
  <c r="A209" i="76"/>
  <c r="F208" i="76"/>
  <c r="E208" i="76"/>
  <c r="E207" i="76"/>
  <c r="J207" i="76" s="1"/>
  <c r="F206" i="76"/>
  <c r="E206" i="76"/>
  <c r="E205" i="76"/>
  <c r="J205" i="76" s="1"/>
  <c r="K204" i="76"/>
  <c r="J204" i="76"/>
  <c r="I204" i="76"/>
  <c r="K203" i="76"/>
  <c r="J203" i="76"/>
  <c r="K202" i="76"/>
  <c r="J202" i="76"/>
  <c r="I202" i="76"/>
  <c r="K201" i="76"/>
  <c r="J201" i="76"/>
  <c r="K200" i="76"/>
  <c r="J200" i="76"/>
  <c r="I200" i="76"/>
  <c r="F199" i="76"/>
  <c r="E199" i="76"/>
  <c r="K199" i="76" s="1"/>
  <c r="E198" i="76"/>
  <c r="J198" i="76" s="1"/>
  <c r="E197" i="76"/>
  <c r="K196" i="76"/>
  <c r="J196" i="76"/>
  <c r="I196" i="76"/>
  <c r="K195" i="76"/>
  <c r="J195" i="76"/>
  <c r="K194" i="76"/>
  <c r="J194" i="76"/>
  <c r="I194" i="76"/>
  <c r="K193" i="76"/>
  <c r="J193" i="76"/>
  <c r="F193" i="76"/>
  <c r="F201" i="76" s="1"/>
  <c r="I201" i="76" s="1"/>
  <c r="K192" i="76"/>
  <c r="J192" i="76"/>
  <c r="I192" i="76"/>
  <c r="K191" i="76"/>
  <c r="J191" i="76"/>
  <c r="I191" i="76"/>
  <c r="K190" i="76"/>
  <c r="J190" i="76"/>
  <c r="I190" i="76"/>
  <c r="K189" i="76"/>
  <c r="J189" i="76"/>
  <c r="I189" i="76"/>
  <c r="E187" i="76"/>
  <c r="J187" i="76" s="1"/>
  <c r="E186" i="76"/>
  <c r="K185" i="76"/>
  <c r="J185" i="76"/>
  <c r="I185" i="76"/>
  <c r="F184" i="76"/>
  <c r="E184" i="76"/>
  <c r="F183" i="76"/>
  <c r="F186" i="76" s="1"/>
  <c r="E183" i="76"/>
  <c r="K182" i="76"/>
  <c r="J182" i="76"/>
  <c r="I182" i="76"/>
  <c r="K181" i="76"/>
  <c r="J181" i="76"/>
  <c r="F181" i="76"/>
  <c r="I181" i="76" s="1"/>
  <c r="K180" i="76"/>
  <c r="J180" i="76"/>
  <c r="I180" i="76"/>
  <c r="K179" i="76"/>
  <c r="J179" i="76"/>
  <c r="I179" i="76"/>
  <c r="E178" i="76"/>
  <c r="E177" i="76"/>
  <c r="K176" i="76"/>
  <c r="J176" i="76"/>
  <c r="I176" i="76"/>
  <c r="K175" i="76"/>
  <c r="J175" i="76"/>
  <c r="F175" i="76"/>
  <c r="I175" i="76" s="1"/>
  <c r="K174" i="76"/>
  <c r="J174" i="76"/>
  <c r="I174" i="76"/>
  <c r="K173" i="76"/>
  <c r="J173" i="76"/>
  <c r="I173" i="76"/>
  <c r="E172" i="76"/>
  <c r="K172" i="76" s="1"/>
  <c r="F171" i="76"/>
  <c r="F177" i="76" s="1"/>
  <c r="E171" i="76"/>
  <c r="K171" i="76" s="1"/>
  <c r="K170" i="76"/>
  <c r="J170" i="76"/>
  <c r="I170" i="76"/>
  <c r="K169" i="76"/>
  <c r="J169" i="76"/>
  <c r="F169" i="76"/>
  <c r="I169" i="76" s="1"/>
  <c r="K168" i="76"/>
  <c r="J168" i="76"/>
  <c r="I168" i="76"/>
  <c r="K167" i="76"/>
  <c r="J167" i="76"/>
  <c r="I167" i="76"/>
  <c r="K166" i="76"/>
  <c r="J166" i="76"/>
  <c r="I166" i="76"/>
  <c r="K165" i="76"/>
  <c r="J165" i="76"/>
  <c r="I165" i="76"/>
  <c r="K164" i="76"/>
  <c r="J164" i="76"/>
  <c r="I164" i="76"/>
  <c r="K163" i="76"/>
  <c r="J163" i="76"/>
  <c r="I163" i="76"/>
  <c r="K162" i="76"/>
  <c r="J162" i="76"/>
  <c r="I162" i="76"/>
  <c r="I161" i="76"/>
  <c r="I160" i="76"/>
  <c r="I159" i="76"/>
  <c r="E158" i="76"/>
  <c r="I158" i="76" s="1"/>
  <c r="E157" i="76"/>
  <c r="J157" i="76" s="1"/>
  <c r="E156" i="76"/>
  <c r="K156" i="76" s="1"/>
  <c r="F155" i="76"/>
  <c r="E155" i="76"/>
  <c r="K155" i="76" s="1"/>
  <c r="F154" i="76"/>
  <c r="E154" i="76"/>
  <c r="E153" i="76"/>
  <c r="E152" i="76"/>
  <c r="K152" i="76" s="1"/>
  <c r="E151" i="76"/>
  <c r="K150" i="76"/>
  <c r="J150" i="76"/>
  <c r="I150" i="76"/>
  <c r="K149" i="76"/>
  <c r="I149" i="76"/>
  <c r="G149" i="76"/>
  <c r="B149" i="76"/>
  <c r="B158" i="76" s="1"/>
  <c r="K148" i="76"/>
  <c r="J148" i="76"/>
  <c r="F148" i="76"/>
  <c r="K147" i="76"/>
  <c r="J147" i="76"/>
  <c r="F147" i="76"/>
  <c r="F156" i="76" s="1"/>
  <c r="K146" i="76"/>
  <c r="J146" i="76"/>
  <c r="K145" i="76"/>
  <c r="J145" i="76"/>
  <c r="I145" i="76"/>
  <c r="K144" i="76"/>
  <c r="J144" i="76"/>
  <c r="F144" i="76"/>
  <c r="F153" i="76" s="1"/>
  <c r="K143" i="76"/>
  <c r="J143" i="76"/>
  <c r="F143" i="76"/>
  <c r="F152" i="76" s="1"/>
  <c r="K142" i="76"/>
  <c r="J142" i="76"/>
  <c r="F142" i="76"/>
  <c r="I142" i="76" s="1"/>
  <c r="K141" i="76"/>
  <c r="J141" i="76"/>
  <c r="I141" i="76"/>
  <c r="K140" i="76"/>
  <c r="J140" i="76"/>
  <c r="I140" i="76"/>
  <c r="K139" i="76"/>
  <c r="J139" i="76"/>
  <c r="I139" i="76"/>
  <c r="K138" i="76"/>
  <c r="J138" i="76"/>
  <c r="I138" i="76"/>
  <c r="K137" i="76"/>
  <c r="J137" i="76"/>
  <c r="F137" i="76"/>
  <c r="F146" i="76" s="1"/>
  <c r="I146" i="76" s="1"/>
  <c r="K136" i="76"/>
  <c r="J136" i="76"/>
  <c r="I136" i="76"/>
  <c r="K135" i="76"/>
  <c r="J135" i="76"/>
  <c r="I135" i="76"/>
  <c r="K134" i="76"/>
  <c r="J134" i="76"/>
  <c r="I134" i="76"/>
  <c r="K133" i="76"/>
  <c r="J133" i="76"/>
  <c r="I133" i="76"/>
  <c r="G132" i="76"/>
  <c r="E132" i="76"/>
  <c r="K132" i="76" s="1"/>
  <c r="F131" i="76"/>
  <c r="E131" i="76"/>
  <c r="F130" i="76"/>
  <c r="E130" i="76"/>
  <c r="E129" i="76"/>
  <c r="J129" i="76" s="1"/>
  <c r="C129" i="76"/>
  <c r="K128" i="76"/>
  <c r="J128" i="76"/>
  <c r="I128" i="76"/>
  <c r="G127" i="76"/>
  <c r="E127" i="76"/>
  <c r="E126" i="76"/>
  <c r="K126" i="76" s="1"/>
  <c r="E125" i="76"/>
  <c r="E124" i="76"/>
  <c r="J124" i="76" s="1"/>
  <c r="C124" i="76"/>
  <c r="K123" i="76"/>
  <c r="J123" i="76"/>
  <c r="I123" i="76"/>
  <c r="G122" i="76"/>
  <c r="E122" i="76"/>
  <c r="E121" i="76"/>
  <c r="K121" i="76" s="1"/>
  <c r="E120" i="76"/>
  <c r="K120" i="76" s="1"/>
  <c r="E119" i="76"/>
  <c r="J119" i="76" s="1"/>
  <c r="C119" i="76"/>
  <c r="K118" i="76"/>
  <c r="J118" i="76"/>
  <c r="I118" i="76"/>
  <c r="G117" i="76"/>
  <c r="E117" i="76"/>
  <c r="I117" i="76" s="1"/>
  <c r="E116" i="76"/>
  <c r="J116" i="76" s="1"/>
  <c r="E115" i="76"/>
  <c r="K115" i="76" s="1"/>
  <c r="E114" i="76"/>
  <c r="C114" i="76"/>
  <c r="K113" i="76"/>
  <c r="J113" i="76"/>
  <c r="I113" i="76"/>
  <c r="G112" i="76"/>
  <c r="E112" i="76"/>
  <c r="I112" i="76" s="1"/>
  <c r="E111" i="76"/>
  <c r="J111" i="76" s="1"/>
  <c r="E110" i="76"/>
  <c r="K110" i="76" s="1"/>
  <c r="F109" i="76"/>
  <c r="E109" i="76"/>
  <c r="K109" i="76" s="1"/>
  <c r="E108" i="76"/>
  <c r="J108" i="76" s="1"/>
  <c r="E107" i="76"/>
  <c r="J107" i="76" s="1"/>
  <c r="C107" i="76"/>
  <c r="E106" i="76"/>
  <c r="K106" i="76" s="1"/>
  <c r="C106" i="76"/>
  <c r="K105" i="76"/>
  <c r="J105" i="76"/>
  <c r="I105" i="76"/>
  <c r="K104" i="76"/>
  <c r="I104" i="76"/>
  <c r="E103" i="76"/>
  <c r="J103" i="76" s="1"/>
  <c r="F102" i="76"/>
  <c r="E102" i="76"/>
  <c r="J102" i="76" s="1"/>
  <c r="E101" i="76"/>
  <c r="K101" i="76" s="1"/>
  <c r="C101" i="76"/>
  <c r="B101" i="76"/>
  <c r="E100" i="76"/>
  <c r="J100" i="76" s="1"/>
  <c r="C100" i="76"/>
  <c r="K99" i="76"/>
  <c r="J99" i="76"/>
  <c r="I99" i="76"/>
  <c r="K98" i="76"/>
  <c r="I98" i="76"/>
  <c r="G98" i="76"/>
  <c r="J98" i="76" s="1"/>
  <c r="E97" i="76"/>
  <c r="E96" i="76"/>
  <c r="E95" i="76"/>
  <c r="J95" i="76" s="1"/>
  <c r="C95" i="76"/>
  <c r="E94" i="76"/>
  <c r="K94" i="76" s="1"/>
  <c r="C94" i="76"/>
  <c r="K93" i="76"/>
  <c r="J93" i="76"/>
  <c r="I93" i="76"/>
  <c r="K92" i="76"/>
  <c r="I92" i="76"/>
  <c r="G92" i="76"/>
  <c r="G104" i="76" s="1"/>
  <c r="J104" i="76" s="1"/>
  <c r="E91" i="76"/>
  <c r="F90" i="76"/>
  <c r="F240" i="76" s="1"/>
  <c r="I240" i="76" s="1"/>
  <c r="E90" i="76"/>
  <c r="F89" i="76"/>
  <c r="F108" i="76" s="1"/>
  <c r="F115" i="76" s="1"/>
  <c r="E89" i="76"/>
  <c r="J89" i="76" s="1"/>
  <c r="E88" i="76"/>
  <c r="K88" i="76" s="1"/>
  <c r="E87" i="76"/>
  <c r="K87" i="76" s="1"/>
  <c r="K86" i="76"/>
  <c r="J86" i="76"/>
  <c r="I86" i="76"/>
  <c r="K85" i="76"/>
  <c r="I85" i="76"/>
  <c r="G85" i="76"/>
  <c r="J85" i="76" s="1"/>
  <c r="K84" i="76"/>
  <c r="J84" i="76"/>
  <c r="F84" i="76"/>
  <c r="K83" i="76"/>
  <c r="J83" i="76"/>
  <c r="I83" i="76"/>
  <c r="K82" i="76"/>
  <c r="J82" i="76"/>
  <c r="F82" i="76"/>
  <c r="F242" i="76" s="1"/>
  <c r="I242" i="76" s="1"/>
  <c r="K81" i="76"/>
  <c r="J81" i="76"/>
  <c r="C81" i="76"/>
  <c r="K80" i="76"/>
  <c r="J80" i="76"/>
  <c r="F80" i="76"/>
  <c r="C80" i="76"/>
  <c r="K79" i="76"/>
  <c r="J79" i="76"/>
  <c r="I79" i="76"/>
  <c r="K78" i="76"/>
  <c r="I78" i="76"/>
  <c r="G78" i="76"/>
  <c r="J78" i="76" s="1"/>
  <c r="K77" i="76"/>
  <c r="J77" i="76"/>
  <c r="F77" i="76"/>
  <c r="I77" i="76" s="1"/>
  <c r="K76" i="76"/>
  <c r="J76" i="76"/>
  <c r="I76" i="76"/>
  <c r="K75" i="76"/>
  <c r="J75" i="76"/>
  <c r="I75" i="76"/>
  <c r="K74" i="76"/>
  <c r="J74" i="76"/>
  <c r="C74" i="76"/>
  <c r="K73" i="76"/>
  <c r="J73" i="76"/>
  <c r="C73" i="76"/>
  <c r="B73" i="76"/>
  <c r="K72" i="76"/>
  <c r="J72" i="76"/>
  <c r="I72" i="76"/>
  <c r="K71" i="76"/>
  <c r="I71" i="76"/>
  <c r="G71" i="76"/>
  <c r="J71" i="76" s="1"/>
  <c r="K70" i="76"/>
  <c r="J70" i="76"/>
  <c r="F70" i="76"/>
  <c r="I70" i="76" s="1"/>
  <c r="K69" i="76"/>
  <c r="J69" i="76"/>
  <c r="F69" i="76"/>
  <c r="I69" i="76" s="1"/>
  <c r="K68" i="76"/>
  <c r="J68" i="76"/>
  <c r="I68" i="76"/>
  <c r="K67" i="76"/>
  <c r="J67" i="76"/>
  <c r="I67" i="76"/>
  <c r="K66" i="76"/>
  <c r="J66" i="76"/>
  <c r="F66" i="76"/>
  <c r="K65" i="76"/>
  <c r="J65" i="76"/>
  <c r="F65" i="76"/>
  <c r="I65" i="76" s="1"/>
  <c r="K64" i="76"/>
  <c r="J64" i="76"/>
  <c r="I64" i="76"/>
  <c r="G63" i="76"/>
  <c r="E63" i="76"/>
  <c r="I63" i="76" s="1"/>
  <c r="F62" i="76"/>
  <c r="E62" i="76"/>
  <c r="J62" i="76" s="1"/>
  <c r="E61" i="76"/>
  <c r="K61" i="76" s="1"/>
  <c r="C61" i="76"/>
  <c r="E60" i="76"/>
  <c r="J60" i="76" s="1"/>
  <c r="C60" i="76"/>
  <c r="K59" i="76"/>
  <c r="J59" i="76"/>
  <c r="I59" i="76"/>
  <c r="K58" i="76"/>
  <c r="J58" i="76"/>
  <c r="I58" i="76"/>
  <c r="E57" i="76"/>
  <c r="K57" i="76" s="1"/>
  <c r="E56" i="76"/>
  <c r="K56" i="76" s="1"/>
  <c r="K55" i="76"/>
  <c r="J55" i="76"/>
  <c r="I55" i="76"/>
  <c r="E54" i="76"/>
  <c r="E53" i="76"/>
  <c r="K52" i="76"/>
  <c r="J52" i="76"/>
  <c r="I52" i="76"/>
  <c r="E48" i="76"/>
  <c r="J48" i="76" s="1"/>
  <c r="K47" i="76"/>
  <c r="J47" i="76"/>
  <c r="I47" i="76"/>
  <c r="K46" i="76"/>
  <c r="J46" i="76"/>
  <c r="I46" i="76"/>
  <c r="K45" i="76"/>
  <c r="J45" i="76"/>
  <c r="F45" i="76"/>
  <c r="I45" i="76" s="1"/>
  <c r="K44" i="76"/>
  <c r="J44" i="76"/>
  <c r="I44" i="76"/>
  <c r="K43" i="76"/>
  <c r="J43" i="76"/>
  <c r="I43" i="76"/>
  <c r="E40" i="76"/>
  <c r="J40" i="76" s="1"/>
  <c r="F39" i="76"/>
  <c r="E39" i="76"/>
  <c r="J39" i="76" s="1"/>
  <c r="E38" i="76"/>
  <c r="K38" i="76" s="1"/>
  <c r="K37" i="76"/>
  <c r="J37" i="76"/>
  <c r="I37" i="76"/>
  <c r="E36" i="76"/>
  <c r="J36" i="76" s="1"/>
  <c r="E35" i="76"/>
  <c r="J35" i="76" s="1"/>
  <c r="E34" i="76"/>
  <c r="J34" i="76" s="1"/>
  <c r="F33" i="76"/>
  <c r="E33" i="76"/>
  <c r="K33" i="76" s="1"/>
  <c r="K32" i="76"/>
  <c r="J32" i="76"/>
  <c r="I32" i="76"/>
  <c r="F31" i="76"/>
  <c r="F30" i="76"/>
  <c r="F29" i="76"/>
  <c r="F96" i="76" s="1"/>
  <c r="A25" i="76"/>
  <c r="E24" i="76"/>
  <c r="K24" i="76" s="1"/>
  <c r="E23" i="76"/>
  <c r="K23" i="76" s="1"/>
  <c r="F22" i="76"/>
  <c r="E22" i="76"/>
  <c r="K22" i="76" s="1"/>
  <c r="E21" i="76"/>
  <c r="J21" i="76" s="1"/>
  <c r="K20" i="76"/>
  <c r="J20" i="76"/>
  <c r="I20" i="76"/>
  <c r="F19" i="76"/>
  <c r="F34" i="76" s="1"/>
  <c r="E16" i="76"/>
  <c r="J16" i="76" s="1"/>
  <c r="E15" i="76"/>
  <c r="J15" i="76" s="1"/>
  <c r="K14" i="76"/>
  <c r="J14" i="76"/>
  <c r="I14" i="76"/>
  <c r="A6" i="76"/>
  <c r="D5" i="76"/>
  <c r="B24" i="12"/>
  <c r="A2" i="12"/>
  <c r="G20" i="77"/>
  <c r="G19" i="77"/>
  <c r="G16" i="77"/>
  <c r="A2" i="77"/>
  <c r="A3" i="75"/>
  <c r="B8" i="76" s="1"/>
  <c r="A21" i="68" l="1"/>
  <c r="A22" i="68" s="1"/>
  <c r="A23" i="68" s="1"/>
  <c r="A24" i="68" s="1"/>
  <c r="A25" i="68" s="1"/>
  <c r="H13" i="81"/>
  <c r="I13" i="81" s="1"/>
  <c r="H25" i="81"/>
  <c r="I25" i="81" s="1"/>
  <c r="F21" i="68" s="1"/>
  <c r="G21" i="68" s="1"/>
  <c r="H18" i="81"/>
  <c r="H26" i="81" s="1"/>
  <c r="I26" i="81" s="1"/>
  <c r="F22" i="68" s="1"/>
  <c r="BB41" i="41"/>
  <c r="O41" i="41"/>
  <c r="O247" i="41" s="1"/>
  <c r="BB66" i="41"/>
  <c r="A10" i="71"/>
  <c r="J120" i="76"/>
  <c r="J122" i="76"/>
  <c r="I15" i="76"/>
  <c r="I154" i="76"/>
  <c r="I183" i="76"/>
  <c r="I205" i="76"/>
  <c r="I208" i="76"/>
  <c r="I248" i="76"/>
  <c r="I33" i="76"/>
  <c r="K35" i="76"/>
  <c r="K36" i="76"/>
  <c r="K40" i="76"/>
  <c r="K48" i="76"/>
  <c r="K129" i="76"/>
  <c r="I137" i="76"/>
  <c r="I143" i="76"/>
  <c r="I144" i="76"/>
  <c r="E222" i="76"/>
  <c r="J222" i="76" s="1"/>
  <c r="I21" i="76"/>
  <c r="I198" i="76"/>
  <c r="I217" i="76"/>
  <c r="K16" i="76"/>
  <c r="J109" i="76"/>
  <c r="K119" i="76"/>
  <c r="K187" i="76"/>
  <c r="K15" i="76"/>
  <c r="I16" i="76"/>
  <c r="K21" i="76"/>
  <c r="I22" i="76"/>
  <c r="F73" i="76"/>
  <c r="I73" i="76" s="1"/>
  <c r="J87" i="76"/>
  <c r="J88" i="76"/>
  <c r="J106" i="76"/>
  <c r="I119" i="76"/>
  <c r="I156" i="76"/>
  <c r="I187" i="76"/>
  <c r="K198" i="76"/>
  <c r="I199" i="76"/>
  <c r="I206" i="76"/>
  <c r="I214" i="76"/>
  <c r="K217" i="76"/>
  <c r="J219" i="76"/>
  <c r="A17" i="72"/>
  <c r="J54" i="76"/>
  <c r="K54" i="76"/>
  <c r="J92" i="76"/>
  <c r="K96" i="76"/>
  <c r="J96" i="76"/>
  <c r="J117" i="76"/>
  <c r="K125" i="76"/>
  <c r="J125" i="76"/>
  <c r="K131" i="76"/>
  <c r="J131" i="76"/>
  <c r="I131" i="76"/>
  <c r="K178" i="76"/>
  <c r="J178" i="76"/>
  <c r="K218" i="76"/>
  <c r="J218" i="76"/>
  <c r="J53" i="76"/>
  <c r="K53" i="76"/>
  <c r="K60" i="76"/>
  <c r="I60" i="76"/>
  <c r="I66" i="76"/>
  <c r="F81" i="76"/>
  <c r="F95" i="76" s="1"/>
  <c r="F87" i="76"/>
  <c r="I87" i="76" s="1"/>
  <c r="F94" i="76"/>
  <c r="I94" i="76" s="1"/>
  <c r="I80" i="76"/>
  <c r="F91" i="76"/>
  <c r="F97" i="76" s="1"/>
  <c r="I84" i="76"/>
  <c r="K91" i="76"/>
  <c r="J91" i="76"/>
  <c r="J94" i="76"/>
  <c r="K97" i="76"/>
  <c r="J97" i="76"/>
  <c r="F110" i="76"/>
  <c r="F116" i="76" s="1"/>
  <c r="F121" i="76" s="1"/>
  <c r="I121" i="76" s="1"/>
  <c r="K114" i="76"/>
  <c r="J114" i="76"/>
  <c r="I132" i="76"/>
  <c r="I148" i="76"/>
  <c r="F157" i="76"/>
  <c r="J149" i="76"/>
  <c r="G158" i="76"/>
  <c r="J158" i="76" s="1"/>
  <c r="K151" i="76"/>
  <c r="J151" i="76"/>
  <c r="J155" i="76"/>
  <c r="I157" i="76"/>
  <c r="K158" i="76"/>
  <c r="J171" i="76"/>
  <c r="J183" i="76"/>
  <c r="J206" i="76"/>
  <c r="K210" i="76"/>
  <c r="E213" i="76"/>
  <c r="J210" i="76"/>
  <c r="K249" i="76"/>
  <c r="J22" i="76"/>
  <c r="I96" i="76"/>
  <c r="J63" i="76"/>
  <c r="I90" i="76"/>
  <c r="J90" i="76"/>
  <c r="I108" i="76"/>
  <c r="I109" i="76"/>
  <c r="J110" i="76"/>
  <c r="J112" i="76"/>
  <c r="J127" i="76"/>
  <c r="I130" i="76"/>
  <c r="J130" i="76"/>
  <c r="I152" i="76"/>
  <c r="I153" i="76"/>
  <c r="J153" i="76"/>
  <c r="I155" i="76"/>
  <c r="I184" i="76"/>
  <c r="J199" i="76"/>
  <c r="K205" i="76"/>
  <c r="I210" i="76"/>
  <c r="I211" i="76"/>
  <c r="E212" i="76"/>
  <c r="I212" i="76" s="1"/>
  <c r="K214" i="76"/>
  <c r="J217" i="76"/>
  <c r="E220" i="76"/>
  <c r="I220" i="76" s="1"/>
  <c r="K248" i="76"/>
  <c r="I249" i="76"/>
  <c r="I20" i="81"/>
  <c r="F16" i="68" s="1"/>
  <c r="E250" i="76"/>
  <c r="E25" i="76"/>
  <c r="E30" i="76" s="1"/>
  <c r="E100" i="1"/>
  <c r="M100" i="1" s="1"/>
  <c r="E85" i="1"/>
  <c r="E49" i="76"/>
  <c r="J49" i="76" s="1"/>
  <c r="L103" i="1"/>
  <c r="C250" i="76"/>
  <c r="E245" i="76"/>
  <c r="J245" i="76" s="1"/>
  <c r="A8" i="11"/>
  <c r="C8" i="11" s="1"/>
  <c r="E8" i="11" s="1"/>
  <c r="E7" i="11" s="1"/>
  <c r="E244" i="76"/>
  <c r="J244" i="76" s="1"/>
  <c r="E12" i="1"/>
  <c r="I95" i="76"/>
  <c r="I186" i="76"/>
  <c r="I177" i="76"/>
  <c r="I91" i="76"/>
  <c r="F125" i="76"/>
  <c r="F120" i="76"/>
  <c r="I120" i="76" s="1"/>
  <c r="I115" i="76"/>
  <c r="I24" i="76"/>
  <c r="I147" i="76"/>
  <c r="I151" i="76"/>
  <c r="K153" i="76"/>
  <c r="J154" i="76"/>
  <c r="K157" i="76"/>
  <c r="I171" i="76"/>
  <c r="F172" i="76"/>
  <c r="J177" i="76"/>
  <c r="K183" i="76"/>
  <c r="J184" i="76"/>
  <c r="J186" i="76"/>
  <c r="I193" i="76"/>
  <c r="J197" i="76"/>
  <c r="K206" i="76"/>
  <c r="K207" i="76"/>
  <c r="J208" i="76"/>
  <c r="E215" i="76"/>
  <c r="K216" i="76"/>
  <c r="I218" i="76"/>
  <c r="K219" i="76"/>
  <c r="E221" i="76"/>
  <c r="A10" i="11"/>
  <c r="C10" i="11" s="1"/>
  <c r="E10" i="11" s="1"/>
  <c r="E9" i="11" s="1"/>
  <c r="O55" i="1"/>
  <c r="C251" i="76"/>
  <c r="J14" i="68"/>
  <c r="I23" i="76"/>
  <c r="K34" i="76"/>
  <c r="K39" i="76"/>
  <c r="K89" i="76"/>
  <c r="K100" i="76"/>
  <c r="K107" i="76"/>
  <c r="K111" i="76"/>
  <c r="K122" i="76"/>
  <c r="I81" i="76"/>
  <c r="I82" i="76"/>
  <c r="K90" i="76"/>
  <c r="K95" i="76"/>
  <c r="K112" i="76"/>
  <c r="K130" i="76"/>
  <c r="K154" i="76"/>
  <c r="K177" i="76"/>
  <c r="K184" i="76"/>
  <c r="K186" i="76"/>
  <c r="K197" i="76"/>
  <c r="K208" i="76"/>
  <c r="K212" i="76"/>
  <c r="F241" i="76"/>
  <c r="I241" i="76" s="1"/>
  <c r="I15" i="81"/>
  <c r="F11" i="68" s="1"/>
  <c r="K62" i="76"/>
  <c r="K102" i="76"/>
  <c r="K116" i="76"/>
  <c r="K127" i="76"/>
  <c r="J23" i="76"/>
  <c r="J24" i="76"/>
  <c r="I38" i="76"/>
  <c r="E41" i="76"/>
  <c r="E42" i="76"/>
  <c r="I56" i="76"/>
  <c r="I57" i="76"/>
  <c r="I61" i="76"/>
  <c r="K63" i="76"/>
  <c r="F74" i="76"/>
  <c r="I74" i="76" s="1"/>
  <c r="K103" i="76"/>
  <c r="K108" i="76"/>
  <c r="K117" i="76"/>
  <c r="K124" i="76"/>
  <c r="J33" i="76"/>
  <c r="I34" i="76"/>
  <c r="I35" i="76"/>
  <c r="I36" i="76"/>
  <c r="J38" i="76"/>
  <c r="I39" i="76"/>
  <c r="I40" i="76"/>
  <c r="I48" i="76"/>
  <c r="I53" i="76"/>
  <c r="I54" i="76"/>
  <c r="J56" i="76"/>
  <c r="J57" i="76"/>
  <c r="J61" i="76"/>
  <c r="I62" i="76"/>
  <c r="I89" i="76"/>
  <c r="J101" i="76"/>
  <c r="I102" i="76"/>
  <c r="J115" i="76"/>
  <c r="J121" i="76"/>
  <c r="I122" i="76"/>
  <c r="J126" i="76"/>
  <c r="I127" i="76"/>
  <c r="I129" i="76"/>
  <c r="J132" i="76"/>
  <c r="J152" i="76"/>
  <c r="J156" i="76"/>
  <c r="J172" i="76"/>
  <c r="F197" i="76"/>
  <c r="I197" i="76" s="1"/>
  <c r="I207" i="76"/>
  <c r="J211" i="76"/>
  <c r="I216" i="76"/>
  <c r="E118" i="1"/>
  <c r="H31" i="11"/>
  <c r="C30" i="11"/>
  <c r="I19" i="81"/>
  <c r="F15" i="68" s="1"/>
  <c r="I17" i="81"/>
  <c r="F13" i="68" s="1"/>
  <c r="F10" i="68" l="1"/>
  <c r="G10" i="68" s="1"/>
  <c r="E10" i="1"/>
  <c r="E8" i="68"/>
  <c r="H29" i="81"/>
  <c r="I29" i="81" s="1"/>
  <c r="F25" i="68" s="1"/>
  <c r="I18" i="81"/>
  <c r="F14" i="68" s="1"/>
  <c r="G14" i="68" s="1"/>
  <c r="BB247" i="41"/>
  <c r="D7" i="71" s="1"/>
  <c r="G7" i="71" s="1"/>
  <c r="D17" i="71"/>
  <c r="G17" i="71" s="1"/>
  <c r="D21" i="71"/>
  <c r="G21" i="71" s="1"/>
  <c r="D18" i="71"/>
  <c r="G18" i="71" s="1"/>
  <c r="D19" i="71"/>
  <c r="G19" i="71" s="1"/>
  <c r="D20" i="71"/>
  <c r="G20" i="71" s="1"/>
  <c r="E73" i="1"/>
  <c r="E75" i="1" s="1"/>
  <c r="D8" i="71"/>
  <c r="G8" i="71" s="1"/>
  <c r="J115" i="1"/>
  <c r="A17" i="71"/>
  <c r="K12" i="1"/>
  <c r="E13" i="1"/>
  <c r="L13" i="1" s="1"/>
  <c r="I9" i="68"/>
  <c r="I8" i="68"/>
  <c r="E8" i="72"/>
  <c r="M8" i="72" s="1"/>
  <c r="J11" i="68"/>
  <c r="I24" i="68"/>
  <c r="G16" i="68"/>
  <c r="J16" i="68"/>
  <c r="H9" i="68"/>
  <c r="H8" i="68"/>
  <c r="I25" i="68"/>
  <c r="D16" i="71"/>
  <c r="G16" i="71" s="1"/>
  <c r="F100" i="76"/>
  <c r="F106" i="76" s="1"/>
  <c r="A20" i="81"/>
  <c r="A21" i="81" s="1"/>
  <c r="A22" i="81" s="1"/>
  <c r="J117" i="1"/>
  <c r="K117" i="1"/>
  <c r="G89" i="1"/>
  <c r="M118" i="1"/>
  <c r="K118" i="1"/>
  <c r="J118" i="1"/>
  <c r="E49" i="1"/>
  <c r="I222" i="76"/>
  <c r="F88" i="76"/>
  <c r="K222" i="76"/>
  <c r="J212" i="76"/>
  <c r="I116" i="76"/>
  <c r="I110" i="76"/>
  <c r="F126" i="76"/>
  <c r="I126" i="76" s="1"/>
  <c r="E26" i="76"/>
  <c r="K26" i="76" s="1"/>
  <c r="E31" i="76"/>
  <c r="K31" i="76" s="1"/>
  <c r="J100" i="1"/>
  <c r="J113" i="1"/>
  <c r="K113" i="1"/>
  <c r="E28" i="76"/>
  <c r="K28" i="76" s="1"/>
  <c r="K25" i="76"/>
  <c r="E251" i="76"/>
  <c r="J251" i="76" s="1"/>
  <c r="G19" i="68"/>
  <c r="K213" i="76"/>
  <c r="I213" i="76"/>
  <c r="J213" i="76"/>
  <c r="M113" i="1"/>
  <c r="L113" i="1"/>
  <c r="K100" i="1"/>
  <c r="J25" i="76"/>
  <c r="E29" i="76"/>
  <c r="J29" i="76" s="1"/>
  <c r="E27" i="76"/>
  <c r="K27" i="76" s="1"/>
  <c r="I25" i="76"/>
  <c r="M101" i="1"/>
  <c r="K101" i="1"/>
  <c r="J101" i="1"/>
  <c r="L101" i="1"/>
  <c r="E44" i="1"/>
  <c r="E40" i="1"/>
  <c r="K40" i="1" s="1"/>
  <c r="E45" i="1"/>
  <c r="K45" i="1" s="1"/>
  <c r="E43" i="1"/>
  <c r="J43" i="1" s="1"/>
  <c r="E42" i="1"/>
  <c r="K42" i="1" s="1"/>
  <c r="L39" i="1"/>
  <c r="M39" i="1"/>
  <c r="E41" i="1"/>
  <c r="K41" i="1" s="1"/>
  <c r="L100" i="1"/>
  <c r="E61" i="1"/>
  <c r="E62" i="1"/>
  <c r="K62" i="1" s="1"/>
  <c r="J102" i="1"/>
  <c r="K102" i="1"/>
  <c r="K85" i="1"/>
  <c r="E86" i="1"/>
  <c r="J86" i="1" s="1"/>
  <c r="J85" i="1"/>
  <c r="J250" i="76"/>
  <c r="I250" i="76"/>
  <c r="K250" i="76"/>
  <c r="M114" i="1"/>
  <c r="J114" i="1"/>
  <c r="L114" i="1"/>
  <c r="K114" i="1"/>
  <c r="M103" i="1"/>
  <c r="K49" i="76"/>
  <c r="J103" i="1"/>
  <c r="K103" i="1"/>
  <c r="E50" i="76"/>
  <c r="I50" i="76" s="1"/>
  <c r="E51" i="76"/>
  <c r="I51" i="76" s="1"/>
  <c r="I49" i="76"/>
  <c r="M11" i="1"/>
  <c r="L11" i="1"/>
  <c r="M20" i="1"/>
  <c r="G31" i="11"/>
  <c r="I245" i="76"/>
  <c r="K245" i="76"/>
  <c r="A14" i="11"/>
  <c r="C14" i="11" s="1"/>
  <c r="E14" i="11" s="1"/>
  <c r="E13" i="11" s="1"/>
  <c r="I244" i="76"/>
  <c r="E55" i="1"/>
  <c r="K55" i="1" s="1"/>
  <c r="K244" i="76"/>
  <c r="L118" i="1"/>
  <c r="A12" i="11"/>
  <c r="C12" i="11" s="1"/>
  <c r="E12" i="11" s="1"/>
  <c r="E11" i="11" s="1"/>
  <c r="E58" i="1"/>
  <c r="K58" i="1" s="1"/>
  <c r="A16" i="11"/>
  <c r="C16" i="11" s="1"/>
  <c r="E16" i="11" s="1"/>
  <c r="E15" i="11" s="1"/>
  <c r="E21" i="1"/>
  <c r="K21" i="1" s="1"/>
  <c r="L20" i="1"/>
  <c r="M117" i="1"/>
  <c r="E57" i="1"/>
  <c r="K57" i="1" s="1"/>
  <c r="E56" i="1"/>
  <c r="L117" i="1"/>
  <c r="E59" i="1"/>
  <c r="K59" i="1" s="1"/>
  <c r="G11" i="68"/>
  <c r="C191" i="76"/>
  <c r="F103" i="76"/>
  <c r="I97" i="76"/>
  <c r="F195" i="76"/>
  <c r="I195" i="76" s="1"/>
  <c r="I172" i="76"/>
  <c r="J42" i="76"/>
  <c r="I42" i="76"/>
  <c r="K42" i="76"/>
  <c r="F101" i="76"/>
  <c r="I88" i="76"/>
  <c r="K221" i="76"/>
  <c r="J221" i="76"/>
  <c r="I221" i="76"/>
  <c r="K215" i="76"/>
  <c r="J215" i="76"/>
  <c r="I215" i="76"/>
  <c r="I125" i="76"/>
  <c r="F203" i="76"/>
  <c r="I203" i="76" s="1"/>
  <c r="J41" i="76"/>
  <c r="I41" i="76"/>
  <c r="K41" i="76"/>
  <c r="F114" i="76"/>
  <c r="F107" i="76"/>
  <c r="I107" i="76" s="1"/>
  <c r="I106" i="76"/>
  <c r="E26" i="11"/>
  <c r="E25" i="11" s="1"/>
  <c r="K30" i="76"/>
  <c r="I30" i="76"/>
  <c r="J30" i="76"/>
  <c r="E28" i="11"/>
  <c r="E27" i="11" s="1"/>
  <c r="J12" i="1"/>
  <c r="I100" i="76" l="1"/>
  <c r="A18" i="71"/>
  <c r="A19" i="71" s="1"/>
  <c r="A20" i="71" s="1"/>
  <c r="A23" i="81"/>
  <c r="A24" i="81" s="1"/>
  <c r="A25" i="81" s="1"/>
  <c r="I12" i="68"/>
  <c r="B169" i="76"/>
  <c r="G22" i="68"/>
  <c r="I20" i="68"/>
  <c r="J20" i="68" s="1"/>
  <c r="I22" i="68"/>
  <c r="L12" i="1"/>
  <c r="M12" i="1"/>
  <c r="G15" i="68"/>
  <c r="J15" i="68"/>
  <c r="J24" i="68"/>
  <c r="G13" i="68"/>
  <c r="J13" i="68"/>
  <c r="J116" i="1"/>
  <c r="E70" i="1"/>
  <c r="E71" i="1" s="1"/>
  <c r="G24" i="68"/>
  <c r="E9" i="68"/>
  <c r="I31" i="76"/>
  <c r="I26" i="76"/>
  <c r="J26" i="76"/>
  <c r="J31" i="76"/>
  <c r="L115" i="1"/>
  <c r="L40" i="1"/>
  <c r="J62" i="1"/>
  <c r="I27" i="76"/>
  <c r="I28" i="76"/>
  <c r="J41" i="1"/>
  <c r="K86" i="1"/>
  <c r="I251" i="76"/>
  <c r="J28" i="76"/>
  <c r="K251" i="76"/>
  <c r="K29" i="76"/>
  <c r="L43" i="1"/>
  <c r="J42" i="1"/>
  <c r="J40" i="1"/>
  <c r="E91" i="1"/>
  <c r="L42" i="1"/>
  <c r="K115" i="1"/>
  <c r="J27" i="76"/>
  <c r="M115" i="1"/>
  <c r="M40" i="1"/>
  <c r="M42" i="1"/>
  <c r="K43" i="1"/>
  <c r="I29" i="76"/>
  <c r="M41" i="1"/>
  <c r="M76" i="1"/>
  <c r="E78" i="1"/>
  <c r="J78" i="1" s="1"/>
  <c r="L76" i="1"/>
  <c r="M106" i="1"/>
  <c r="L106" i="1"/>
  <c r="M75" i="1"/>
  <c r="K75" i="1"/>
  <c r="L75" i="1"/>
  <c r="L44" i="1"/>
  <c r="M44" i="1"/>
  <c r="J44" i="1"/>
  <c r="K44" i="1"/>
  <c r="M43" i="1"/>
  <c r="L41" i="1"/>
  <c r="J45" i="1"/>
  <c r="M45" i="1"/>
  <c r="G20" i="68"/>
  <c r="L45" i="1"/>
  <c r="E77" i="1"/>
  <c r="M77" i="1" s="1"/>
  <c r="L73" i="1"/>
  <c r="J75" i="1"/>
  <c r="M73" i="1"/>
  <c r="E74" i="1"/>
  <c r="K74" i="1" s="1"/>
  <c r="K61" i="1"/>
  <c r="J61" i="1"/>
  <c r="K50" i="76"/>
  <c r="L104" i="1"/>
  <c r="M104" i="1"/>
  <c r="J50" i="76"/>
  <c r="J51" i="76"/>
  <c r="K51" i="76"/>
  <c r="M13" i="1"/>
  <c r="J13" i="1"/>
  <c r="K13" i="1"/>
  <c r="J55" i="1"/>
  <c r="N113" i="1"/>
  <c r="L46" i="1"/>
  <c r="J21" i="1"/>
  <c r="E47" i="1"/>
  <c r="J47" i="1" s="1"/>
  <c r="M21" i="1"/>
  <c r="E17" i="76"/>
  <c r="K17" i="76" s="1"/>
  <c r="L10" i="1"/>
  <c r="J59" i="1"/>
  <c r="K67" i="1"/>
  <c r="L21" i="1"/>
  <c r="J58" i="1"/>
  <c r="K56" i="1"/>
  <c r="J56" i="1"/>
  <c r="J57" i="1"/>
  <c r="E65" i="1"/>
  <c r="M63" i="1"/>
  <c r="E64" i="1"/>
  <c r="L63" i="1"/>
  <c r="K49" i="1"/>
  <c r="L49" i="1"/>
  <c r="M49" i="1"/>
  <c r="J49" i="1"/>
  <c r="M46" i="1"/>
  <c r="E51" i="1"/>
  <c r="J51" i="1" s="1"/>
  <c r="E48" i="1"/>
  <c r="J48" i="1" s="1"/>
  <c r="O47" i="1"/>
  <c r="E52" i="1"/>
  <c r="E53" i="1"/>
  <c r="E50" i="1"/>
  <c r="K50" i="1" s="1"/>
  <c r="F246" i="76"/>
  <c r="I246" i="76" s="1"/>
  <c r="I101" i="76"/>
  <c r="F243" i="76"/>
  <c r="I243" i="76" s="1"/>
  <c r="F111" i="76"/>
  <c r="I103" i="76"/>
  <c r="F124" i="76"/>
  <c r="I124" i="76" s="1"/>
  <c r="I114" i="76"/>
  <c r="F31" i="11"/>
  <c r="D31" i="11"/>
  <c r="M87" i="1"/>
  <c r="L87" i="1"/>
  <c r="E88" i="1"/>
  <c r="C17" i="11"/>
  <c r="E17" i="11" s="1"/>
  <c r="E24" i="11"/>
  <c r="E23" i="11" s="1"/>
  <c r="A26" i="81" l="1"/>
  <c r="A27" i="81" s="1"/>
  <c r="A28" i="81" s="1"/>
  <c r="A29" i="81" s="1"/>
  <c r="A21" i="71"/>
  <c r="J22" i="68"/>
  <c r="G12" i="68"/>
  <c r="J12" i="68"/>
  <c r="G9" i="68"/>
  <c r="J9" i="68"/>
  <c r="G8" i="68"/>
  <c r="J8" i="68"/>
  <c r="D43" i="71"/>
  <c r="G43" i="71" s="1"/>
  <c r="C246" i="76"/>
  <c r="E72" i="1"/>
  <c r="K72" i="1" s="1"/>
  <c r="M69" i="1"/>
  <c r="L69" i="1"/>
  <c r="E83" i="1"/>
  <c r="E81" i="1"/>
  <c r="E82" i="1"/>
  <c r="I7" i="71"/>
  <c r="J7" i="71" s="1"/>
  <c r="E31" i="11"/>
  <c r="J74" i="1"/>
  <c r="M74" i="1"/>
  <c r="L74" i="1"/>
  <c r="L90" i="1"/>
  <c r="M90" i="1"/>
  <c r="C31" i="11"/>
  <c r="L77" i="1"/>
  <c r="E79" i="1"/>
  <c r="K79" i="1" s="1"/>
  <c r="M116" i="1"/>
  <c r="K116" i="1"/>
  <c r="K78" i="1"/>
  <c r="L116" i="1"/>
  <c r="M78" i="1"/>
  <c r="L78" i="1"/>
  <c r="J77" i="1"/>
  <c r="K77" i="1"/>
  <c r="J67" i="1"/>
  <c r="J50" i="1"/>
  <c r="M10" i="1"/>
  <c r="K47" i="1"/>
  <c r="E19" i="76"/>
  <c r="I19" i="76" s="1"/>
  <c r="L48" i="1"/>
  <c r="L47" i="1"/>
  <c r="M70" i="1"/>
  <c r="K70" i="1"/>
  <c r="J70" i="1"/>
  <c r="L70" i="1"/>
  <c r="I17" i="76"/>
  <c r="M47" i="1"/>
  <c r="N47" i="1"/>
  <c r="E18" i="76"/>
  <c r="J18" i="76" s="1"/>
  <c r="J17" i="76"/>
  <c r="M67" i="1"/>
  <c r="L50" i="1"/>
  <c r="L67" i="1"/>
  <c r="M50" i="1"/>
  <c r="L51" i="1"/>
  <c r="K64" i="1"/>
  <c r="J64" i="1"/>
  <c r="M64" i="1"/>
  <c r="L64" i="1"/>
  <c r="E93" i="1"/>
  <c r="M91" i="1"/>
  <c r="J91" i="1"/>
  <c r="K91" i="1"/>
  <c r="L91" i="1"/>
  <c r="J65" i="1"/>
  <c r="L65" i="1"/>
  <c r="M65" i="1"/>
  <c r="K65" i="1"/>
  <c r="J52" i="1"/>
  <c r="K52" i="1"/>
  <c r="M52" i="1"/>
  <c r="L52" i="1"/>
  <c r="K48" i="1"/>
  <c r="M48" i="1"/>
  <c r="K53" i="1"/>
  <c r="L53" i="1"/>
  <c r="M53" i="1"/>
  <c r="J53" i="1"/>
  <c r="K51" i="1"/>
  <c r="M51" i="1"/>
  <c r="F178" i="76"/>
  <c r="I178" i="76" s="1"/>
  <c r="I111" i="76"/>
  <c r="M88" i="1"/>
  <c r="L88" i="1"/>
  <c r="E89" i="1"/>
  <c r="K88" i="1"/>
  <c r="J88" i="1"/>
  <c r="E29" i="11"/>
  <c r="E20" i="11" s="1"/>
  <c r="E8" i="77"/>
  <c r="E18" i="11"/>
  <c r="E19" i="11" s="1"/>
  <c r="E6" i="11"/>
  <c r="A22" i="71" l="1"/>
  <c r="A23" i="71" s="1"/>
  <c r="A27" i="71" s="1"/>
  <c r="A31" i="71" s="1"/>
  <c r="A36" i="71" s="1"/>
  <c r="A37" i="71" s="1"/>
  <c r="A40" i="71" s="1"/>
  <c r="A41" i="71" s="1"/>
  <c r="A42" i="71" s="1"/>
  <c r="A43" i="71" s="1"/>
  <c r="E19" i="72"/>
  <c r="M19" i="72" s="1"/>
  <c r="J25" i="68"/>
  <c r="K9" i="68"/>
  <c r="K8" i="68"/>
  <c r="G44" i="71"/>
  <c r="G29" i="75" s="1"/>
  <c r="J29" i="75" s="1"/>
  <c r="J72" i="1"/>
  <c r="L72" i="1"/>
  <c r="M72" i="1"/>
  <c r="K82" i="1"/>
  <c r="J82" i="1"/>
  <c r="K81" i="1"/>
  <c r="J81" i="1"/>
  <c r="J83" i="1"/>
  <c r="K83" i="1"/>
  <c r="G25" i="68"/>
  <c r="L79" i="1"/>
  <c r="C32" i="11"/>
  <c r="C33" i="11" s="1"/>
  <c r="M79" i="1"/>
  <c r="J79" i="1"/>
  <c r="K19" i="76"/>
  <c r="K18" i="76"/>
  <c r="J19" i="76"/>
  <c r="I18" i="76"/>
  <c r="J71" i="1"/>
  <c r="K71" i="1"/>
  <c r="K93" i="1"/>
  <c r="M93" i="1"/>
  <c r="L93" i="1"/>
  <c r="J93" i="1"/>
  <c r="M89" i="1"/>
  <c r="L89" i="1"/>
  <c r="K89" i="1"/>
  <c r="J89" i="1"/>
  <c r="J120" i="1" l="1"/>
  <c r="J119" i="1"/>
  <c r="G10" i="78" s="1"/>
  <c r="K119" i="1"/>
  <c r="G11" i="78" s="1"/>
  <c r="K120" i="1"/>
  <c r="E20" i="72"/>
  <c r="M20" i="72" s="1"/>
  <c r="E18" i="72"/>
  <c r="M18" i="72" s="1"/>
  <c r="M17" i="72"/>
  <c r="G26" i="68"/>
  <c r="E13" i="12" s="1"/>
  <c r="G16" i="78"/>
  <c r="I16" i="78" s="1"/>
  <c r="K254" i="76"/>
  <c r="M120" i="1"/>
  <c r="N122" i="1" l="1"/>
  <c r="M21" i="72"/>
  <c r="F10" i="77" s="1"/>
  <c r="F9" i="77"/>
  <c r="E15" i="12"/>
  <c r="F15" i="12" s="1"/>
  <c r="F13" i="12"/>
  <c r="E9" i="77"/>
  <c r="E11" i="77" s="1"/>
  <c r="E7" i="77"/>
  <c r="I10" i="78"/>
  <c r="E9" i="12" l="1"/>
  <c r="E8" i="12" s="1"/>
  <c r="E7" i="12" s="1"/>
  <c r="H11" i="78"/>
  <c r="I11" i="78" s="1"/>
  <c r="K122" i="1"/>
  <c r="E10" i="77"/>
  <c r="E6" i="77" s="1"/>
  <c r="E12" i="77" s="1"/>
  <c r="E13" i="77" s="1"/>
  <c r="E14" i="77" s="1"/>
  <c r="E15" i="77" s="1"/>
  <c r="E16" i="77" s="1"/>
  <c r="F8" i="12" l="1"/>
  <c r="F9" i="12"/>
  <c r="E17" i="77"/>
  <c r="E18" i="77" s="1"/>
  <c r="G12" i="78"/>
  <c r="H12" i="78" s="1"/>
  <c r="I12" i="78" s="1"/>
  <c r="I9" i="78" s="1"/>
  <c r="I13" i="78" s="1"/>
  <c r="E17" i="12"/>
  <c r="F7" i="12"/>
  <c r="E16" i="12"/>
  <c r="F16" i="12" s="1"/>
  <c r="J17" i="78" l="1"/>
  <c r="J12" i="78"/>
  <c r="F17" i="12"/>
  <c r="E18" i="12"/>
  <c r="I14" i="78" l="1"/>
  <c r="J16" i="78" s="1"/>
  <c r="J14" i="78"/>
  <c r="E19" i="12"/>
  <c r="F19" i="12" s="1"/>
  <c r="F18" i="12"/>
  <c r="J13" i="78" l="1"/>
  <c r="E20" i="12"/>
  <c r="F20" i="12" s="1"/>
  <c r="G7" i="75" s="1"/>
  <c r="J7" i="75" s="1"/>
  <c r="J26" i="75" s="1"/>
  <c r="K26" i="75" s="1"/>
  <c r="J27" i="7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Don gia 7606</t>
        </r>
      </text>
    </comment>
    <comment ref="L17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Don gia 7606</t>
        </r>
      </text>
    </comment>
  </commentList>
</comments>
</file>

<file path=xl/sharedStrings.xml><?xml version="1.0" encoding="utf-8"?>
<sst xmlns="http://schemas.openxmlformats.org/spreadsheetml/2006/main" count="2307" uniqueCount="936">
  <si>
    <t>Laép xaø neùo ≤ 50kg</t>
  </si>
  <si>
    <t>móng</t>
  </si>
  <si>
    <t>Boä caùch ñieän ñænh goùc + ty söù ñôn : SÑG</t>
  </si>
  <si>
    <t xml:space="preserve">BTLT 12m </t>
  </si>
  <si>
    <t>Thu hồi</t>
  </si>
  <si>
    <t>Neo chằng DG</t>
  </si>
  <si>
    <t xml:space="preserve">0,276kg/mÐt </t>
  </si>
  <si>
    <t xml:space="preserve">0,191kg/mÐt </t>
  </si>
  <si>
    <t>3,000kg</t>
  </si>
  <si>
    <t>trụ</t>
  </si>
  <si>
    <t>Kẹp quai 2/0</t>
  </si>
  <si>
    <t>hotline</t>
  </si>
  <si>
    <t>Mã định mức</t>
  </si>
  <si>
    <t>Tên công việc</t>
  </si>
  <si>
    <t>Đơn vị</t>
  </si>
  <si>
    <t>Bậc thợ</t>
  </si>
  <si>
    <t>Hệ số điều chỉnh nhân công</t>
  </si>
  <si>
    <t>Số lượng</t>
  </si>
  <si>
    <t>Đơn giá áp dụng</t>
  </si>
  <si>
    <t>Thành tiền
(đồng)</t>
  </si>
  <si>
    <t>Công</t>
  </si>
  <si>
    <t>(1)</t>
  </si>
  <si>
    <t>(2)</t>
  </si>
  <si>
    <t>(3)</t>
  </si>
  <si>
    <t>(4)</t>
  </si>
  <si>
    <t>(5)</t>
  </si>
  <si>
    <t>(6)</t>
  </si>
  <si>
    <t>(7)</t>
  </si>
  <si>
    <t>(8)</t>
  </si>
  <si>
    <t>Tháo bộ dây chằng</t>
  </si>
  <si>
    <t>Laép</t>
  </si>
  <si>
    <t>đồng /ca</t>
  </si>
  <si>
    <t>Stt</t>
  </si>
  <si>
    <t>Bộ</t>
  </si>
  <si>
    <t>Boulon 16x250+ 2 long ñeàn vuoâng D18-50x50x3/Zn</t>
  </si>
  <si>
    <t>III</t>
  </si>
  <si>
    <t>3,5/7</t>
  </si>
  <si>
    <t>T</t>
  </si>
  <si>
    <t>CL14-C</t>
  </si>
  <si>
    <t>2.</t>
  </si>
  <si>
    <t>NXX</t>
  </si>
  <si>
    <t>3.</t>
  </si>
  <si>
    <t>Phaàn moùng vaø tieáp ñòa</t>
  </si>
  <si>
    <t>Boulon 16x750+ 2 long ñeàn vuoâng D18-50x50x3/Zn</t>
  </si>
  <si>
    <r>
      <t xml:space="preserve">Ñaøo hoá moùng ñaát caáp 3 saâu &gt;1m: 0,658 m3/ </t>
    </r>
    <r>
      <rPr>
        <sz val="12"/>
        <rFont val="Times New Roman"/>
        <family val="1"/>
      </rPr>
      <t>móng</t>
    </r>
  </si>
  <si>
    <r>
      <t>Ñaép ñaát hoá moùng, ñaát caáp 3: 0,195 m3/</t>
    </r>
    <r>
      <rPr>
        <sz val="12"/>
        <rFont val="Times New Roman"/>
        <family val="1"/>
      </rPr>
      <t>móng</t>
    </r>
  </si>
  <si>
    <r>
      <t>Ñaøo hoá moùng ñaát caáp 3 saâu &gt;1m: 0,226 m3/</t>
    </r>
    <r>
      <rPr>
        <sz val="12"/>
        <rFont val="Times New Roman"/>
        <family val="1"/>
      </rPr>
      <t>móng</t>
    </r>
  </si>
  <si>
    <r>
      <t>Ñaép ñaát hoá moùng, ñaát caáp 3: 0,099  m3/</t>
    </r>
    <r>
      <rPr>
        <sz val="12"/>
        <rFont val="Times New Roman"/>
        <family val="1"/>
      </rPr>
      <t>móng</t>
    </r>
  </si>
  <si>
    <t>Kẹp cáp 3 bulon 5/8"/Zn (B46x130): 8 cái/bộ</t>
  </si>
  <si>
    <t>Boulon maét 16x250+ 1 long ñeàn vuoâng D18-50x50x3/Zn</t>
  </si>
  <si>
    <t>Ñaøo hoá moùng ñaát caáp 3 saâu &gt;1m: 0,25 m3/moùng</t>
  </si>
  <si>
    <t>Ñaép ñaát hoá moùng, ñaát caáp 3: 0,25 m3/moùng</t>
  </si>
  <si>
    <t xml:space="preserve">Giaùp níu döøng daây boïc 50+Yeám caùp daøy 2mm </t>
  </si>
  <si>
    <t>Chuoãi söù treo Polymer 25kV laép vaøo XAØ</t>
  </si>
  <si>
    <t xml:space="preserve">Chuoãi söù treo Polymer 25kV laép vaøo Trụ </t>
  </si>
  <si>
    <t>Ñöôøng daây trung theá (Töø Coâng ty veàà kho Ñieän löïc)</t>
  </si>
  <si>
    <t>I.</t>
  </si>
  <si>
    <t>Vaän chuyeån truï, ñaø caûn:</t>
  </si>
  <si>
    <t xml:space="preserve">Vaän chuyeån daây söù vaø phuï kieän </t>
  </si>
  <si>
    <t>Sứ đứng 24KV DR540 (bọc chì)</t>
  </si>
  <si>
    <t>Söù ñöùng 24KV  DR540 (bọc chì)</t>
  </si>
  <si>
    <t>Coäng I:</t>
  </si>
  <si>
    <t>HS laép  2 maïch</t>
  </si>
  <si>
    <t>HS laép  1 maïch</t>
  </si>
  <si>
    <t>Caáp ñaát:</t>
  </si>
  <si>
    <t>DANH MUÏC</t>
  </si>
  <si>
    <t xml:space="preserve"> </t>
  </si>
  <si>
    <t>m3</t>
  </si>
  <si>
    <t>HS ñaáu noái</t>
  </si>
  <si>
    <t>TOÅNG COÄNG</t>
  </si>
  <si>
    <t>Moùng M14a</t>
  </si>
  <si>
    <t>Boä chaèng leäch ñôn cho truï 12m: CL12-B</t>
  </si>
  <si>
    <t>Ñaép ñaát hoá moùng, ñaát caáp 3</t>
  </si>
  <si>
    <t>Boulon 16x500VRS + ñai oác maét + 2 long ñeàn vuoâng D18-50x50x3/Zn</t>
  </si>
  <si>
    <t>X-22K-Ñ</t>
  </si>
  <si>
    <t>X-22K-K</t>
  </si>
  <si>
    <t>TDLL12</t>
  </si>
  <si>
    <t>kg</t>
  </si>
  <si>
    <t>Moùng M12a</t>
  </si>
  <si>
    <t>meùt</t>
  </si>
  <si>
    <t>I</t>
  </si>
  <si>
    <t>TT</t>
  </si>
  <si>
    <t>Boä chaèng xuoáng ñôn cho truï 12m: CX12-B</t>
  </si>
  <si>
    <t>Gxl</t>
  </si>
  <si>
    <t xml:space="preserve">Keùo daây tieáp ñòa </t>
  </si>
  <si>
    <t xml:space="preserve">BTLT 12 </t>
  </si>
  <si>
    <t>X-1,66Ñ</t>
  </si>
  <si>
    <t>IV</t>
  </si>
  <si>
    <t>Phaàn daây, söù vaø phuï kieän</t>
  </si>
  <si>
    <t>boä</t>
  </si>
  <si>
    <t>Truï</t>
  </si>
  <si>
    <t>M12</t>
  </si>
  <si>
    <t>km</t>
  </si>
  <si>
    <t>Boä</t>
  </si>
  <si>
    <t>Boulon maét 16x300+ 1 long ñeàn vuoâng D18-50x50x3/Zn</t>
  </si>
  <si>
    <t>Phuï kieän ñöôøng daây</t>
  </si>
  <si>
    <t>Phaàn xaø, neùo</t>
  </si>
  <si>
    <t>Z</t>
  </si>
  <si>
    <t>Caàu boác dôõ vaät tö :</t>
  </si>
  <si>
    <t>C</t>
  </si>
  <si>
    <t>Boulon maét 16x300+ 2 long ñeàn vuoâng D18-50x50x3/Zn</t>
  </si>
  <si>
    <t>Chaân söù ñænh thaúng daøi 870mm -3mm bọc chì 24kV</t>
  </si>
  <si>
    <t>bình</t>
  </si>
  <si>
    <t>Sơn đen (sơn chữ): 400ml (1bình/15 trụ)</t>
  </si>
  <si>
    <t>Sơn trắng (sơn nền):1kg/20 trụ</t>
  </si>
  <si>
    <t>Cáp chằng D5/8" mạ kẽm nhúng: 14m/bộ</t>
  </si>
  <si>
    <t>Caàu boác dôõ truï :</t>
  </si>
  <si>
    <t>A</t>
  </si>
  <si>
    <t>a1</t>
  </si>
  <si>
    <t>Boä moùng neo xoøe cho chaèng xuoáng: NXX</t>
  </si>
  <si>
    <t>Moùng M12-2a</t>
  </si>
  <si>
    <t>4.</t>
  </si>
  <si>
    <t>V</t>
  </si>
  <si>
    <t>Ty neo Þ22x2400</t>
  </si>
  <si>
    <t>M12-2a</t>
  </si>
  <si>
    <t>M14a</t>
  </si>
  <si>
    <t>Yeám caùp D1/2" daøy 2mm ñỡ daâây chằng 5/8</t>
  </si>
  <si>
    <t>Uclevis 3mm+ söù oáng chæ</t>
  </si>
  <si>
    <t>Cáp CXV 25mm2 -24kV</t>
  </si>
  <si>
    <t>Boulon 16x250VRS+ 4 long ñeàn vuoâng D18-50x50x3/Zn</t>
  </si>
  <si>
    <t>3,0/7</t>
  </si>
  <si>
    <t>HS laép fco</t>
  </si>
  <si>
    <t>coïc</t>
  </si>
  <si>
    <t>CHI PHÍ CHUNG</t>
  </si>
  <si>
    <t>Boä choáng chaèng heïp Þ60/50x1500+2BL12x40+BL16x250/80</t>
  </si>
  <si>
    <t>chuoãi</t>
  </si>
  <si>
    <t>H/S</t>
  </si>
  <si>
    <t>HS laøm môùi</t>
  </si>
  <si>
    <t>T+C</t>
  </si>
  <si>
    <t>TL</t>
  </si>
  <si>
    <t>VL</t>
  </si>
  <si>
    <t>NC</t>
  </si>
  <si>
    <t>MTC</t>
  </si>
  <si>
    <t>Truï beâ toâng ly taâm 12m troàng thuû coâng+cô giôùi</t>
  </si>
  <si>
    <t>1.</t>
  </si>
  <si>
    <t>Moùng</t>
  </si>
  <si>
    <t>ÑÒNH MÖÙC CA MAÙY</t>
  </si>
  <si>
    <t>Chi phí chaèng buoäc, baûo quaûn haøng trong quùa trình vaän chuyeån</t>
  </si>
  <si>
    <t>GHI CHUÙ</t>
  </si>
  <si>
    <t>M12a</t>
  </si>
  <si>
    <t>B</t>
  </si>
  <si>
    <t>X-1,66K</t>
  </si>
  <si>
    <t>Boä xaø keùp L75x75x8 daøi 1,66m:  X-1,66K</t>
  </si>
  <si>
    <t>Boulon 22x650+ 2 long ñeàn vuoâng D22-50x50x3/Zn</t>
  </si>
  <si>
    <t>Coïc tieáp ñaát Þ 16- 2,4m maïï Cu + keïp coïc Cu</t>
  </si>
  <si>
    <t>05.7001</t>
  </si>
  <si>
    <t>Boulon 16x300+ 2 long ñeàn vuoâng D18-50x50x3/Zn</t>
  </si>
  <si>
    <t>Ñoùng coïc tieáp ñòa ñaát caáp 3</t>
  </si>
  <si>
    <t>2DT</t>
  </si>
  <si>
    <t>D</t>
  </si>
  <si>
    <t>Heä soá laép xaø:</t>
  </si>
  <si>
    <t>Heä soá laép xaø H:</t>
  </si>
  <si>
    <t>Heä soá döïng coät  :</t>
  </si>
  <si>
    <t>Heä soá keùo daây :</t>
  </si>
  <si>
    <t>HEÄ SOÁ</t>
  </si>
  <si>
    <t>truï</t>
  </si>
  <si>
    <t>II</t>
  </si>
  <si>
    <t>cái</t>
  </si>
  <si>
    <t>Sứ chằng lớn (90N)</t>
  </si>
  <si>
    <t>Kẹp cáp 3 bulon 5/8"/Zn (B46x130)</t>
  </si>
  <si>
    <t>Móc treo chữ U D16: dài 100</t>
  </si>
  <si>
    <t>Maùng che daây chaèng 0,8x2000 daøy 1,6mm</t>
  </si>
  <si>
    <t>Neo xòe 8H-135inch2 +đĩa sen (sơn đen)</t>
  </si>
  <si>
    <t>Sứ treo polymer 25kV-70N</t>
  </si>
  <si>
    <t>Cáp đồng trần 25mm2 : 32m/vị trí</t>
  </si>
  <si>
    <t>Cọc tiếp đất mạ đồng D16- 2,4m + kẹp cọc Cu</t>
  </si>
  <si>
    <t>bộ</t>
  </si>
  <si>
    <t>cọc</t>
  </si>
  <si>
    <t xml:space="preserve">Kéo dây tiếp địa Cu 25mm2 </t>
  </si>
  <si>
    <t>mét</t>
  </si>
  <si>
    <t>03.3123</t>
  </si>
  <si>
    <t>Đào rãnh tiếp địa đất cấp 3</t>
  </si>
  <si>
    <t>Bọc cách điện đầu cực LA</t>
  </si>
  <si>
    <t>Kẹp quai Al-Cu (4/0)</t>
  </si>
  <si>
    <t>Hotline clamp mạ Sn 4/0</t>
  </si>
  <si>
    <t>Bộ LA ñường daâây caùp boïc</t>
  </si>
  <si>
    <t>06.3241</t>
  </si>
  <si>
    <t xml:space="preserve">Đóng cọc tiếp địa </t>
  </si>
  <si>
    <t>CX12-C</t>
  </si>
  <si>
    <t>CL12-C</t>
  </si>
  <si>
    <t>5.</t>
  </si>
  <si>
    <t>STT</t>
  </si>
  <si>
    <t>Ñaø caûn BTCT 1,2m</t>
  </si>
  <si>
    <t>caùi</t>
  </si>
  <si>
    <t>ñaø caûn+ÑN</t>
  </si>
  <si>
    <t>Ñaøo hoá moùng ñaát caáp 3 saâu &gt;1m</t>
  </si>
  <si>
    <t>Laép boä daây neùo</t>
  </si>
  <si>
    <t>Döïng truï BTLT 12m thuû coâng + cô giôùi</t>
  </si>
  <si>
    <t>Boulon 16x50+ 2 long ñeàn vuoâng D18-50x50x3/Zn</t>
  </si>
  <si>
    <t>03.1013</t>
  </si>
  <si>
    <t>03.4113</t>
  </si>
  <si>
    <t>05.5402</t>
  </si>
  <si>
    <t>05.6021</t>
  </si>
  <si>
    <t>05.8103</t>
  </si>
  <si>
    <t>Loaïi caåu (Taán)</t>
  </si>
  <si>
    <t>04.4001</t>
  </si>
  <si>
    <t>Truï BTLT 12m F540 döï öùng löïc</t>
  </si>
  <si>
    <t>Kẹp Quai 2/0+hotline</t>
  </si>
  <si>
    <t>Tổng</t>
  </si>
  <si>
    <t>Móng BT Đôi</t>
  </si>
  <si>
    <t>Moùng M12, M14</t>
  </si>
  <si>
    <t>Tieáp ñòa laëp laïi Đ1 (đoạn 1)</t>
  </si>
  <si>
    <t>Caùp ñoàng traàn M25mm2 : 1m/ vò trí</t>
  </si>
  <si>
    <t>Keïp eùp WR côõ daây 120/25mm2: 2 caùi / vò trí</t>
  </si>
  <si>
    <t>Truï beâ toâng ly taâm 12m troàng thuû coâng</t>
  </si>
  <si>
    <t xml:space="preserve">Döïng truï BTLT 12m thuû coâng </t>
  </si>
  <si>
    <t>Truï beâ toâng ly taâm 14m troàng thuû coâng+cô giôùi</t>
  </si>
  <si>
    <t>Döïng truï BTLT 14m thuû coâng + cô giôùi</t>
  </si>
  <si>
    <t>Boulon 16x150+ 2 long ñeàn vuoâng D18-50x50x3/Zn</t>
  </si>
  <si>
    <t>Boä Uclevis ñôõ daây trung hoøa gaén vaøo truïBTLT coù söù oáng chæ</t>
  </si>
  <si>
    <t>Boä Uclevis ñôõ daây trung hoøa gaén vaøo truïBTLT khoâng coù söù oáng chæ</t>
  </si>
  <si>
    <t>Uclevis 3mm</t>
  </si>
  <si>
    <t>Boä Uclevis ñôõ daây trung hoøa gaén vaøo xaø</t>
  </si>
  <si>
    <t>Boä khoùa neùo daây trung hoøa vaøo xaø</t>
  </si>
  <si>
    <t>Boä khoùa neùo daây trung hoøa vaøo truï gheùp</t>
  </si>
  <si>
    <t>Boä khoùa neùo daây trung hoøa vaøo truï ñôn</t>
  </si>
  <si>
    <t>Boä caùch ñieän ñænh thaúng gaén vaøo truï</t>
  </si>
  <si>
    <t>Boä caùch ñieän ñænh thaúng gaén vaøo ñaø U</t>
  </si>
  <si>
    <t>Bọc cách điện kẹp quai</t>
  </si>
  <si>
    <t>OÁng noái daây AC185mm2 (khoâng loõi theùp)</t>
  </si>
  <si>
    <t>Ống nối co nhiệt D34 (mối nối đường dây dùng ống nối)</t>
  </si>
  <si>
    <t>Vật liệu</t>
  </si>
  <si>
    <t>Truï BTLT 14m F650 döï öùng löïc</t>
  </si>
  <si>
    <t>Bulon D16x550/Zn VRS + 2long đền vuông D18-50x50x3</t>
  </si>
  <si>
    <t>Bulon D16x650/Zn VRS + 2long đền vuông D18-50x50x3</t>
  </si>
  <si>
    <t>Bulon D16x750/Zn VRS + 2long đền vuông D18-50x50x3</t>
  </si>
  <si>
    <t>Khoùa neùo daây côõ daây 120: kẹp dừng daây 5U 3mm</t>
  </si>
  <si>
    <t>05.5401</t>
  </si>
  <si>
    <t>05.5502</t>
  </si>
  <si>
    <t>Boulon 16x50+ 2 long ñeàn vuoâng D18-50x50x3/Zn: 6 caùi/ vò trí</t>
  </si>
  <si>
    <t>Boä xaø ñôn L75x75x8 daøi 1,66m:  X-1,66Ñ gaén truï (maïch ñôn)</t>
  </si>
  <si>
    <t>Boä xaø ñôn L75x75x8 daøi 2,2m:  X-2,2Ñ gaén ñaø U (mạch keùp)</t>
  </si>
  <si>
    <t>Boulon 16x250+ 2 long ñeàn vuoâng D18-50x50x3/Zn: 1 caùi/vò trí</t>
  </si>
  <si>
    <t>Boulon 16x300+ 2 long ñeàn vuoâng D18-50x50x3/Zn: 1 caùi/vò trí</t>
  </si>
  <si>
    <t>Boulon 16x50+ 2 long ñeàn vuoâng D18-50x50x3/Zn: 2 caùi/vò trí</t>
  </si>
  <si>
    <t>Boulon 16x300VRS+ 4 long ñeàn vuoâng D18-50x50x3/Zn: 2 caùi/vò trí</t>
  </si>
  <si>
    <t>Boulon 16x50+ 2 long ñeàn vuoâng D18-50x50x3/Zn: 4 caùi/vò trí</t>
  </si>
  <si>
    <t>Boulon 16x300VRS+ 4 long ñeàn vuoâng D18-50x50x3/Zn: 4 caùi/vò trí</t>
  </si>
  <si>
    <t>Boä xaø keùp L75x75x8 daøi 2,4m -4 ốp: X-24K-Ñ - C810 (laép 01 truï ñôn, maïch 3)</t>
  </si>
  <si>
    <t>Boulon 16x350+ 2 long ñeàn vuoâng D18-50x50x3/Zn: 1 caùi/vò trí</t>
  </si>
  <si>
    <t>Boulon 16x300+ 2 long ñeàn vuoâng D18-50x50x3/Zn: 2 caùi/vò trí</t>
  </si>
  <si>
    <t>Boä xaø keùp L75x75x8 daøi 2,4m -4 ốp: X-24K-P (laép 02 truï ñôn caùch nhau 2,2m)</t>
  </si>
  <si>
    <t>Boä xaø keùp L75x75x8 daøi 2,4m -3 ốp: X-24K-P (laép 02 truï ñôn caùch nhau 1,4m; maïch 3)</t>
  </si>
  <si>
    <t>Boä xaø keùp L75x75x8 daøi 2,6m -04 ốp: X-26K-P (laép 02 truï ñôn caùch nhau 2,4m)</t>
  </si>
  <si>
    <t>Boulon 16x350 VRS+ 4 taùn+4 long ñeàn vuoâng D18-50x50x3/Zn: 3 caùi/vò trí</t>
  </si>
  <si>
    <t>Boulon 16x350 VRS+ 2 taùn+2 long ñeàn vuoâng D18-50x50x3/Zn: 2caùi/vò trí</t>
  </si>
  <si>
    <t>Boä xaø keùp thaùp truï U140x58x4,9 daøi 2,5m (maïch keùp)</t>
  </si>
  <si>
    <t>Sứ chằng lớn (90N): 1 cái/bộ</t>
  </si>
  <si>
    <t>Boulon maét 16x250+ 1 long ñeàn vuoâng D18-50x50x3/Zn: 1 caùi/bộ</t>
  </si>
  <si>
    <t>Yeám caùp D1/2" - daøy 2mm ñỡ daâây chằng 5/8: 2 caùi/bộ</t>
  </si>
  <si>
    <t>Boulon 16x300VRS+ 4 long ñeàn vuoâng D18-50x50x3/Zn: 4 caùi/vò trí, gắn chung với chống</t>
  </si>
  <si>
    <t>Maùng che daây chaèng 0,8x2000: 1 caùi/bộ</t>
  </si>
  <si>
    <t>Cẩu 10 tấn</t>
  </si>
  <si>
    <t>05.6011e</t>
  </si>
  <si>
    <t>05.6011c</t>
  </si>
  <si>
    <t>05.6022b</t>
  </si>
  <si>
    <t>05.6022c</t>
  </si>
  <si>
    <t>05.6044a</t>
  </si>
  <si>
    <t>05.6022a</t>
  </si>
  <si>
    <t>Laép xaø ñôõ ñôn 2,2m (treân truï BTLT: NC x 1,5)</t>
  </si>
  <si>
    <t>Laép xaø ñôõ (treân truï BTLT: NC x 1,5)</t>
  </si>
  <si>
    <t>Laép xaø neùo keùp 2,2m (treân truï BTLT: NC x 1,5)</t>
  </si>
  <si>
    <t>Laép xaø neùo (treân truï BTLT: NC x 1,5)</t>
  </si>
  <si>
    <t>Laép xaø treân truï PI, khoái löôïng 50kg/boä : NC x 1,7)</t>
  </si>
  <si>
    <t>Chaân söù ñænh cong daøi 870mm 4mm boïc chì 24kV</t>
  </si>
  <si>
    <t>Đắp đất rãnh tiếp địa cấp 3, k = 0,9</t>
  </si>
  <si>
    <t>03.4122</t>
  </si>
  <si>
    <t>Chi phí nhaø taïm taïi hieän tröôøng ñeå ôû vaø ñieàu haønh thi coâng</t>
  </si>
  <si>
    <t>Gnt</t>
  </si>
  <si>
    <t>Z x 1% x 1,1</t>
  </si>
  <si>
    <t>Gxd + Gnt</t>
  </si>
  <si>
    <t xml:space="preserve"> chuyeán x 25.000 ñ</t>
  </si>
  <si>
    <t>Laép xaø treân truï PI, khoái löôïng 53kg/boä : NC x 1,7</t>
  </si>
  <si>
    <t>Laép xaø treân truï PI, khoái löôïng 50kg/boä : NC x 1,7</t>
  </si>
  <si>
    <t>Laép xaø ñôõ treân truï BTLT, khoái löôïng 61,5kg/boä: NC x 1,5</t>
  </si>
  <si>
    <t>Bass LI bắt LA</t>
  </si>
  <si>
    <t>06.3211</t>
  </si>
  <si>
    <t>LA 18kV 10kA (lắp LA đường dây)</t>
  </si>
  <si>
    <t>NỘI DUNG</t>
  </si>
  <si>
    <t>CÁCH TÍNH</t>
  </si>
  <si>
    <t>THÀNH TIỀN</t>
  </si>
  <si>
    <t>Trực tiếp phí khác</t>
  </si>
  <si>
    <t>GIÁ THÀNH DỰ TOÁN XÂY DỰNG</t>
  </si>
  <si>
    <t>THU NHẬP CHỊU THUẾ TÍNH TRƯỚC</t>
  </si>
  <si>
    <t>Neo chằng AG</t>
  </si>
  <si>
    <t>Cẩu 5 tấn</t>
  </si>
  <si>
    <t>Lắp bộ dây chằng</t>
  </si>
  <si>
    <t>Tháo sứ đứng 15-22kV</t>
  </si>
  <si>
    <t>Lắp sứ đứng 15-22kV</t>
  </si>
  <si>
    <t>Boä xaø keùp L75x75x8 daøi 2,2m-04 ốp: X-22K-Ñ - C810 (truï ñôn 2DT)</t>
  </si>
  <si>
    <t>Boä xaø keùp L75x75x8 daøi 2,2m-04 ốp: X-22K-K - C810 (truï ñoâi 2DT)</t>
  </si>
  <si>
    <t>Boä xaø ñơn L75x75x8 daøi 2,2m-04 ốp: X-22Đ-K - C810 (theâm 2DT truï ñoâi)</t>
  </si>
  <si>
    <t>Boä chaèng leäch ñôn cho truï 12m: CL14-C</t>
  </si>
  <si>
    <t>Maùng che daây chaèng 0,8x2000 : 1 caùi/bộ</t>
  </si>
  <si>
    <t>Yeám caùp D1/2" - daøy 2mm ñỡ daâây chằng: 2 caùi/bộ</t>
  </si>
  <si>
    <t>SDL</t>
  </si>
  <si>
    <t xml:space="preserve">Bulon D16x300 VRS+2long đền vuông D18x50x50x3 </t>
  </si>
  <si>
    <t>Bulon D16x300+2long đền vuông D18x50x50x3</t>
  </si>
  <si>
    <t>Bulon D16x250+2long đền vuông D18x50x50x3</t>
  </si>
  <si>
    <t>Bulon D16x50+2long đền vuông D18x50x50x3</t>
  </si>
  <si>
    <t>cuoän</t>
  </si>
  <si>
    <t>M</t>
  </si>
  <si>
    <t xml:space="preserve">VẬT TƯ THU HỒI </t>
  </si>
  <si>
    <r>
      <t>G</t>
    </r>
    <r>
      <rPr>
        <b/>
        <vertAlign val="subscript"/>
        <sz val="13"/>
        <rFont val="Times New Roman"/>
        <family val="1"/>
      </rPr>
      <t>TH</t>
    </r>
  </si>
  <si>
    <t>THIẾT LẬP</t>
  </si>
  <si>
    <t>TP. KH-KT</t>
  </si>
  <si>
    <t>Huỳnh Văn Muộn</t>
  </si>
  <si>
    <t>Nguyễn Trọng Tín</t>
  </si>
  <si>
    <t>CÔNG TY TNHH MỘT THÀNH VIÊN
ĐIỆN LỰC ĐỒNG NAI</t>
  </si>
  <si>
    <t>ĐIỆN LỰC CẨM MỸ</t>
  </si>
  <si>
    <t>––––––––––––––––––––––</t>
  </si>
  <si>
    <t>DỰ TOÁN</t>
  </si>
  <si>
    <t>Đường dây 15(22)kV và các TBA thị trấn Xuân Lộc – Long Khánh.</t>
  </si>
  <si>
    <t>Hạng mục:</t>
  </si>
  <si>
    <t>Địa điểm xây dựng:</t>
  </si>
  <si>
    <t>KHOẢN MỤC CHI PHÍ</t>
  </si>
  <si>
    <t>KÝ HIỆU</t>
  </si>
  <si>
    <t xml:space="preserve">DIỄN GIẢI GIÁ TRỊ 
TRƯỚC THUẾ </t>
  </si>
  <si>
    <t>GIÁ TRỊ TRƯỚC THUẾ</t>
  </si>
  <si>
    <t>THUẾ VAT</t>
  </si>
  <si>
    <t>GIÁ TRỊ SAU THUẾ</t>
  </si>
  <si>
    <t>CHI PHÍ DỰ PHÒNG</t>
  </si>
  <si>
    <r>
      <t>G</t>
    </r>
    <r>
      <rPr>
        <b/>
        <vertAlign val="subscript"/>
        <sz val="13"/>
        <rFont val="Times New Roman"/>
        <family val="1"/>
      </rPr>
      <t>DP</t>
    </r>
  </si>
  <si>
    <t>VC</t>
  </si>
  <si>
    <t>(A+B+C+D)</t>
  </si>
  <si>
    <t>Hotline clamp mạ Sn 2/0</t>
  </si>
  <si>
    <t>Mắc nối đơn MN-Φ16</t>
  </si>
  <si>
    <t>Móc treo chữ U f16 loại dài 100 (ma-ní)</t>
  </si>
  <si>
    <t>Boulon 16x550/Zn VRS+ 2 long ñeàn vuoâng D18-50x50x3/Zn: 4 caùi/vò trí</t>
  </si>
  <si>
    <t>Sứ treo polymer 24kV</t>
  </si>
  <si>
    <t>taán x 0,05ca/taán x 576940 ñ/ca x 1,16</t>
  </si>
  <si>
    <t>taán x 0,05ca/taán x 576940 ñ/ca  x 1,16</t>
  </si>
  <si>
    <t>Vòng treo đầu tròn D16</t>
  </si>
  <si>
    <t>m</t>
  </si>
  <si>
    <t>Boulon 16x550/Zn VRS+ 4 long ñeàn vuoâng D18-50x50x3/Zn: 4 caùi/vò trí</t>
  </si>
  <si>
    <t>Tạm tính 
Bảng tính 6</t>
  </si>
  <si>
    <t>Kẹp rẽ nhánh IPC 2 bulon 120/25 mm2</t>
  </si>
  <si>
    <t>Boulon 22x650 VRS+ 2 long ñeàn vuoâng D24-60x60x5/Zn</t>
  </si>
  <si>
    <t>Xi măng PCB 40: 505kg/móng</t>
  </si>
  <si>
    <t>Cát vàng sàng sạch: 0,63m3/móng</t>
  </si>
  <si>
    <t>Đá 1x2: 1,21m3/móng</t>
  </si>
  <si>
    <t>Tieáp ñòa laëp laïi (kết nối day trung hoa với tiếp địa hiện hữu)</t>
  </si>
  <si>
    <t>Cáp chằng D5/8" mạ kẽm nhúng 15m/bộ": 0,454kg/m</t>
  </si>
  <si>
    <t>Cáp chằng D5/8" mạ kẽm nhúng 15m/bộ: 0,454kg/m</t>
  </si>
  <si>
    <t>Kg</t>
  </si>
  <si>
    <t>4,5/7</t>
  </si>
  <si>
    <r>
      <t>m</t>
    </r>
    <r>
      <rPr>
        <vertAlign val="superscript"/>
        <sz val="12"/>
        <color indexed="10"/>
        <rFont val="Times New Roman"/>
        <family val="1"/>
      </rPr>
      <t>3</t>
    </r>
  </si>
  <si>
    <t>Ống</t>
  </si>
  <si>
    <t>chuyeán x 5 taán x 80km x 609 ñ x 1,3</t>
  </si>
  <si>
    <t>a2</t>
  </si>
  <si>
    <t xml:space="preserve"> Caùp CXV 25mm2 -24kV : ñaáu noái ñaàu nhaùnh 2m*29vò trí</t>
  </si>
  <si>
    <t>Keïp eùp WR côõ daây 185/150mm2</t>
  </si>
  <si>
    <t xml:space="preserve">Keïp eùp WR côõ daây 50/50mm2 </t>
  </si>
  <si>
    <t xml:space="preserve">Băng keo cách điện trung thế 3M </t>
  </si>
  <si>
    <t>GIÁM ĐỐC</t>
  </si>
  <si>
    <t>Phạm Quang Vĩnh Phú</t>
  </si>
  <si>
    <t>Bằng chữ: Một trăm mười triệu, bốn trăm bảy mươi ba ngàn, hai trăm hai mươi mốt đồng.</t>
  </si>
  <si>
    <t>met</t>
  </si>
  <si>
    <t>Bằng chữ: Một tỷ, chín trăm năm mươi mốt triệu, ba trăm mười sáu nghìn, chín trăm tám mươi sáu đồng.</t>
  </si>
  <si>
    <t>Bảng 5</t>
  </si>
  <si>
    <t>-  Máy rãi dây</t>
  </si>
  <si>
    <t>- Tời máy 5 tấn</t>
  </si>
  <si>
    <t>- Máy ép thủy lực 100T</t>
  </si>
  <si>
    <t>Đà Fe 2,0m</t>
  </si>
  <si>
    <t>Hình thức trụ hiện hữu</t>
  </si>
  <si>
    <t>Hình thức trụ mới</t>
  </si>
  <si>
    <t>Tháo dây AC50mm2</t>
  </si>
  <si>
    <t>Loại trụ</t>
  </si>
  <si>
    <t>Móng trụ</t>
  </si>
  <si>
    <t>Móng chằng xuống</t>
  </si>
  <si>
    <t>Móng chằng lệch</t>
  </si>
  <si>
    <t>Tiếp địa lặp lại bổ sung</t>
  </si>
  <si>
    <t>Sứ đứng</t>
  </si>
  <si>
    <t>Chụp kẹp quai</t>
  </si>
  <si>
    <t>G</t>
  </si>
  <si>
    <t>Số trụ</t>
  </si>
  <si>
    <t>Cáp CXV 25mm2</t>
  </si>
  <si>
    <t>DT</t>
  </si>
  <si>
    <t>Ñaø saét L75 x75 x8 daøi 2200/Zn-04 ốp: 22,37kg/caùi* 41 caùi</t>
  </si>
  <si>
    <t>Thanh choáng V50 x50 x5 choáng daøi 810/Zn: 3,054kg/caùi*  41x2 caùi</t>
  </si>
  <si>
    <t xml:space="preserve">Boä xaø đơn L75x75x8 daøi 2,2m-04 ốp: X-22K - C810 </t>
  </si>
  <si>
    <t>Boä caùch ñieän ñöùng SÑU</t>
  </si>
  <si>
    <t>Sứ đứng 24KV DR540 (không bọc chì)</t>
  </si>
  <si>
    <t>Boulon 16x250+ 2 long đền vuông D18-50x50x3/Zn (gắn chung đà)</t>
  </si>
  <si>
    <t>Chaân söù ñænh thaúng daøi 870mm -3mm không bọc chì 24kV</t>
  </si>
  <si>
    <t>Boulon 16x300 +4 long ñeàn vuoâng D18-50x50x3/Zn</t>
  </si>
  <si>
    <t>Boä moùng neo xoøe cho chaèng lệch: NXX</t>
  </si>
  <si>
    <t>Ty sứ đứng không bọc chì 24kV - D20</t>
  </si>
  <si>
    <t>OÁng noái daây AC70mm2 (khoâng loõi theùp)</t>
  </si>
  <si>
    <t>Cosse ep Cu-Al 70</t>
  </si>
  <si>
    <t>Dây nhôm A70/7 (buộc sứ đứng vào dây ACXV70 1,4mtao/sứ và sứ ống chỉ vào AC 70; 1,2mtao/sứ)</t>
  </si>
  <si>
    <t>Giaùp níu döøng daây boïc 70+Yeám caùp daøy 2mm (150 giaùp níu môùi)</t>
  </si>
  <si>
    <t>Caùp nhoâm loõi theùp AC-70/11: (0,267x1,02xcd)(sử dụng lại dây thu hồi)</t>
  </si>
  <si>
    <t>Caùp AsXV 70/11mm2 (24)KV: (1,02xcd)</t>
  </si>
  <si>
    <t xml:space="preserve">Kẹp quai Al-Cu (2/0) </t>
  </si>
  <si>
    <t xml:space="preserve">Keïp eùp WR côõ daây 70/70mm2 </t>
  </si>
  <si>
    <t>Khoùa neùo daây côõ daây 50-70: kẹp dừng daây 3U -4mm</t>
  </si>
  <si>
    <t>Saét goùc L75 x75 x8 daøi 1660/Zn-02 ốp: 16,236kg/caùi* 44  caùi</t>
  </si>
  <si>
    <t>Saét goùc L50 x50 x5 choáng daøi 810/Zn: 3,054kg/caùi* 44 x2 caùi</t>
  </si>
  <si>
    <t>TỔNG CỘNG PHẦN XÂY DỰNG</t>
  </si>
  <si>
    <t>Keïp eùp WR 379 côõ daây 120/25mm2: 2caùi / vò trí</t>
  </si>
  <si>
    <t xml:space="preserve">1. BẢNG TỔNG HỢP DỰ TOÁN SỬA CHỮA LỚN </t>
  </si>
  <si>
    <t>CHI PHÍ XÂY DỰNG</t>
  </si>
  <si>
    <t>Chi phí xây dựng công trình chính, phụ trợ, tạm phục vụ thi công</t>
  </si>
  <si>
    <r>
      <t>G</t>
    </r>
    <r>
      <rPr>
        <b/>
        <sz val="9"/>
        <rFont val="Times New Roman"/>
        <family val="1"/>
      </rPr>
      <t>XD</t>
    </r>
  </si>
  <si>
    <t>Bảng 2</t>
  </si>
  <si>
    <t>CHI PHÍ THIẾT BỊ</t>
  </si>
  <si>
    <t>B.1</t>
  </si>
  <si>
    <t>Chi phí mua sắm, vận chuyển</t>
  </si>
  <si>
    <t>Chi phí mua sắm thiết bị</t>
  </si>
  <si>
    <t>Chi phí vận chuyển bốc dỡ (nếu có)</t>
  </si>
  <si>
    <r>
      <t>G</t>
    </r>
    <r>
      <rPr>
        <b/>
        <sz val="9"/>
        <rFont val="Times New Roman"/>
        <family val="1"/>
      </rPr>
      <t>TB</t>
    </r>
  </si>
  <si>
    <t>B.2</t>
  </si>
  <si>
    <t>Chi phí lắp đặt và TNHC thiết bị</t>
  </si>
  <si>
    <t>Chi phí lắp đặt TB</t>
  </si>
  <si>
    <t>Chi phí thí nghiệm hiệu chỉnh TB (nếu có)</t>
  </si>
  <si>
    <t>CHÍ PHÍ KHÁC</t>
  </si>
  <si>
    <r>
      <t>G</t>
    </r>
    <r>
      <rPr>
        <b/>
        <sz val="9"/>
        <rFont val="Times New Roman"/>
        <family val="1"/>
      </rPr>
      <t>K</t>
    </r>
  </si>
  <si>
    <t>Chi phí khảo sát xây dựng ĐD trung thế</t>
  </si>
  <si>
    <t>Chi phí khảo sát xây dựng ĐD hạ thế</t>
  </si>
  <si>
    <t>Chi phí thiết kế phần đường dây trung thế</t>
  </si>
  <si>
    <t>Chi phí thiết kế phần đường dây hạ thế</t>
  </si>
  <si>
    <t>Chi phí thiết kế phần trạm phân phối</t>
  </si>
  <si>
    <t xml:space="preserve">Chi phí láng trại tạm </t>
  </si>
  <si>
    <t>Chi phí nghiệm thu chạy thử</t>
  </si>
  <si>
    <t>Chi phí khác</t>
  </si>
  <si>
    <t xml:space="preserve">TỔNG GIÁ TRỊ DỰ TOÁN </t>
  </si>
  <si>
    <r>
      <t>10% x (G</t>
    </r>
    <r>
      <rPr>
        <sz val="9"/>
        <rFont val="Times New Roman"/>
        <family val="1"/>
      </rPr>
      <t>XD</t>
    </r>
    <r>
      <rPr>
        <sz val="13"/>
        <rFont val="Times New Roman"/>
        <family val="1"/>
      </rPr>
      <t>+G</t>
    </r>
    <r>
      <rPr>
        <sz val="9"/>
        <rFont val="Times New Roman"/>
        <family val="1"/>
      </rPr>
      <t>TB</t>
    </r>
    <r>
      <rPr>
        <sz val="13"/>
        <rFont val="Times New Roman"/>
        <family val="1"/>
      </rPr>
      <t>+G</t>
    </r>
    <r>
      <rPr>
        <sz val="9"/>
        <rFont val="Times New Roman"/>
        <family val="1"/>
      </rPr>
      <t>K</t>
    </r>
    <r>
      <rPr>
        <sz val="13"/>
        <rFont val="Times New Roman"/>
        <family val="1"/>
      </rPr>
      <t>)</t>
    </r>
  </si>
  <si>
    <t xml:space="preserve">2. BẢNG DỰ TOÁN CHI PHÍ XÂY DỰNG PHẦN XÂY LẮP </t>
  </si>
  <si>
    <t>KÝ HIỆU</t>
  </si>
  <si>
    <t>THÀNH TIỀN ĐD TRÊN KHÔNG</t>
  </si>
  <si>
    <t>TRUNG THẾ</t>
  </si>
  <si>
    <t>TỔNG CỘNG</t>
  </si>
  <si>
    <t>(6)=(5)</t>
  </si>
  <si>
    <t>VL+NC+M</t>
  </si>
  <si>
    <t>CHI PHÍ TRỰC TIẾP</t>
  </si>
  <si>
    <t>Chi phí vật liệu</t>
  </si>
  <si>
    <t>Chi phí vật liệu chính</t>
  </si>
  <si>
    <t>Chí phí vật liệu phụ (nếu có)</t>
  </si>
  <si>
    <t>Bù chênh lệch vật liệu</t>
  </si>
  <si>
    <t>Bảng 8</t>
  </si>
  <si>
    <t>Chi phí vận chuyển - bốc dỡ vật liệu</t>
  </si>
  <si>
    <t>Bảng 7&amp;9</t>
  </si>
  <si>
    <t>Chi phí nhân công</t>
  </si>
  <si>
    <t>Chi phí máy thi công</t>
  </si>
  <si>
    <t>Bảng 5 x Kmtc</t>
  </si>
  <si>
    <t>35% x NC</t>
  </si>
  <si>
    <t>6% ( T + C )</t>
  </si>
  <si>
    <t>Gía trị dự toán trước thuế</t>
  </si>
  <si>
    <t>G x 10%</t>
  </si>
  <si>
    <t>THUẾ GIÁ TRỊ GIA TĂNG</t>
  </si>
  <si>
    <t>GTGT</t>
  </si>
  <si>
    <t>T + C + TL</t>
  </si>
  <si>
    <t>Gía trị dự toán xây dựng sau thuế</t>
  </si>
  <si>
    <t>G + GTGT</t>
  </si>
  <si>
    <r>
      <t>G</t>
    </r>
    <r>
      <rPr>
        <b/>
        <vertAlign val="subscript"/>
        <sz val="12"/>
        <rFont val="Times New Roman"/>
        <family val="1"/>
      </rPr>
      <t>XDCPT</t>
    </r>
  </si>
  <si>
    <r>
      <t>CL</t>
    </r>
    <r>
      <rPr>
        <vertAlign val="subscript"/>
        <sz val="12"/>
        <rFont val="Times New Roman"/>
        <family val="1"/>
      </rPr>
      <t>VL</t>
    </r>
  </si>
  <si>
    <r>
      <t>a1 + a2 + CL</t>
    </r>
    <r>
      <rPr>
        <vertAlign val="subscript"/>
        <sz val="12"/>
        <rFont val="Times New Roman"/>
        <family val="1"/>
      </rPr>
      <t>VL</t>
    </r>
    <r>
      <rPr>
        <sz val="12"/>
        <rFont val="Times New Roman"/>
        <family val="1"/>
      </rPr>
      <t xml:space="preserve"> + VC</t>
    </r>
  </si>
  <si>
    <t>TỔNG</t>
  </si>
  <si>
    <t>Danh mục</t>
  </si>
  <si>
    <t>Khối lượng</t>
  </si>
  <si>
    <t>Đơn giá</t>
  </si>
  <si>
    <t>Nhân công</t>
  </si>
  <si>
    <t>Thành tiền</t>
  </si>
  <si>
    <t>(9) = (4)x(6)</t>
  </si>
  <si>
    <t>(8) = (4)x(5)</t>
  </si>
  <si>
    <t>(10) = (4)x(7)</t>
  </si>
  <si>
    <t>5. BẢNG TỔNG HỢP CHI PHÍ VẬT LIỆU, THIẾT BỊ, NHÂN CÔNG, MÁY THI CÔNG</t>
  </si>
  <si>
    <t>MHĐM</t>
  </si>
  <si>
    <t xml:space="preserve"> - Trước khi thi công: Đơn vị thi công, tư vấn giám sát và chủ đầu tư cùng nhau xác nhận khối lượng vật tư - thiết bị thực tế thu hồi tại hiện trường.</t>
  </si>
  <si>
    <t xml:space="preserve"> - Khối lượng vật tư, thiết bị thu hồi sau khi thu hồi: Đơn vị thi công bàn giao lại cho Điện lực.</t>
  </si>
  <si>
    <t>Tên vật liệu</t>
  </si>
  <si>
    <t>Đơn giá ước tính</t>
  </si>
  <si>
    <t>Chất lượng còn lại (%)</t>
  </si>
  <si>
    <t>Giá trị (đồng)</t>
  </si>
  <si>
    <t>Ghi chú</t>
  </si>
  <si>
    <t>(7) = (4)x(5)</t>
  </si>
  <si>
    <t>Ống co nhiệt D50/25</t>
  </si>
  <si>
    <t>Bộ dừng dây trung hòa (Kẹp dừng dây 3U)</t>
  </si>
  <si>
    <t>Bộ kẹp dừng dây AC 3U</t>
  </si>
  <si>
    <t>Cáp CXV25mm2</t>
  </si>
  <si>
    <t>Chằng SG</t>
  </si>
  <si>
    <t>Chằng xuống DG</t>
  </si>
  <si>
    <t>Chằng lệch AG</t>
  </si>
  <si>
    <t>Neo chằng SG</t>
  </si>
  <si>
    <t>Cáp CXV 50mm2</t>
  </si>
  <si>
    <t>Phần móng và tiếp địa</t>
  </si>
  <si>
    <t>Phần xà, néo</t>
  </si>
  <si>
    <t>cây</t>
  </si>
  <si>
    <t>Móng M12</t>
  </si>
  <si>
    <t>Trụ</t>
  </si>
  <si>
    <t>Bộ chằng xuống đơn cho trụ 12m: CX12-B</t>
  </si>
  <si>
    <t>Bộ chằng lệch đơn cho trụ 12m: CL12-B</t>
  </si>
  <si>
    <t>Máng che dây chằng 0,8x2000: 01 cái/ bộ</t>
  </si>
  <si>
    <t>Bộ móng neo xòe cho chằng xuống: NXX</t>
  </si>
  <si>
    <t>Neo xòe 8H-135inch2 + đĩa sen (sơn đen)</t>
  </si>
  <si>
    <t>Ty neo Ø22x2400</t>
  </si>
  <si>
    <t>Boulon 16x250 + 02 long đền vuông D18-50x50x3/Zn</t>
  </si>
  <si>
    <t>Uclevis - 3mm</t>
  </si>
  <si>
    <t>Bộ cách điện đỉnh thẳng: SĐI</t>
  </si>
  <si>
    <t>Chuổi sứ treo Polymer 24kV gắn vào đà</t>
  </si>
  <si>
    <t>chuỗi</t>
  </si>
  <si>
    <t>Boulon 16x300 + 02 long đền vuông D18-50x50x3/Zn</t>
  </si>
  <si>
    <t>Phụ kiện đường dây</t>
  </si>
  <si>
    <t xml:space="preserve">Cáp CXV 25mm2 </t>
  </si>
  <si>
    <t>Chụp kẹp quai hotline</t>
  </si>
  <si>
    <t>ống</t>
  </si>
  <si>
    <t>Cáp chằng D5/8" mạ kẽm nhúng 13m/bộ: 0,454kg/m</t>
  </si>
  <si>
    <t>4,0/7</t>
  </si>
  <si>
    <t>Lắp sứ treo polymer néo đơn</t>
  </si>
  <si>
    <t>Tháo kẹp quai</t>
  </si>
  <si>
    <t>Lắp kẹp quai</t>
  </si>
  <si>
    <t>(Bảng 5) x 1,053</t>
  </si>
  <si>
    <t>Bảng tính 3</t>
  </si>
  <si>
    <t>CHI PHÍ THI CÔNG XÂY LẮP</t>
  </si>
  <si>
    <t>Bảng tính 2</t>
  </si>
  <si>
    <t>Cáp AC 50mm2</t>
  </si>
  <si>
    <t>Tháo cáp nhôm lõi thép AC50 thủ công + cơ giới</t>
  </si>
  <si>
    <t>PHẦN ĐƯỜNG DÂY TRUNG THẾ</t>
  </si>
  <si>
    <t>Phần vật liệu</t>
  </si>
  <si>
    <t>SHĐM</t>
  </si>
  <si>
    <t>LIỆT KÊ VẬT TƯ</t>
  </si>
  <si>
    <t>ĐƠN VỊ</t>
  </si>
  <si>
    <t>ĐỊNH MỨC CA MÁY</t>
  </si>
  <si>
    <t>HỆ SỐ</t>
  </si>
  <si>
    <t>ĐƠN GIÁ</t>
  </si>
  <si>
    <t>K. LƯỢNG</t>
  </si>
  <si>
    <t>Cộng:</t>
  </si>
  <si>
    <t>Vận chuyển trụ:</t>
  </si>
  <si>
    <t>Đường dây trung thế (Từ kho điện lực đến công trình)</t>
  </si>
  <si>
    <t>Vận chuyển dây sứ và phụ kiện</t>
  </si>
  <si>
    <t>Cẩu bốc dỡ vật tư :</t>
  </si>
  <si>
    <t>Cẩu bốc dỡ trụ :</t>
  </si>
  <si>
    <t>Chi phí chằng buộc, bảo quản hàng trong quá trình vận chuyển</t>
  </si>
  <si>
    <t xml:space="preserve"> chuyến x 25.000 đ</t>
  </si>
  <si>
    <t>XÂY LẮP</t>
  </si>
  <si>
    <r>
      <t>Z</t>
    </r>
    <r>
      <rPr>
        <b/>
        <vertAlign val="subscript"/>
        <sz val="11"/>
        <rFont val="Times New Roman"/>
        <family val="1"/>
      </rPr>
      <t>0</t>
    </r>
  </si>
  <si>
    <t>THUẾ GIÁ TRỊ GIA TĂNG ĐẦU RA</t>
  </si>
  <si>
    <t>BẢNG PHÂN BỐ TRỤ ĐƯỜNG DÂY TRUNG THẾ</t>
  </si>
  <si>
    <t>Sứ đứng 24kV sử dụng lại</t>
  </si>
  <si>
    <t xml:space="preserve">- Trước khi thi công, đơn vị thi công, tư vấn giám sát và chủ đầu tư cùng nhau xác nhận khối lượng vật tư - thiết bị thực tế thu hồi tại hiện trường. </t>
  </si>
  <si>
    <t>Ghi chú :</t>
  </si>
  <si>
    <t>- Khối lượng vật tư, thiết bị thu hồi sau khi thu hồi đơn vị thi công bàn giao tại kho Điện lực.</t>
  </si>
  <si>
    <t>Bộ chằng vượt băng đường SG cho trụ 12m.</t>
  </si>
  <si>
    <t>Khoảng cách hiện hữu</t>
  </si>
  <si>
    <t xml:space="preserve">Cáp CXV 50mm2 </t>
  </si>
  <si>
    <t>Khoảng cách XDM</t>
  </si>
  <si>
    <t>Bộ Uclevis đỡ dây T.H (Gồm 1 bulon 16x250 + 01 Uclevis)</t>
  </si>
  <si>
    <t>Bộ móng neo xòe cho chằng lệch: NXL</t>
  </si>
  <si>
    <t xml:space="preserve">Boulon 16x250 + 02 long đền vuông D18-50x50x3/Zn </t>
  </si>
  <si>
    <t>Bộ Uclevis đỡ dây trung hòa gắn vào trụ BTLT</t>
  </si>
  <si>
    <t>3. BẢNG TÍNH CHI TIẾT VẬT LIỆU, THIẾT BỊ, NHÂN CÔNG, MÁY THI CÔNG</t>
  </si>
  <si>
    <t>Móc treo chữ U Ø16: dài 100</t>
  </si>
  <si>
    <t>Móng</t>
  </si>
  <si>
    <t>Boulon mắt 16x300 + 1 long đền vuông D18-50x50x3/Zn</t>
  </si>
  <si>
    <t>Sứ chằng lớn (90N): 01 cái/bộ</t>
  </si>
  <si>
    <t>Boulon mắt 16x250 + 01 long đền vuông D18-50x50x3/Zn: 01 cái/bộ</t>
  </si>
  <si>
    <t>Cáp chằng D5/8" mạ kẽm nhúng 20m/bộ: 0,454kg/m</t>
  </si>
  <si>
    <r>
      <t>G</t>
    </r>
    <r>
      <rPr>
        <b/>
        <vertAlign val="subscript"/>
        <sz val="13"/>
        <rFont val="Times New Roman"/>
        <family val="1"/>
      </rPr>
      <t>XD</t>
    </r>
  </si>
  <si>
    <t>(A+B)</t>
  </si>
  <si>
    <t>2. BẢNG DỰ TOÁN CHI PHÍ XÂY DỰNG PHẦN XÂY LẮP</t>
  </si>
  <si>
    <t>Vc</t>
  </si>
  <si>
    <t>04.02.30(2)</t>
  </si>
  <si>
    <t>03.09.25(1)</t>
  </si>
  <si>
    <t>03.01.10(5)</t>
  </si>
  <si>
    <t>03.10.41(1)</t>
  </si>
  <si>
    <t>03.09.26(1)</t>
  </si>
  <si>
    <t>03.09.27(1)</t>
  </si>
  <si>
    <t>05.02.10(1)</t>
  </si>
  <si>
    <t>03.07.10(1)</t>
  </si>
  <si>
    <t>05.02.10(2)</t>
  </si>
  <si>
    <t>Giá trị dự toán xây dựng sau thuế</t>
  </si>
  <si>
    <r>
      <t>G</t>
    </r>
    <r>
      <rPr>
        <b/>
        <vertAlign val="subscript"/>
        <sz val="11"/>
        <rFont val="Times New Roman"/>
        <family val="1"/>
      </rPr>
      <t>XDCPT</t>
    </r>
  </si>
  <si>
    <r>
      <t>6% x (Z</t>
    </r>
    <r>
      <rPr>
        <b/>
        <vertAlign val="subscript"/>
        <sz val="11"/>
        <rFont val="Times New Roman"/>
        <family val="1"/>
      </rPr>
      <t>0</t>
    </r>
    <r>
      <rPr>
        <b/>
        <sz val="11"/>
        <rFont val="Times New Roman"/>
        <family val="1"/>
      </rPr>
      <t>)</t>
    </r>
  </si>
  <si>
    <r>
      <t>Z</t>
    </r>
    <r>
      <rPr>
        <b/>
        <vertAlign val="subscript"/>
        <sz val="11"/>
        <rFont val="Times New Roman"/>
        <family val="1"/>
      </rPr>
      <t xml:space="preserve">0 </t>
    </r>
    <r>
      <rPr>
        <b/>
        <sz val="11"/>
        <rFont val="Times New Roman"/>
        <family val="1"/>
      </rPr>
      <t>+ TL</t>
    </r>
  </si>
  <si>
    <t>10% x G</t>
  </si>
  <si>
    <t>Phần dây, sứ và phụ kiện</t>
  </si>
  <si>
    <t>Cáp đồng trần M25mm2: 0,5m/ vị trí</t>
  </si>
  <si>
    <t>Cộng I :</t>
  </si>
  <si>
    <t>BẬC LƯƠNG</t>
  </si>
  <si>
    <t>HỆ SỐ LƯƠNG (HSL)</t>
  </si>
  <si>
    <t>Lương tối thiểu ngày (LTTng)</t>
  </si>
  <si>
    <t>ĐƠN GIÁ NGÀY CÔNG</t>
  </si>
  <si>
    <t>Lương cơ bản ngày (LCBng)</t>
  </si>
  <si>
    <t>Gnc</t>
  </si>
  <si>
    <t>LTTng x HSL</t>
  </si>
  <si>
    <t>1,0/7</t>
  </si>
  <si>
    <t>2,0/7</t>
  </si>
  <si>
    <t>5,0/7</t>
  </si>
  <si>
    <t>6,0/7</t>
  </si>
  <si>
    <t>7,0/7</t>
  </si>
  <si>
    <t>1,5/7</t>
  </si>
  <si>
    <t>2,5/7</t>
  </si>
  <si>
    <t>5,5/7</t>
  </si>
  <si>
    <t>6,5/7</t>
  </si>
  <si>
    <t>Đơn giá tiền lương ngày công của nhân công trực tiếp theo vùng I, II, III điều chỉnh theo hệ số sau:</t>
  </si>
  <si>
    <t>+ Lương ngày công vùng II = cột (6) x (2.150.000/1.900.000) = cột (6) x 1,132.</t>
  </si>
  <si>
    <t>+ Lương ngày công vùng I = cột (6) x (2.350.000/1.900.000) = cột (6) x 1,237.</t>
  </si>
  <si>
    <t>+ Lương ngày công vùng III= cột (6) x (2.000.000/1.900.000) = cột (6) x 1,053.</t>
  </si>
  <si>
    <t>BẢNG TÍNH ĐƠN GIÁ TIỀN LƯƠNG NGÀY CÔNG NHÓM I</t>
  </si>
  <si>
    <t>+ Lương ngày công vùng I = cột (6) x (2.350.000/1.900.000) = cột (6) x 1,237</t>
  </si>
  <si>
    <t>+ Lương ngày công vùng II = cột (6) x (2.150.000/1.900.000) = cột (6) x 1,132</t>
  </si>
  <si>
    <t>+ Lương ngày công vùng III = cột (6) x (2.000.000/1.900.000) = cột (6) x 1,053</t>
  </si>
  <si>
    <t>=(6)*1,053</t>
  </si>
  <si>
    <t>= (6)* 1,053</t>
  </si>
  <si>
    <t>T + C</t>
  </si>
  <si>
    <t>VL B Cấp</t>
  </si>
  <si>
    <t>VL A Cấp</t>
  </si>
  <si>
    <t>TỔNG CỘNG PHẦN XÂY DỰNG:</t>
  </si>
  <si>
    <t>(HÌNH THỨC THUÊ NGOÀI)</t>
  </si>
  <si>
    <t>Dây AC 50mm2</t>
  </si>
  <si>
    <t>Trụ BTLT 12m F540 dự ứng lực</t>
  </si>
  <si>
    <t>Trụ bê tông ly tâm 12m trồng thủ công + cơ giới</t>
  </si>
  <si>
    <t>Bộ dừng dây trung hòa vào trụ đơn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</si>
  <si>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</si>
  <si>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</si>
  <si>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</si>
  <si>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</si>
  <si>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</si>
  <si>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</si>
  <si>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</si>
  <si>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</si>
  <si>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</si>
  <si>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</si>
  <si>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</si>
  <si>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</si>
  <si>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</si>
  <si>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</si>
  <si>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(9)=(6)*(7)*(8)</t>
  </si>
  <si>
    <t>Phần áp dụng ĐM 1776/BXD-VP ngày 16/8/2007</t>
  </si>
  <si>
    <t>AB.1142(3)</t>
  </si>
  <si>
    <r>
      <t>Đào đất cấp III : 0,226m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/móng M12; 0,25m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/móng neo xuống; 0,25m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/móng neo lệch.</t>
    </r>
  </si>
  <si>
    <t>Phần áp dụng QĐ 228/QĐ-PCĐN ngày 8/12/2015</t>
  </si>
  <si>
    <t>8. BẢNG TÍNH VẬN CHUYỂN - BỐC DỠ</t>
  </si>
  <si>
    <t>7. BẢNG TỔNG HỢP VẬT TƯ, THIẾT BỊ THU HỒI</t>
  </si>
  <si>
    <t>6. BẢNG TÍNH MÁY THI CÔNG VẬT TƯ THÁO, LẮP</t>
  </si>
  <si>
    <t>(7)=(5)*(6)</t>
  </si>
  <si>
    <t>WR 835</t>
  </si>
  <si>
    <t>BTLT 12m thay trụ 8,5m</t>
  </si>
  <si>
    <t>Tổng 1:</t>
  </si>
  <si>
    <t>Tổng 2:</t>
  </si>
  <si>
    <r>
      <t>Đắp đất k=0,9 : 0,18m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/móng M12; 0,25m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/móng neo xuống; 0,25m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/móng neo lệch.</t>
    </r>
  </si>
  <si>
    <t>AB.1311(2)</t>
  </si>
  <si>
    <t>Đơn giá áp dụng (VB số 3968/PCĐN-QLĐT ngày 15/9/2016)</t>
  </si>
  <si>
    <t>Nhóm 1-PL1</t>
  </si>
  <si>
    <t>Nhóm 2-PL2</t>
  </si>
  <si>
    <t>5. BẢNG TÍNH ĐƠN GIÁ NHÂN CÔNG.</t>
  </si>
  <si>
    <t>4. BẢNG TÍNH CHI TIẾT NHÂN CÔNG</t>
  </si>
  <si>
    <t xml:space="preserve">tấn x 0,05ca/tấn x 576940 đ/ca  </t>
  </si>
  <si>
    <t xml:space="preserve">(Bảng 4) </t>
  </si>
  <si>
    <t>2.000.000/26</t>
  </si>
  <si>
    <t>Nhóm I</t>
  </si>
  <si>
    <t>Nhóm II</t>
  </si>
  <si>
    <t>Nhóm 2</t>
  </si>
  <si>
    <t>Dựng trụ ≤12m : bằng cẩu + thủ công (Cẩu 10 tấn)</t>
  </si>
  <si>
    <t>Bộ cách điện đỉnh thẳng: SĐI (không bọc chì)</t>
  </si>
  <si>
    <t>Sứ đứng 24KV ĐR540mm (không bọc chì)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</si>
  <si>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</si>
  <si>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</si>
  <si>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</si>
  <si>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</si>
  <si>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</si>
  <si>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</si>
  <si>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</si>
  <si>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</si>
  <si>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</si>
  <si>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</si>
  <si>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</si>
  <si>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</si>
  <si>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</si>
  <si>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Ty sứ đỉnh thẳng (không bọc chì) (SDL sứ đứng hh)</t>
  </si>
  <si>
    <t>Ống co nhiệt cách điện loại Ф 50/25 độ dày &gt;1mm, độ co rút ≥  50% đường kính, chịu nhiệt 120-140°C (mối nối đường dây và cung lèo). 1m/ cái</t>
  </si>
  <si>
    <t>(7)=(4)x(5)</t>
  </si>
  <si>
    <t>(8) = (4)x(6)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</si>
  <si>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</si>
  <si>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</si>
  <si>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</si>
  <si>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</si>
  <si>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</si>
  <si>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</si>
  <si>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</si>
  <si>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</si>
  <si>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</si>
  <si>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</si>
  <si>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</si>
  <si>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WR 279</t>
  </si>
  <si>
    <t>WR 419</t>
  </si>
  <si>
    <t>Bộ đỡ dây trung hòa mới</t>
  </si>
  <si>
    <t>Kẹp quai 4/0 làm tiếp địa</t>
  </si>
  <si>
    <t>Chụp FCO</t>
  </si>
  <si>
    <t>Chụp LA</t>
  </si>
  <si>
    <t>Bộ cách điện đỉnh góc (không bọc chì)</t>
  </si>
  <si>
    <t>Ty sứ đỉnh thẳng (không bọc chì), (không gồm sứ)</t>
  </si>
  <si>
    <t>Ty sứ đỉnh góc (không bọc chì), (không gồm sứ)</t>
  </si>
  <si>
    <t>Boulon D16-250</t>
  </si>
  <si>
    <t>Boulon D16-300</t>
  </si>
  <si>
    <t>Ống bọc cách điện</t>
  </si>
  <si>
    <t>Hotline 4/0</t>
  </si>
  <si>
    <t>Hotline 2/0</t>
  </si>
  <si>
    <t>Kẹp quai 4/0</t>
  </si>
  <si>
    <t>Tiếp địa lặp lại bổ sung mới</t>
  </si>
  <si>
    <t>Cáp đồng trần M25mm2 (0,224kg/m)</t>
  </si>
  <si>
    <t>Cọc tiếp địa mạ đồng 16x2400</t>
  </si>
  <si>
    <r>
      <t xml:space="preserve">Bộ chống chằng hẹp </t>
    </r>
    <r>
      <rPr>
        <sz val="14"/>
        <rFont val="Calibri"/>
        <family val="2"/>
      </rPr>
      <t>Φ</t>
    </r>
    <r>
      <rPr>
        <sz val="14"/>
        <rFont val="Times New Roman"/>
        <family val="1"/>
      </rPr>
      <t>60/50x1500+2BL12x40+BL16x250/80</t>
    </r>
  </si>
  <si>
    <r>
      <t>Ống nối dây AC95mm</t>
    </r>
    <r>
      <rPr>
        <vertAlign val="superscript"/>
        <sz val="14"/>
        <rFont val="Times New Roman"/>
        <family val="1"/>
      </rPr>
      <t xml:space="preserve">2 </t>
    </r>
    <r>
      <rPr>
        <sz val="14"/>
        <rFont val="Times New Roman"/>
        <family val="1"/>
      </rPr>
      <t>(không có lõi thép)</t>
    </r>
  </si>
  <si>
    <t xml:space="preserve">Sứ ống chỉ </t>
  </si>
  <si>
    <t>Bộ cách điện đỉnh góc: SĐU</t>
  </si>
  <si>
    <t>Kẹp ép WR 279 (70/70, 50, 35)</t>
  </si>
  <si>
    <t>Kẹp ép WR 419 (120/120)</t>
  </si>
  <si>
    <t xml:space="preserve">Kẹp quai Al-Cu 8 ly (4/0) </t>
  </si>
  <si>
    <t>Chụp FCO (Trên + Dưới)</t>
  </si>
  <si>
    <t>Chân sứ đỉnh thẳng dài 870 - 4 ly sứ 24kV (không bọc chì)</t>
  </si>
  <si>
    <r>
      <t xml:space="preserve">Chân sứ đỉnh cong dài 870 - 4 ly </t>
    </r>
    <r>
      <rPr>
        <b/>
        <sz val="14"/>
        <rFont val="Times New Roman"/>
        <family val="1"/>
      </rPr>
      <t xml:space="preserve"> </t>
    </r>
    <r>
      <rPr>
        <sz val="14"/>
        <rFont val="Times New Roman"/>
        <family val="1"/>
      </rPr>
      <t>sứ 24kV (không bọc chì)</t>
    </r>
  </si>
  <si>
    <r>
      <t xml:space="preserve">Chân sứ đỉnh thẳng dài 870 - 4 ly </t>
    </r>
    <r>
      <rPr>
        <sz val="14"/>
        <rFont val="Times New Roman"/>
        <family val="1"/>
      </rPr>
      <t>sứ 24kV(không bọc chì)</t>
    </r>
  </si>
  <si>
    <r>
      <t xml:space="preserve">Chân sứ đỉnh cong dài 870 - 4 ly </t>
    </r>
    <r>
      <rPr>
        <sz val="14"/>
        <rFont val="Times New Roman"/>
        <family val="1"/>
      </rPr>
      <t>sứ 24kV (không bọc chì)</t>
    </r>
  </si>
  <si>
    <t>Kẹp ép WR 279 cỡ dây 70/25mm2: (2 cái / bộ)</t>
  </si>
  <si>
    <t>Boulon mắt 16x250 + 01 long đền vuông D18-50x50x3/Zn: 01 cái/ bộ</t>
  </si>
  <si>
    <t>Sứ chằng lớn (90N): 1 cái/ bộ</t>
  </si>
  <si>
    <t>Boulon mắt 16x250 + 01 long đền vuông D18-50x50x3/Zn: 02 cái/ bộ</t>
  </si>
  <si>
    <t>Sứ chằng lớn (90N): 01 cái/ bộ</t>
  </si>
  <si>
    <t>a3</t>
  </si>
  <si>
    <t>CHI PHÍ VẬT TƯ, THIẾT BỊ
(Vật liệu B cấp)</t>
  </si>
  <si>
    <t>Phần áp dụng QĐ 4970/QĐ-BCT ngày 21/12/2016</t>
  </si>
  <si>
    <t>D2.523</t>
  </si>
  <si>
    <t>Dựng cột bê tông (chiều cao cột ≤ 12m)</t>
  </si>
  <si>
    <t>cột</t>
  </si>
  <si>
    <t>D2.810</t>
  </si>
  <si>
    <t>Đóng trực tiếp cọc tiếp địa xuống đất</t>
  </si>
  <si>
    <t>Thay trụ ≤12m : bằng cẩu + thủ công</t>
  </si>
  <si>
    <t xml:space="preserve">(Bảng 6) </t>
  </si>
  <si>
    <t>Tạm tính 
Bảng tính 7</t>
  </si>
  <si>
    <t>(Bảng 8)</t>
  </si>
  <si>
    <t>Máy rải dây</t>
  </si>
  <si>
    <t>Máy thủy lực nối ép, vá dây</t>
  </si>
  <si>
    <t>chuyến x 5 tấn x 35km x 1057 đ x 1,3</t>
  </si>
  <si>
    <t>(Theo văn bản số 2991/PCĐN-8 ngày 22/08/2013 của Công ty TNHH MTV Điện lực Đồng Nai về việc Áp dụng giá cước vận chuyển hàng hóa bằng xe ô tô trên địa bàn tỉnh Đồng Nai).</t>
  </si>
  <si>
    <t>(a1+a2+a3)</t>
  </si>
  <si>
    <t>Tời điện sức kéo 5 tấn</t>
  </si>
  <si>
    <t>(Theo thông tư số 06/2016/TT-BXD Hà Nội, ngày 10 tháng 03 năm 2016)</t>
  </si>
  <si>
    <t>004A</t>
  </si>
  <si>
    <t>039</t>
  </si>
  <si>
    <t>040</t>
  </si>
  <si>
    <t>041</t>
  </si>
  <si>
    <t>Tổng 3:</t>
  </si>
  <si>
    <t>F</t>
  </si>
  <si>
    <t xml:space="preserve">Bass LI bắt FCO </t>
  </si>
  <si>
    <t xml:space="preserve">Bass LI </t>
  </si>
  <si>
    <t>Ty sứ đỉnh góc (không bọc chì)</t>
  </si>
  <si>
    <t>Tiếp địa lặp lại (kết nối dây trung hòa với tiếp địa hiện hữu)</t>
  </si>
  <si>
    <t>Bass LI bắt FCO</t>
  </si>
  <si>
    <t>Kẹp chằng 3 boulon 5/8"/Zn (B46x130): 8 cái/bộ</t>
  </si>
  <si>
    <t>Kẹp chằng 3 boulon 5/8"/Zn (B46x130): 8 cái/ bộ</t>
  </si>
  <si>
    <t>Kẹp chằng 3 boulon 5/8"/Zn (B46x130): 08 cái/ bộ</t>
  </si>
  <si>
    <t>Yếm đỡ dây chằng Ø1/2" mạ kẽm - dày 2mm đỡ dây chằng 5/8: 02 cái /bộ</t>
  </si>
  <si>
    <t>Yếm đỡ dây chằng Ø1/2" mạ kẽm - dày 2mm đỡ dây chằng 5/8: 02 cái / bộ</t>
  </si>
  <si>
    <t>Kẹp dừng dây 3U-4mm (50-70mm2)</t>
  </si>
  <si>
    <t>Kẹp dừng 3U</t>
  </si>
  <si>
    <t>Boulon mắt 16x250</t>
  </si>
  <si>
    <t>Bass LI</t>
  </si>
  <si>
    <t>Phụ kiện sứ treo thủy tinh 2 bát (trụ F)</t>
  </si>
  <si>
    <t>Móc treo chữ U f16</t>
  </si>
  <si>
    <t>Lem yên ngựa</t>
  </si>
  <si>
    <t>Dây nhôm A70 (buộc sứ ống chỉ vào AC 70; 1,2m/tao/sứ)</t>
  </si>
  <si>
    <t>Lê Minh Thiện</t>
  </si>
  <si>
    <t>TP.KHKT</t>
  </si>
  <si>
    <t>Nguyễn Vĩnh Tuấn</t>
  </si>
  <si>
    <t>1. BẢNG TỔNG HỢP DỰ TOÁN KINH PHÍ SỬA CHỮA LỚN.</t>
  </si>
  <si>
    <t>Kẹp ép WR 279 cỡ dây 70/25mm2: (1 cái / bộ)</t>
  </si>
  <si>
    <t>009A</t>
  </si>
  <si>
    <t>Cáp ACX 50/8mm2 (24)KV: (1,02xCd)</t>
  </si>
  <si>
    <t>Giáp níu dừng dây ACX50mm2</t>
  </si>
  <si>
    <t>Ty sứ đỉnh thẳng</t>
  </si>
  <si>
    <t>Ty sứ đỉnh cong</t>
  </si>
  <si>
    <t>Giáp níu dừng dây bọc trung thế ACX50mm2 + Yếm móng U giáp níu</t>
  </si>
  <si>
    <t>Kéo cáp nhôm lõi thép ACX50 thủ công + cơ giới</t>
  </si>
  <si>
    <t>1. Nhánh TX.Xuân Tây 5.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</si>
  <si>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</si>
  <si>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</si>
  <si>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</si>
  <si>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</si>
  <si>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</si>
  <si>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</si>
  <si>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</si>
  <si>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</si>
  <si>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</si>
  <si>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</si>
  <si>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</si>
  <si>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</si>
  <si>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</si>
  <si>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2. Nhánh TX.Xuân Tây 7.</t>
  </si>
  <si>
    <t>006A</t>
  </si>
  <si>
    <t>007A</t>
  </si>
  <si>
    <t>3. Nhánh Lò Than 4</t>
  </si>
  <si>
    <t>4. Nhánh Lò Than 5.</t>
  </si>
  <si>
    <t>Tổng 4:</t>
  </si>
  <si>
    <t>5. Nhánh Lò Than 6.</t>
  </si>
  <si>
    <t>001A</t>
  </si>
  <si>
    <t>Tổng 5:</t>
  </si>
  <si>
    <t>6. Nhánh Lò Than 7.</t>
  </si>
  <si>
    <t>015A</t>
  </si>
  <si>
    <t>Tổng 6:</t>
  </si>
  <si>
    <t>7. Nhánh Lò Than 8, 9.</t>
  </si>
  <si>
    <t>008A</t>
  </si>
  <si>
    <t>016A</t>
  </si>
  <si>
    <t>Tổng 7:</t>
  </si>
  <si>
    <t>8. Nhánh Tân Bình 7.</t>
  </si>
  <si>
    <t>Tổng 8:</t>
  </si>
  <si>
    <t>Dây ACX 50mm2</t>
  </si>
  <si>
    <t>205</t>
  </si>
  <si>
    <t>211</t>
  </si>
  <si>
    <t>9. Nhánh Lâm San 13.</t>
  </si>
  <si>
    <t>225</t>
  </si>
  <si>
    <t>010A</t>
  </si>
  <si>
    <t>10. Nhánh Lâm San 338</t>
  </si>
  <si>
    <t>002A</t>
  </si>
  <si>
    <t>003A</t>
  </si>
  <si>
    <t>011A</t>
  </si>
  <si>
    <t>013A</t>
  </si>
  <si>
    <t>021A</t>
  </si>
  <si>
    <t>11. Nhánh Lâm San 343</t>
  </si>
  <si>
    <t>020A</t>
  </si>
  <si>
    <t>TỔNG A:</t>
  </si>
  <si>
    <t>Boulon 16x250+ 2 long đền vuông D18-50x50x3/Zn</t>
  </si>
  <si>
    <t>Boulon 16x350+ 2 long đền vuông D18-50x50x3/Zn</t>
  </si>
  <si>
    <t>Bộ đà tháp U160x64x5 - 2200mm tháp trụ I</t>
  </si>
  <si>
    <t>Đà tháp U160x64x5 - 2200mm (1 cái/ bộ)</t>
  </si>
  <si>
    <t>Chân sứ đỉnh thẳng dài 870 - 4 ly sứ 24kV (không bọc chì) (SDL sứ hiện hữu) (1 cái/ bộ)</t>
  </si>
  <si>
    <t>Boulon D16x50 + 02 long đền vuông D18-50x50x3/Zn: (02 cái/ bộ)</t>
  </si>
  <si>
    <t>Boulon D16x300VRS + 02 long đền vuông D18-50x50x3/Zn: (02 cái/ bộ)</t>
  </si>
  <si>
    <t>Bộ đà tháp U160x64x5 - 2200mm tháp trụ G</t>
  </si>
  <si>
    <t>Đà tháp U160x64x5 - 2200mm (2 cái/ bộ)</t>
  </si>
  <si>
    <t>Chân sứ đỉnh cong dài 870 - 4 ly sứ 24kV (không bọc chì) (SDL sứ hiện hữu) (2 cái/ bộ)</t>
  </si>
  <si>
    <t>Boulon D16x350 VRS + 04 long đền vuông D18-50x50x3/Zn (3 cái/ bộ)</t>
  </si>
  <si>
    <t>Boulon D16x400 VRS + 04 long đền vuông D18-50x50x3/Zn (2 cái/ bộ)</t>
  </si>
  <si>
    <t>Đà tháp U160x64x5 - 2200mm tháp trụ I</t>
  </si>
  <si>
    <t>Trụ 10,5</t>
  </si>
  <si>
    <t>014A</t>
  </si>
  <si>
    <t>Đà Composite 0,8m</t>
  </si>
  <si>
    <t>Bộ xà Composite bắt LA, FCO 1 pha</t>
  </si>
  <si>
    <t>Đà hộp composite 110x80x5-800</t>
  </si>
  <si>
    <t>Thanh chống 10x40x720</t>
  </si>
  <si>
    <t>Boulon 14x120+ 2 long đền vuông D16-50x50x3/Zn</t>
  </si>
  <si>
    <t>Ống nối AC50mm2</t>
  </si>
  <si>
    <t>Dây buộc cổ sứ đỡ thẳng(50mm2)</t>
  </si>
  <si>
    <t>Dây buộc cổ sứ đỡ Góc (50mm2)</t>
  </si>
  <si>
    <t>Bộ Sứ treo polymer bắt vào trụ</t>
  </si>
  <si>
    <t>Bộ Sứ treo polymer bắt vào đà</t>
  </si>
  <si>
    <t>SDL 01 sứ đứng cho trụ 098</t>
  </si>
  <si>
    <t>Ống nối AC95mm2</t>
  </si>
  <si>
    <t>Bộ sứ treo polymer 24kV bắt vào trụ</t>
  </si>
  <si>
    <t>Bộ sứ treo polymer 24kV bắt vào đà</t>
  </si>
  <si>
    <t>1FCO TX.Xuân Tây 7</t>
  </si>
  <si>
    <t>LA</t>
  </si>
  <si>
    <t>Bộ  sứ treo polymer (trụ F)</t>
  </si>
  <si>
    <t>SDL 1 sứ đứng của trụ 003</t>
  </si>
  <si>
    <t>F-&gt;G</t>
  </si>
  <si>
    <t>TBA Lò Than 4</t>
  </si>
  <si>
    <t>01FCO Lò Than 4</t>
  </si>
  <si>
    <t>01FCO Lò Than 5</t>
  </si>
  <si>
    <t>01FCO Lò Than 6</t>
  </si>
  <si>
    <t>01LA</t>
  </si>
  <si>
    <t>TBA Lò Than 5</t>
  </si>
  <si>
    <t>Bass LL bắt FCO + LA</t>
  </si>
  <si>
    <t xml:space="preserve">Đà Composite 0,8m </t>
  </si>
  <si>
    <t>Bass LL</t>
  </si>
  <si>
    <t>Bộ dừng dây trung hòa</t>
  </si>
  <si>
    <t>TBA Lò than 6A</t>
  </si>
  <si>
    <t>I -&gt; 2DT</t>
  </si>
  <si>
    <t>TBA Lò than 6</t>
  </si>
  <si>
    <t>01FCO Lò Than 7</t>
  </si>
  <si>
    <t>F -&gt; G</t>
  </si>
  <si>
    <t>TBA Lò Than 7</t>
  </si>
  <si>
    <t>SDL 01 sứ đứng trụ 088. Dời 1FCO từ trụ 098 về trụ 088.</t>
  </si>
  <si>
    <t>TBA TX.Xuân Tây 7</t>
  </si>
  <si>
    <t>Kẹp quai tiếp địa</t>
  </si>
  <si>
    <t>1FCO Lò Than 8, 9</t>
  </si>
  <si>
    <t>Đà Fe 2m tháp trụ</t>
  </si>
  <si>
    <t>TBA Lò Than 8A</t>
  </si>
  <si>
    <t>TBA Lò Than 8</t>
  </si>
  <si>
    <t>TBA Lò Than 9</t>
  </si>
  <si>
    <t>01FCO Tân Bình 7</t>
  </si>
  <si>
    <t>TBA Tân Bình 7</t>
  </si>
  <si>
    <t>01FCO Lâm San 13</t>
  </si>
  <si>
    <t>Nhánh Ấp 5 Lâm San</t>
  </si>
  <si>
    <t>01 LA hh</t>
  </si>
  <si>
    <t>TBA Lâm San 13</t>
  </si>
  <si>
    <t>TBA Lâm San 338-2</t>
  </si>
  <si>
    <t>TBA Lâm San 338-1</t>
  </si>
  <si>
    <t>TBA Lâm San 338-3</t>
  </si>
  <si>
    <t>01 FCO Lâm San 343</t>
  </si>
  <si>
    <t>TBA Lâm San 343-1</t>
  </si>
  <si>
    <t>TBA Lâm San 343-2, nhánh LS 27</t>
  </si>
  <si>
    <t>Kéo cáp nhôm lõi thép AC50 thủ công + cơ giới ( &lt;10m)</t>
  </si>
  <si>
    <t>Căng lại dây AC50mm2</t>
  </si>
  <si>
    <t xml:space="preserve">Dừng dây trung hòa </t>
  </si>
  <si>
    <t>Cáp nhôm lõi thép AC-50: (0,196x1,02xCd)(sử dụng lại dây pha hiện hữu)</t>
  </si>
  <si>
    <t>Chuổi sứ treo Polymer 24kV gắn vào trụ</t>
  </si>
  <si>
    <t>Boulon mắt D16x250 + 01 long đền vuông D18-50x50x3/Zn</t>
  </si>
  <si>
    <t>Dây buộc cổ sứ đỡ thẳng vào dây ACX50mm2</t>
  </si>
  <si>
    <t>Dây buộc cổ sứ đỡ góc vào dây ACX50mm2</t>
  </si>
  <si>
    <t>Bass LL bắt FCO &amp; LA</t>
  </si>
  <si>
    <r>
      <t>Ống nối dây AC50mm</t>
    </r>
    <r>
      <rPr>
        <vertAlign val="superscript"/>
        <sz val="14"/>
        <rFont val="Times New Roman"/>
        <family val="1"/>
      </rPr>
      <t xml:space="preserve">2 </t>
    </r>
    <r>
      <rPr>
        <sz val="14"/>
        <rFont val="Times New Roman"/>
        <family val="1"/>
      </rPr>
      <t>(không có lõi thép)</t>
    </r>
  </si>
  <si>
    <r>
      <rPr>
        <u/>
        <sz val="14"/>
        <rFont val="Times New Roman"/>
        <family val="1"/>
      </rPr>
      <t>Tên công trình:</t>
    </r>
    <r>
      <rPr>
        <sz val="14"/>
        <rFont val="Times New Roman"/>
        <family val="1"/>
      </rPr>
      <t xml:space="preserve"> </t>
    </r>
    <r>
      <rPr>
        <b/>
        <sz val="14"/>
        <rFont val="Times New Roman"/>
        <family val="1"/>
      </rPr>
      <t>Sửa chữa đường dây trung thế huyện Cẩm Mỹ năm 2020.</t>
    </r>
  </si>
  <si>
    <t>Mã số tài sản: 1.37013000.0001217; 1.37013000.0001215; 1.37013000.0001216.</t>
  </si>
  <si>
    <t>Xã Bảo Bình, Xuân Tây, Lâm San, Huyện Cẩm Mỹ, Tỉnh Đồng Nai.</t>
  </si>
  <si>
    <t>Ốc siết cáp 38mm2</t>
  </si>
  <si>
    <t>Kẹp cọc tiếp địa Cu</t>
  </si>
  <si>
    <t>D2.6021</t>
  </si>
  <si>
    <t>Lắp xà thép U160x64x5 - 2200mm đơn (35,9kg)</t>
  </si>
  <si>
    <t>Tháo cáp nhôm lõi thép AC50 thủ công + cơ giới (lắp lại)</t>
  </si>
  <si>
    <t>Tháo sứ treo polymer néo đơn</t>
  </si>
  <si>
    <t xml:space="preserve">Tháo kẹp dừng dây </t>
  </si>
  <si>
    <t>Lắp kẹp dừng dây</t>
  </si>
  <si>
    <t>Kéo cáp nhôm lõi thép ACX50 thủ công + cơ giới  (&lt;10m)</t>
  </si>
  <si>
    <t>Kéo cáp nhôm lõi thép AC50 thủ công + cơ giới</t>
  </si>
  <si>
    <t>Bộ đà composite 0,8m</t>
  </si>
  <si>
    <t>Boulon 16x350</t>
  </si>
  <si>
    <t>Boulon 16x250</t>
  </si>
  <si>
    <t>Boulon 14x120</t>
  </si>
  <si>
    <t>Sứ treo polymer</t>
  </si>
  <si>
    <t>cd*0,196*1,02kg/m</t>
  </si>
  <si>
    <t>Chân sứ đỉnh cong dài 870 - 4 ly  sứ 24kV (không bọc chì)</t>
  </si>
  <si>
    <t>Chân sứ đỉnh thẳng dài 870 - 4 ly sứ 24kV(không bọc chì)</t>
  </si>
  <si>
    <t>Chân sứ đỉnh cong dài 870 - 4 ly sứ 24kV (không bọc chì)</t>
  </si>
  <si>
    <t>Thanh chống composite 10x40x720</t>
  </si>
  <si>
    <t>DANH MỤC</t>
  </si>
  <si>
    <t>ĐVT</t>
  </si>
  <si>
    <t>SỐ LƯỢNG</t>
  </si>
  <si>
    <t>Bằng chữ: Hai mươi lăm triệu, không trăm tám mươi tám ngàn, một trăm mười lăm đồng.</t>
  </si>
  <si>
    <t>SỬA CHỮA LỚN 2020</t>
  </si>
  <si>
    <t>Tháng     /2019</t>
  </si>
  <si>
    <r>
      <t>5%*G</t>
    </r>
    <r>
      <rPr>
        <sz val="8"/>
        <rFont val="Times New Roman"/>
        <family val="1"/>
      </rPr>
      <t>XD</t>
    </r>
  </si>
  <si>
    <t>Bằng chữ: Một tỷ, bốn trăm tám mươi chín triệu, bảy trăm ba mươi lăm ngàn, hai trăm sáu mươi đồng.</t>
  </si>
  <si>
    <t>CHI PHÍ VẬT TƯ
(Vật liệu Công ty tổ chức mua sắm tập trung)</t>
  </si>
  <si>
    <t>- Vận chuyển đường dài vật liệu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</si>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</sst>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-* #,##0.00\ _?_-;\-* #,##0.00\ _?_-;_-* &quot;-&quot;&quot;?&quot;&quot;?&quot;\ _?_-;_-@_-"/>
    <numFmt numFmtId="167" formatCode="_-* #,##0.00\ _₫_-;\-* #,##0.00\ _₫_-;_-* &quot;-&quot;&quot;?&quot;&quot;?&quot;\ _₫_-;_-@_-"/>
    <numFmt numFmtId="168" formatCode="_(* #,##0.00_);_(* \(#,##0.00\);_(* &quot;-&quot;&quot;?&quot;&quot;?&quot;_);_(@_)"/>
    <numFmt numFmtId="169" formatCode="_(* #,##0_);_(* \(#,##0\);_(* &quot;-&quot;&quot;?&quot;&quot;?&quot;_);_(@_)"/>
    <numFmt numFmtId="170" formatCode="#,##0.000"/>
    <numFmt numFmtId="171" formatCode="_(* #,##0.0_);_(* \(#,##0.0\);_(* &quot;-&quot;&quot;?&quot;&quot;?&quot;_);_(@_)"/>
    <numFmt numFmtId="172" formatCode="_(* #,##0.000_);_(* \(#,##0.000\);_(* &quot;-&quot;&quot;?&quot;&quot;?&quot;_);_(@_)"/>
    <numFmt numFmtId="173" formatCode="#,##0.0"/>
    <numFmt numFmtId="174" formatCode="0.0"/>
    <numFmt numFmtId="175" formatCode="0.000"/>
    <numFmt numFmtId="176" formatCode="&quot;0&quot;#&quot;.&quot;####"/>
    <numFmt numFmtId="177" formatCode="###,###&quot; m&quot;"/>
    <numFmt numFmtId="178" formatCode="#.##0"/>
    <numFmt numFmtId="179" formatCode="###,###.0&quot; m&quot;"/>
    <numFmt numFmtId="180" formatCode="0.0000"/>
    <numFmt numFmtId="181" formatCode="#,##0;[Red]#,##0"/>
    <numFmt numFmtId="182" formatCode="_(* #,##0.000_);_(* \(#,##0.000\);_(* &quot;-&quot;_);_(@_)"/>
    <numFmt numFmtId="183" formatCode="#,##0.0_);\(#,##0.0\)"/>
    <numFmt numFmtId="184" formatCode="_(* #,##0.0_);_(* \(#,##0.0\);_(* &quot;-&quot;_);_(@_)"/>
    <numFmt numFmtId="185" formatCode="#,##0.0000"/>
    <numFmt numFmtId="186" formatCode="#,##0.0000_);\(#,##0.0000\)"/>
    <numFmt numFmtId="187" formatCode="#,##0.000_);\(#,##0.000\)"/>
    <numFmt numFmtId="188" formatCode="_-* #,##0.0_-;\-* #,##0.0_-;_-* &quot;-&quot;_-;_-@_-"/>
    <numFmt numFmtId="189" formatCode="#,##0.0_);[Red]\(#,##0.0\)"/>
    <numFmt numFmtId="190" formatCode="_(* #,##0.0_);_(* \(#,##0.0\);_(* &quot;-&quot;?_);_(@_)"/>
  </numFmts>
  <fonts count="102">
    <font>
      <sz val="10"/>
      <name val="VNI-Times"/>
    </font>
    <font>
      <sz val="11"/>
      <color theme="1"/>
      <name val="Calibri"/>
      <family val="2"/>
      <scheme val="minor"/>
    </font>
    <font>
      <b/>
      <sz val="10"/>
      <name val="VNI-Times"/>
    </font>
    <font>
      <sz val="10"/>
      <name val="VNI-Times"/>
    </font>
    <font>
      <sz val="10"/>
      <name val="Arial"/>
      <family val="2"/>
    </font>
    <font>
      <sz val="10"/>
      <name val="VNI-Helve-Condense"/>
    </font>
    <font>
      <b/>
      <sz val="12"/>
      <name val="VNI-Helve-Condense"/>
    </font>
    <font>
      <b/>
      <sz val="14"/>
      <name val="VNI-Helve-Condense"/>
    </font>
    <font>
      <sz val="12"/>
      <name val="VNI-Helve-Condense"/>
    </font>
    <font>
      <sz val="11"/>
      <name val="VNI-Helve-Condense"/>
    </font>
    <font>
      <b/>
      <sz val="12"/>
      <name val="VNI-Times"/>
    </font>
    <font>
      <sz val="12"/>
      <name val="VNI-Time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Helv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1"/>
      <name val="Helv"/>
    </font>
    <font>
      <sz val="11"/>
      <name val="VNI-Times"/>
    </font>
    <font>
      <b/>
      <sz val="10"/>
      <name val="VnBookman"/>
    </font>
    <font>
      <b/>
      <sz val="12"/>
      <color indexed="10"/>
      <name val="VNI-Times"/>
    </font>
    <font>
      <sz val="12"/>
      <color indexed="10"/>
      <name val="VNI-Times"/>
    </font>
    <font>
      <sz val="12"/>
      <color indexed="12"/>
      <name val="VNI-Times"/>
    </font>
    <font>
      <sz val="10"/>
      <name val="VNI-Times"/>
    </font>
    <font>
      <b/>
      <u/>
      <sz val="10"/>
      <name val="VNI-Times"/>
    </font>
    <font>
      <b/>
      <sz val="10"/>
      <name val="Times New Roman"/>
      <family val="1"/>
    </font>
    <font>
      <b/>
      <sz val="13"/>
      <name val=".VnTimeH"/>
      <family val="2"/>
    </font>
    <font>
      <sz val="12"/>
      <name val=".VnTime"/>
      <family val="2"/>
    </font>
    <font>
      <b/>
      <sz val="12"/>
      <name val=".VnTime"/>
      <family val="2"/>
    </font>
    <font>
      <sz val="12"/>
      <name val=".VnArial"/>
      <family val="2"/>
    </font>
    <font>
      <sz val="8"/>
      <name val="VNI-Times"/>
    </font>
    <font>
      <sz val="10"/>
      <color indexed="10"/>
      <name val="VNI-Times"/>
    </font>
    <font>
      <sz val="10"/>
      <name val="VNI-Times"/>
    </font>
    <font>
      <b/>
      <i/>
      <sz val="12"/>
      <name val="VNI-Times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VNI-Times"/>
    </font>
    <font>
      <sz val="10"/>
      <name val="Arial"/>
      <family val="2"/>
    </font>
    <font>
      <b/>
      <sz val="12"/>
      <name val="Times New Roman"/>
      <family val="1"/>
      <charset val="163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8"/>
      <name val="VnTimes"/>
      <family val="1"/>
    </font>
    <font>
      <sz val="14"/>
      <name val=".VnTime"/>
      <family val="2"/>
    </font>
    <font>
      <b/>
      <sz val="13"/>
      <name val=".VnTime"/>
      <family val="2"/>
    </font>
    <font>
      <b/>
      <i/>
      <sz val="12"/>
      <name val=".VnTime"/>
      <family val="2"/>
    </font>
    <font>
      <sz val="12"/>
      <color indexed="10"/>
      <name val=".VnTime"/>
      <family val="2"/>
    </font>
    <font>
      <b/>
      <sz val="13"/>
      <name val="VNI-Times"/>
    </font>
    <font>
      <sz val="14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b/>
      <sz val="13"/>
      <name val="Times New Roman"/>
      <family val="1"/>
    </font>
    <font>
      <b/>
      <vertAlign val="subscript"/>
      <sz val="13"/>
      <name val="Times New Roman"/>
      <family val="1"/>
    </font>
    <font>
      <sz val="13"/>
      <name val="Times New Roman"/>
      <family val="1"/>
    </font>
    <font>
      <sz val="13"/>
      <name val="VnBookman"/>
    </font>
    <font>
      <sz val="13"/>
      <name val=".VnTime"/>
      <family val="2"/>
    </font>
    <font>
      <sz val="12"/>
      <name val="VnBookman"/>
    </font>
    <font>
      <b/>
      <i/>
      <sz val="10"/>
      <name val="Times New Roman"/>
      <family val="1"/>
    </font>
    <font>
      <b/>
      <sz val="10"/>
      <name val=".VnTime"/>
      <family val="2"/>
    </font>
    <font>
      <b/>
      <sz val="14"/>
      <name val=".VnTime"/>
      <family val="2"/>
    </font>
    <font>
      <b/>
      <sz val="8"/>
      <name val="Times New Roman"/>
      <family val="1"/>
    </font>
    <font>
      <i/>
      <sz val="10"/>
      <name val="Times New Roman"/>
      <family val="1"/>
    </font>
    <font>
      <b/>
      <sz val="24"/>
      <name val="Times New Roman"/>
      <family val="1"/>
    </font>
    <font>
      <u/>
      <sz val="14"/>
      <name val="Times New Roman"/>
      <family val="1"/>
    </font>
    <font>
      <i/>
      <u/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.VnTime"/>
      <family val="2"/>
    </font>
    <font>
      <b/>
      <sz val="12"/>
      <name val="Helvetica Condensed"/>
    </font>
    <font>
      <vertAlign val="superscript"/>
      <sz val="12"/>
      <color indexed="10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9"/>
      <name val="Times New Roman"/>
      <family val="1"/>
    </font>
    <font>
      <sz val="13"/>
      <name val="VNI-Times"/>
    </font>
    <font>
      <sz val="9"/>
      <name val="Times New Roman"/>
      <family val="1"/>
    </font>
    <font>
      <b/>
      <vertAlign val="subscript"/>
      <sz val="12"/>
      <name val="Times New Roman"/>
      <family val="1"/>
    </font>
    <font>
      <vertAlign val="subscript"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name val="times"/>
    </font>
    <font>
      <vertAlign val="superscript"/>
      <sz val="12"/>
      <name val="Times New Roman"/>
      <family val="1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vertAlign val="subscript"/>
      <sz val="11"/>
      <name val="Times New Roman"/>
      <family val="1"/>
    </font>
    <font>
      <i/>
      <sz val="12"/>
      <name val="Times New Roman"/>
      <family val="1"/>
    </font>
    <font>
      <sz val="12"/>
      <color rgb="FFFF0000"/>
      <name val=".VnTime"/>
      <family val="2"/>
    </font>
    <font>
      <sz val="12"/>
      <color rgb="FFFF0000"/>
      <name val="Times New Roman"/>
      <family val="1"/>
    </font>
    <font>
      <sz val="10"/>
      <color rgb="FFFF0000"/>
      <name val="VNI-Times"/>
    </font>
    <font>
      <sz val="12"/>
      <color theme="0"/>
      <name val="VNI-Times"/>
    </font>
    <font>
      <sz val="10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b/>
      <u/>
      <sz val="14"/>
      <name val="Times New Roman"/>
      <family val="1"/>
    </font>
    <font>
      <b/>
      <sz val="14"/>
      <color rgb="FFFF0000"/>
      <name val="Times New Roman"/>
      <family val="1"/>
    </font>
    <font>
      <vertAlign val="superscript"/>
      <sz val="14"/>
      <name val="Times New Roman"/>
      <family val="1"/>
    </font>
    <font>
      <sz val="14"/>
      <name val="Calibri"/>
      <family val="2"/>
    </font>
    <font>
      <sz val="17"/>
      <name val="Times New Roman"/>
      <family val="1"/>
    </font>
    <font>
      <sz val="17"/>
      <color rgb="FFFF0000"/>
      <name val="Times New Roman"/>
      <family val="1"/>
    </font>
    <font>
      <b/>
      <sz val="17"/>
      <name val="Times New Roman"/>
      <family val="1"/>
    </font>
    <font>
      <b/>
      <sz val="17"/>
      <color rgb="FFFF0000"/>
      <name val="Times New Roman"/>
      <family val="1"/>
    </font>
    <font>
      <sz val="16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/>
      <diagonal/>
    </border>
    <border>
      <left/>
      <right/>
      <top style="thin">
        <color indexed="64"/>
      </top>
      <bottom/>
      <diagonal/>
    </border>
  </borders>
  <cellStyleXfs count="24">
    <xf numFmtId="0" fontId="0" fillId="0" borderId="0"/>
    <xf numFmtId="0" fontId="14" fillId="0" borderId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38" fontId="15" fillId="2" borderId="0" applyNumberFormat="0" applyBorder="0" applyAlignment="0" applyProtection="0"/>
    <xf numFmtId="0" fontId="16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10" fontId="15" fillId="2" borderId="3" applyNumberFormat="0" applyBorder="0" applyAlignment="0" applyProtection="0"/>
    <xf numFmtId="0" fontId="18" fillId="0" borderId="4"/>
    <xf numFmtId="0" fontId="4" fillId="0" borderId="0"/>
    <xf numFmtId="0" fontId="4" fillId="0" borderId="0"/>
    <xf numFmtId="0" fontId="4" fillId="0" borderId="0"/>
    <xf numFmtId="0" fontId="43" fillId="0" borderId="0"/>
    <xf numFmtId="0" fontId="20" fillId="0" borderId="5" applyBorder="0"/>
    <xf numFmtId="0" fontId="20" fillId="0" borderId="5" applyBorder="0"/>
    <xf numFmtId="0" fontId="51" fillId="0" borderId="0"/>
    <xf numFmtId="0" fontId="38" fillId="0" borderId="0"/>
    <xf numFmtId="9" fontId="3" fillId="0" borderId="0" applyFont="0" applyFill="0" applyBorder="0" applyAlignment="0" applyProtection="0"/>
    <xf numFmtId="10" fontId="4" fillId="0" borderId="0" applyFont="0" applyFill="0" applyBorder="0" applyAlignment="0" applyProtection="0"/>
    <xf numFmtId="178" fontId="20" fillId="0" borderId="6" applyFill="0" applyBorder="0" applyProtection="0"/>
    <xf numFmtId="0" fontId="18" fillId="0" borderId="0"/>
    <xf numFmtId="0" fontId="1" fillId="0" borderId="0"/>
  </cellStyleXfs>
  <cellXfs count="1505">
    <xf numFmtId="0" fontId="0" fillId="0" borderId="0" xfId="0"/>
    <xf numFmtId="0" fontId="5" fillId="0" borderId="0" xfId="0" applyFont="1"/>
    <xf numFmtId="0" fontId="9" fillId="0" borderId="0" xfId="0" applyFont="1"/>
    <xf numFmtId="0" fontId="9" fillId="0" borderId="0" xfId="0" applyNumberFormat="1" applyFont="1"/>
    <xf numFmtId="0" fontId="5" fillId="0" borderId="0" xfId="12" applyFont="1"/>
    <xf numFmtId="0" fontId="5" fillId="0" borderId="0" xfId="12" applyFont="1" applyFill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Continuous"/>
    </xf>
    <xf numFmtId="0" fontId="8" fillId="0" borderId="0" xfId="3" applyNumberFormat="1" applyFont="1" applyFill="1" applyAlignment="1">
      <alignment horizontal="centerContinuous"/>
    </xf>
    <xf numFmtId="3" fontId="5" fillId="0" borderId="0" xfId="12" applyNumberFormat="1" applyFont="1" applyFill="1"/>
    <xf numFmtId="164" fontId="36" fillId="0" borderId="5" xfId="0" applyNumberFormat="1" applyFont="1" applyFill="1" applyBorder="1" applyAlignment="1">
      <alignment vertical="center"/>
    </xf>
    <xf numFmtId="0" fontId="11" fillId="0" borderId="0" xfId="0" applyFont="1" applyFill="1" applyBorder="1" applyProtection="1"/>
    <xf numFmtId="0" fontId="11" fillId="0" borderId="5" xfId="0" applyFont="1" applyFill="1" applyBorder="1" applyAlignment="1" applyProtection="1">
      <alignment horizontal="center"/>
      <protection hidden="1"/>
    </xf>
    <xf numFmtId="0" fontId="11" fillId="0" borderId="0" xfId="0" applyFont="1" applyFill="1" applyProtection="1"/>
    <xf numFmtId="0" fontId="11" fillId="0" borderId="0" xfId="2" applyNumberFormat="1" applyFont="1" applyFill="1" applyBorder="1" applyAlignment="1" applyProtection="1">
      <alignment horizontal="left" vertical="center"/>
    </xf>
    <xf numFmtId="0" fontId="21" fillId="0" borderId="0" xfId="0" applyFont="1" applyFill="1" applyBorder="1" applyProtection="1"/>
    <xf numFmtId="0" fontId="21" fillId="0" borderId="5" xfId="0" applyFont="1" applyFill="1" applyBorder="1" applyAlignment="1" applyProtection="1">
      <alignment horizontal="center"/>
      <protection hidden="1"/>
    </xf>
    <xf numFmtId="0" fontId="21" fillId="0" borderId="0" xfId="0" applyFont="1" applyFill="1" applyProtection="1"/>
    <xf numFmtId="0" fontId="11" fillId="0" borderId="5" xfId="2" applyNumberFormat="1" applyFont="1" applyFill="1" applyBorder="1" applyProtection="1"/>
    <xf numFmtId="164" fontId="35" fillId="0" borderId="5" xfId="0" applyNumberFormat="1" applyFont="1" applyFill="1" applyBorder="1" applyAlignment="1">
      <alignment vertical="center"/>
    </xf>
    <xf numFmtId="164" fontId="36" fillId="0" borderId="5" xfId="0" applyNumberFormat="1" applyFont="1" applyFill="1" applyBorder="1" applyAlignment="1">
      <alignment horizontal="right" vertical="center"/>
    </xf>
    <xf numFmtId="164" fontId="35" fillId="0" borderId="5" xfId="0" applyNumberFormat="1" applyFont="1" applyFill="1" applyBorder="1" applyAlignment="1">
      <alignment horizontal="right" vertical="center"/>
    </xf>
    <xf numFmtId="0" fontId="19" fillId="0" borderId="0" xfId="0" applyFont="1"/>
    <xf numFmtId="0" fontId="37" fillId="0" borderId="0" xfId="0" applyFont="1" applyAlignment="1">
      <alignment horizontal="centerContinuous"/>
    </xf>
    <xf numFmtId="3" fontId="37" fillId="0" borderId="0" xfId="0" applyNumberFormat="1" applyFont="1" applyAlignment="1">
      <alignment horizontal="centerContinuous"/>
    </xf>
    <xf numFmtId="0" fontId="19" fillId="0" borderId="0" xfId="0" applyNumberFormat="1" applyFont="1"/>
    <xf numFmtId="0" fontId="3" fillId="0" borderId="0" xfId="0" applyFont="1"/>
    <xf numFmtId="0" fontId="24" fillId="0" borderId="0" xfId="0" applyFont="1"/>
    <xf numFmtId="0" fontId="2" fillId="0" borderId="0" xfId="0" applyFont="1"/>
    <xf numFmtId="3" fontId="36" fillId="0" borderId="5" xfId="0" applyNumberFormat="1" applyFont="1" applyFill="1" applyBorder="1" applyAlignment="1">
      <alignment vertical="center"/>
    </xf>
    <xf numFmtId="169" fontId="36" fillId="0" borderId="5" xfId="2" applyNumberFormat="1" applyFont="1" applyFill="1" applyBorder="1" applyAlignment="1" applyProtection="1">
      <protection hidden="1"/>
    </xf>
    <xf numFmtId="0" fontId="21" fillId="0" borderId="5" xfId="2" applyNumberFormat="1" applyFont="1" applyFill="1" applyBorder="1" applyAlignment="1" applyProtection="1">
      <alignment horizontal="right"/>
    </xf>
    <xf numFmtId="0" fontId="24" fillId="0" borderId="0" xfId="0" applyFont="1" applyAlignment="1">
      <alignment horizontal="center"/>
    </xf>
    <xf numFmtId="175" fontId="24" fillId="0" borderId="0" xfId="0" applyNumberFormat="1" applyFont="1"/>
    <xf numFmtId="0" fontId="2" fillId="0" borderId="0" xfId="0" applyFont="1" applyAlignment="1">
      <alignment horizontal="center"/>
    </xf>
    <xf numFmtId="0" fontId="24" fillId="3" borderId="0" xfId="0" applyFont="1" applyFill="1" applyAlignment="1" applyProtection="1">
      <alignment horizontal="center"/>
      <protection locked="0"/>
    </xf>
    <xf numFmtId="169" fontId="3" fillId="0" borderId="0" xfId="2" applyNumberFormat="1" applyFont="1"/>
    <xf numFmtId="0" fontId="3" fillId="3" borderId="0" xfId="0" applyFont="1" applyFill="1" applyAlignment="1" applyProtection="1">
      <alignment horizontal="center"/>
      <protection locked="0"/>
    </xf>
    <xf numFmtId="169" fontId="3" fillId="0" borderId="0" xfId="2" applyNumberFormat="1" applyFont="1" applyFill="1"/>
    <xf numFmtId="0" fontId="25" fillId="0" borderId="0" xfId="0" applyFont="1" applyAlignment="1">
      <alignment horizontal="center"/>
    </xf>
    <xf numFmtId="169" fontId="2" fillId="4" borderId="0" xfId="2" applyNumberFormat="1" applyFont="1" applyFill="1"/>
    <xf numFmtId="0" fontId="10" fillId="0" borderId="5" xfId="0" applyFont="1" applyFill="1" applyBorder="1" applyAlignment="1" applyProtection="1">
      <alignment horizontal="center"/>
      <protection hidden="1"/>
    </xf>
    <xf numFmtId="0" fontId="10" fillId="0" borderId="5" xfId="2" applyNumberFormat="1" applyFont="1" applyFill="1" applyBorder="1" applyProtection="1"/>
    <xf numFmtId="0" fontId="29" fillId="0" borderId="5" xfId="0" applyFont="1" applyFill="1" applyBorder="1" applyAlignment="1">
      <alignment horizontal="center" vertical="center"/>
    </xf>
    <xf numFmtId="0" fontId="35" fillId="0" borderId="5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vertical="center"/>
    </xf>
    <xf numFmtId="0" fontId="36" fillId="0" borderId="5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vertical="center"/>
    </xf>
    <xf numFmtId="3" fontId="28" fillId="0" borderId="5" xfId="0" applyNumberFormat="1" applyFont="1" applyFill="1" applyBorder="1" applyAlignment="1">
      <alignment vertical="center"/>
    </xf>
    <xf numFmtId="3" fontId="36" fillId="0" borderId="5" xfId="0" applyNumberFormat="1" applyFont="1" applyFill="1" applyBorder="1" applyAlignment="1">
      <alignment horizontal="center" vertical="center"/>
    </xf>
    <xf numFmtId="0" fontId="11" fillId="0" borderId="5" xfId="0" quotePrefix="1" applyFont="1" applyFill="1" applyBorder="1" applyAlignment="1" applyProtection="1">
      <alignment horizontal="center"/>
      <protection hidden="1"/>
    </xf>
    <xf numFmtId="0" fontId="22" fillId="0" borderId="0" xfId="2" applyNumberFormat="1" applyFont="1" applyFill="1" applyBorder="1" applyAlignment="1" applyProtection="1">
      <alignment horizontal="left" vertical="center"/>
    </xf>
    <xf numFmtId="1" fontId="10" fillId="0" borderId="5" xfId="2" applyNumberFormat="1" applyFont="1" applyFill="1" applyBorder="1" applyProtection="1"/>
    <xf numFmtId="1" fontId="11" fillId="0" borderId="5" xfId="2" applyNumberFormat="1" applyFont="1" applyFill="1" applyBorder="1" applyProtection="1"/>
    <xf numFmtId="3" fontId="11" fillId="0" borderId="5" xfId="0" quotePrefix="1" applyNumberFormat="1" applyFont="1" applyFill="1" applyBorder="1" applyAlignment="1" applyProtection="1">
      <alignment horizontal="center"/>
      <protection hidden="1"/>
    </xf>
    <xf numFmtId="175" fontId="11" fillId="0" borderId="5" xfId="2" applyNumberFormat="1" applyFont="1" applyFill="1" applyBorder="1" applyProtection="1"/>
    <xf numFmtId="3" fontId="11" fillId="0" borderId="5" xfId="0" applyNumberFormat="1" applyFont="1" applyFill="1" applyBorder="1" applyAlignment="1" applyProtection="1">
      <alignment horizontal="center"/>
      <protection hidden="1"/>
    </xf>
    <xf numFmtId="0" fontId="10" fillId="0" borderId="0" xfId="0" applyFont="1" applyFill="1" applyBorder="1" applyProtection="1"/>
    <xf numFmtId="0" fontId="34" fillId="0" borderId="5" xfId="0" applyFont="1" applyFill="1" applyBorder="1" applyAlignment="1" applyProtection="1">
      <alignment horizontal="center"/>
      <protection hidden="1"/>
    </xf>
    <xf numFmtId="1" fontId="10" fillId="0" borderId="5" xfId="2" quotePrefix="1" applyNumberFormat="1" applyFont="1" applyFill="1" applyBorder="1" applyProtection="1"/>
    <xf numFmtId="0" fontId="10" fillId="0" borderId="0" xfId="0" applyFont="1" applyFill="1" applyProtection="1"/>
    <xf numFmtId="0" fontId="36" fillId="0" borderId="5" xfId="0" applyFont="1" applyFill="1" applyBorder="1" applyProtection="1">
      <protection hidden="1"/>
    </xf>
    <xf numFmtId="1" fontId="11" fillId="0" borderId="5" xfId="2" quotePrefix="1" applyNumberFormat="1" applyFont="1" applyFill="1" applyBorder="1" applyProtection="1"/>
    <xf numFmtId="0" fontId="2" fillId="0" borderId="0" xfId="0" applyFont="1" applyFill="1" applyBorder="1" applyProtection="1"/>
    <xf numFmtId="4" fontId="28" fillId="0" borderId="5" xfId="0" applyNumberFormat="1" applyFont="1" applyFill="1" applyBorder="1" applyAlignment="1">
      <alignment vertical="center"/>
    </xf>
    <xf numFmtId="169" fontId="36" fillId="0" borderId="5" xfId="2" applyNumberFormat="1" applyFont="1" applyFill="1" applyBorder="1" applyAlignment="1">
      <alignment horizontal="center" vertical="center"/>
    </xf>
    <xf numFmtId="0" fontId="0" fillId="0" borderId="0" xfId="0" applyAlignment="1"/>
    <xf numFmtId="0" fontId="40" fillId="0" borderId="0" xfId="0" applyFont="1" applyFill="1" applyAlignment="1">
      <alignment horizontal="centerContinuous"/>
    </xf>
    <xf numFmtId="164" fontId="36" fillId="0" borderId="5" xfId="14" applyNumberFormat="1" applyFont="1" applyFill="1" applyBorder="1" applyAlignment="1">
      <alignment horizontal="center" vertical="center"/>
    </xf>
    <xf numFmtId="181" fontId="36" fillId="0" borderId="5" xfId="14" applyNumberFormat="1" applyFont="1" applyFill="1" applyBorder="1" applyAlignment="1">
      <alignment horizontal="center" vertical="center"/>
    </xf>
    <xf numFmtId="164" fontId="36" fillId="0" borderId="5" xfId="14" applyNumberFormat="1" applyFont="1" applyFill="1" applyBorder="1" applyAlignment="1">
      <alignment horizontal="right" vertical="center"/>
    </xf>
    <xf numFmtId="3" fontId="36" fillId="0" borderId="5" xfId="14" applyNumberFormat="1" applyFont="1" applyFill="1" applyBorder="1" applyAlignment="1">
      <alignment horizontal="center" vertical="center"/>
    </xf>
    <xf numFmtId="0" fontId="28" fillId="0" borderId="0" xfId="14" applyFont="1" applyFill="1" applyAlignment="1">
      <alignment vertical="center"/>
    </xf>
    <xf numFmtId="0" fontId="47" fillId="0" borderId="0" xfId="14" applyFont="1" applyFill="1" applyAlignment="1">
      <alignment vertical="center"/>
    </xf>
    <xf numFmtId="0" fontId="3" fillId="0" borderId="0" xfId="0" applyFont="1" applyAlignment="1">
      <alignment horizontal="right"/>
    </xf>
    <xf numFmtId="175" fontId="5" fillId="0" borderId="0" xfId="12" applyNumberFormat="1" applyFont="1" applyFill="1"/>
    <xf numFmtId="2" fontId="5" fillId="0" borderId="0" xfId="12" applyNumberFormat="1" applyFont="1" applyFill="1"/>
    <xf numFmtId="0" fontId="6" fillId="0" borderId="0" xfId="12" applyFont="1" applyFill="1" applyAlignment="1">
      <alignment horizontal="centerContinuous"/>
    </xf>
    <xf numFmtId="0" fontId="29" fillId="0" borderId="0" xfId="0" applyFont="1" applyFill="1" applyAlignment="1">
      <alignment vertical="center" wrapText="1"/>
    </xf>
    <xf numFmtId="0" fontId="46" fillId="0" borderId="0" xfId="0" applyFont="1" applyFill="1" applyAlignment="1">
      <alignment horizontal="center" vertical="center" wrapText="1"/>
    </xf>
    <xf numFmtId="3" fontId="7" fillId="0" borderId="7" xfId="12" applyNumberFormat="1" applyFont="1" applyFill="1" applyBorder="1" applyAlignment="1"/>
    <xf numFmtId="0" fontId="36" fillId="0" borderId="0" xfId="0" applyFont="1" applyFill="1" applyBorder="1" applyAlignment="1">
      <alignment vertical="center"/>
    </xf>
    <xf numFmtId="49" fontId="36" fillId="0" borderId="5" xfId="0" applyNumberFormat="1" applyFont="1" applyFill="1" applyBorder="1" applyAlignment="1" applyProtection="1">
      <alignment horizontal="center" wrapText="1"/>
      <protection hidden="1"/>
    </xf>
    <xf numFmtId="0" fontId="36" fillId="0" borderId="8" xfId="0" applyFont="1" applyFill="1" applyBorder="1" applyAlignment="1">
      <alignment horizontal="center" vertical="center"/>
    </xf>
    <xf numFmtId="0" fontId="35" fillId="0" borderId="3" xfId="14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vertical="center"/>
    </xf>
    <xf numFmtId="0" fontId="35" fillId="0" borderId="3" xfId="0" applyFont="1" applyFill="1" applyBorder="1" applyAlignment="1">
      <alignment horizontal="center" vertical="center"/>
    </xf>
    <xf numFmtId="0" fontId="10" fillId="0" borderId="5" xfId="0" applyFont="1" applyFill="1" applyBorder="1" applyAlignment="1" applyProtection="1">
      <alignment horizontal="left" vertical="justify"/>
      <protection hidden="1"/>
    </xf>
    <xf numFmtId="0" fontId="11" fillId="0" borderId="5" xfId="0" applyFont="1" applyFill="1" applyBorder="1" applyAlignment="1" applyProtection="1">
      <alignment horizontal="left" vertical="justify"/>
      <protection hidden="1"/>
    </xf>
    <xf numFmtId="0" fontId="36" fillId="0" borderId="5" xfId="0" applyNumberFormat="1" applyFont="1" applyFill="1" applyBorder="1" applyAlignment="1">
      <alignment horizontal="left" vertical="justify" wrapText="1"/>
    </xf>
    <xf numFmtId="0" fontId="34" fillId="0" borderId="5" xfId="0" applyFont="1" applyFill="1" applyBorder="1" applyAlignment="1" applyProtection="1">
      <alignment horizontal="left" vertical="justify"/>
      <protection hidden="1"/>
    </xf>
    <xf numFmtId="0" fontId="36" fillId="0" borderId="5" xfId="0" applyNumberFormat="1" applyFont="1" applyFill="1" applyBorder="1" applyAlignment="1" applyProtection="1">
      <alignment horizontal="left" vertical="justify"/>
      <protection hidden="1"/>
    </xf>
    <xf numFmtId="0" fontId="24" fillId="0" borderId="0" xfId="0" applyFont="1" applyFill="1" applyAlignment="1" applyProtection="1">
      <alignment horizontal="right"/>
      <protection hidden="1"/>
    </xf>
    <xf numFmtId="0" fontId="11" fillId="0" borderId="0" xfId="0" applyFont="1" applyFill="1" applyAlignment="1">
      <alignment vertical="center"/>
    </xf>
    <xf numFmtId="0" fontId="33" fillId="0" borderId="0" xfId="0" applyFont="1" applyFill="1" applyProtection="1"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33" fillId="0" borderId="0" xfId="0" applyNumberFormat="1" applyFont="1" applyFill="1" applyProtection="1"/>
    <xf numFmtId="0" fontId="33" fillId="0" borderId="0" xfId="0" applyFont="1" applyFill="1" applyAlignment="1" applyProtection="1">
      <alignment horizontal="right"/>
      <protection hidden="1"/>
    </xf>
    <xf numFmtId="0" fontId="24" fillId="0" borderId="0" xfId="0" applyFont="1" applyFill="1" applyProtection="1"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4" fillId="0" borderId="0" xfId="0" applyNumberFormat="1" applyFont="1" applyFill="1" applyProtection="1"/>
    <xf numFmtId="0" fontId="3" fillId="0" borderId="0" xfId="0" applyFont="1" applyFill="1" applyBorder="1" applyProtection="1"/>
    <xf numFmtId="0" fontId="3" fillId="0" borderId="0" xfId="0" applyFont="1" applyFill="1" applyProtection="1">
      <protection hidden="1"/>
    </xf>
    <xf numFmtId="170" fontId="3" fillId="0" borderId="0" xfId="0" applyNumberFormat="1" applyFont="1" applyFill="1" applyAlignment="1" applyProtection="1">
      <alignment horizontal="left"/>
      <protection hidden="1"/>
    </xf>
    <xf numFmtId="0" fontId="32" fillId="0" borderId="0" xfId="0" applyFont="1" applyFill="1" applyProtection="1">
      <protection hidden="1"/>
    </xf>
    <xf numFmtId="170" fontId="33" fillId="0" borderId="3" xfId="0" applyNumberFormat="1" applyFont="1" applyFill="1" applyBorder="1" applyAlignment="1" applyProtection="1">
      <alignment horizontal="right"/>
      <protection hidden="1"/>
    </xf>
    <xf numFmtId="170" fontId="33" fillId="0" borderId="3" xfId="0" applyNumberFormat="1" applyFont="1" applyFill="1" applyBorder="1" applyAlignment="1" applyProtection="1">
      <alignment horizontal="center"/>
      <protection hidden="1"/>
    </xf>
    <xf numFmtId="3" fontId="32" fillId="0" borderId="3" xfId="0" applyNumberFormat="1" applyFont="1" applyFill="1" applyBorder="1" applyAlignment="1" applyProtection="1">
      <alignment horizontal="center"/>
      <protection hidden="1"/>
    </xf>
    <xf numFmtId="0" fontId="33" fillId="0" borderId="0" xfId="0" applyFont="1" applyFill="1" applyProtection="1"/>
    <xf numFmtId="0" fontId="33" fillId="0" borderId="0" xfId="0" applyFont="1" applyFill="1" applyBorder="1" applyProtection="1"/>
    <xf numFmtId="170" fontId="33" fillId="0" borderId="0" xfId="0" applyNumberFormat="1" applyFont="1" applyFill="1" applyAlignment="1" applyProtection="1">
      <alignment horizontal="left"/>
      <protection hidden="1"/>
    </xf>
    <xf numFmtId="170" fontId="33" fillId="0" borderId="9" xfId="0" applyNumberFormat="1" applyFont="1" applyFill="1" applyBorder="1" applyAlignment="1" applyProtection="1">
      <alignment horizontal="right"/>
      <protection hidden="1"/>
    </xf>
    <xf numFmtId="170" fontId="33" fillId="0" borderId="9" xfId="0" applyNumberFormat="1" applyFont="1" applyFill="1" applyBorder="1" applyAlignment="1" applyProtection="1">
      <alignment horizontal="left"/>
      <protection hidden="1"/>
    </xf>
    <xf numFmtId="4" fontId="32" fillId="0" borderId="9" xfId="0" applyNumberFormat="1" applyFont="1" applyFill="1" applyBorder="1" applyProtection="1">
      <protection hidden="1"/>
    </xf>
    <xf numFmtId="173" fontId="32" fillId="0" borderId="5" xfId="0" applyNumberFormat="1" applyFont="1" applyFill="1" applyBorder="1" applyProtection="1">
      <protection hidden="1"/>
    </xf>
    <xf numFmtId="170" fontId="33" fillId="0" borderId="5" xfId="0" applyNumberFormat="1" applyFont="1" applyFill="1" applyBorder="1" applyAlignment="1" applyProtection="1">
      <alignment horizontal="right"/>
      <protection hidden="1"/>
    </xf>
    <xf numFmtId="170" fontId="33" fillId="0" borderId="5" xfId="0" applyNumberFormat="1" applyFont="1" applyFill="1" applyBorder="1" applyAlignment="1" applyProtection="1">
      <alignment horizontal="left"/>
      <protection hidden="1"/>
    </xf>
    <xf numFmtId="3" fontId="32" fillId="0" borderId="0" xfId="0" applyNumberFormat="1" applyFont="1" applyFill="1" applyProtection="1">
      <protection hidden="1"/>
    </xf>
    <xf numFmtId="0" fontId="24" fillId="0" borderId="0" xfId="0" applyFont="1" applyFill="1" applyProtection="1"/>
    <xf numFmtId="0" fontId="24" fillId="0" borderId="0" xfId="0" applyFont="1" applyFill="1" applyBorder="1" applyProtection="1"/>
    <xf numFmtId="0" fontId="11" fillId="0" borderId="0" xfId="0" applyFont="1" applyFill="1" applyBorder="1" applyAlignment="1" applyProtection="1">
      <alignment horizontal="center"/>
    </xf>
    <xf numFmtId="0" fontId="35" fillId="0" borderId="5" xfId="0" applyNumberFormat="1" applyFont="1" applyFill="1" applyBorder="1" applyAlignment="1">
      <alignment horizontal="left" vertical="justify"/>
    </xf>
    <xf numFmtId="0" fontId="29" fillId="0" borderId="5" xfId="0" applyFont="1" applyFill="1" applyBorder="1" applyAlignment="1">
      <alignment vertical="center"/>
    </xf>
    <xf numFmtId="0" fontId="36" fillId="0" borderId="10" xfId="0" applyFont="1" applyFill="1" applyBorder="1" applyAlignment="1">
      <alignment vertical="center"/>
    </xf>
    <xf numFmtId="0" fontId="36" fillId="0" borderId="5" xfId="0" applyFont="1" applyFill="1" applyBorder="1" applyAlignment="1" applyProtection="1">
      <alignment horizontal="center"/>
      <protection hidden="1"/>
    </xf>
    <xf numFmtId="180" fontId="24" fillId="0" borderId="0" xfId="0" applyNumberFormat="1" applyFont="1" applyFill="1" applyAlignment="1" applyProtection="1">
      <alignment horizontal="left"/>
      <protection hidden="1"/>
    </xf>
    <xf numFmtId="0" fontId="11" fillId="7" borderId="0" xfId="0" applyFont="1" applyFill="1" applyBorder="1" applyProtection="1"/>
    <xf numFmtId="0" fontId="10" fillId="7" borderId="5" xfId="0" applyFont="1" applyFill="1" applyBorder="1" applyAlignment="1" applyProtection="1">
      <alignment horizontal="center"/>
      <protection hidden="1"/>
    </xf>
    <xf numFmtId="0" fontId="10" fillId="7" borderId="5" xfId="0" applyFont="1" applyFill="1" applyBorder="1" applyAlignment="1" applyProtection="1">
      <alignment horizontal="left" vertical="justify"/>
      <protection hidden="1"/>
    </xf>
    <xf numFmtId="1" fontId="10" fillId="7" borderId="5" xfId="2" applyNumberFormat="1" applyFont="1" applyFill="1" applyBorder="1" applyProtection="1"/>
    <xf numFmtId="164" fontId="36" fillId="7" borderId="5" xfId="0" applyNumberFormat="1" applyFont="1" applyFill="1" applyBorder="1" applyAlignment="1">
      <alignment horizontal="right" vertical="center"/>
    </xf>
    <xf numFmtId="164" fontId="36" fillId="7" borderId="5" xfId="0" applyNumberFormat="1" applyFont="1" applyFill="1" applyBorder="1" applyAlignment="1">
      <alignment vertical="center"/>
    </xf>
    <xf numFmtId="0" fontId="11" fillId="7" borderId="0" xfId="0" applyFont="1" applyFill="1" applyProtection="1"/>
    <xf numFmtId="0" fontId="11" fillId="7" borderId="5" xfId="0" applyFont="1" applyFill="1" applyBorder="1" applyAlignment="1" applyProtection="1">
      <alignment horizontal="center"/>
      <protection hidden="1"/>
    </xf>
    <xf numFmtId="0" fontId="11" fillId="7" borderId="5" xfId="0" applyFont="1" applyFill="1" applyBorder="1" applyAlignment="1" applyProtection="1">
      <alignment horizontal="left" vertical="justify"/>
      <protection hidden="1"/>
    </xf>
    <xf numFmtId="0" fontId="11" fillId="7" borderId="5" xfId="2" applyNumberFormat="1" applyFont="1" applyFill="1" applyBorder="1" applyProtection="1"/>
    <xf numFmtId="3" fontId="10" fillId="0" borderId="5" xfId="2" applyNumberFormat="1" applyFont="1" applyFill="1" applyBorder="1" applyProtection="1"/>
    <xf numFmtId="0" fontId="10" fillId="7" borderId="5" xfId="2" applyNumberFormat="1" applyFont="1" applyFill="1" applyBorder="1" applyProtection="1"/>
    <xf numFmtId="0" fontId="22" fillId="7" borderId="5" xfId="2" applyNumberFormat="1" applyFont="1" applyFill="1" applyBorder="1" applyProtection="1"/>
    <xf numFmtId="174" fontId="23" fillId="7" borderId="5" xfId="2" applyNumberFormat="1" applyFont="1" applyFill="1" applyBorder="1" applyProtection="1"/>
    <xf numFmtId="0" fontId="11" fillId="7" borderId="5" xfId="0" quotePrefix="1" applyFont="1" applyFill="1" applyBorder="1" applyAlignment="1" applyProtection="1">
      <alignment horizontal="center"/>
      <protection hidden="1"/>
    </xf>
    <xf numFmtId="0" fontId="22" fillId="7" borderId="0" xfId="2" applyNumberFormat="1" applyFont="1" applyFill="1" applyBorder="1" applyAlignment="1" applyProtection="1">
      <alignment horizontal="left" vertical="center"/>
    </xf>
    <xf numFmtId="0" fontId="11" fillId="7" borderId="7" xfId="0" applyFont="1" applyFill="1" applyBorder="1" applyProtection="1"/>
    <xf numFmtId="0" fontId="11" fillId="7" borderId="11" xfId="0" quotePrefix="1" applyFont="1" applyFill="1" applyBorder="1" applyAlignment="1" applyProtection="1">
      <alignment horizontal="center"/>
      <protection hidden="1"/>
    </xf>
    <xf numFmtId="0" fontId="11" fillId="7" borderId="11" xfId="0" applyFont="1" applyFill="1" applyBorder="1" applyAlignment="1" applyProtection="1">
      <alignment horizontal="left" vertical="justify"/>
      <protection hidden="1"/>
    </xf>
    <xf numFmtId="0" fontId="11" fillId="7" borderId="11" xfId="0" applyFont="1" applyFill="1" applyBorder="1" applyAlignment="1" applyProtection="1">
      <alignment horizontal="center"/>
      <protection hidden="1"/>
    </xf>
    <xf numFmtId="0" fontId="11" fillId="7" borderId="11" xfId="2" applyNumberFormat="1" applyFont="1" applyFill="1" applyBorder="1" applyProtection="1"/>
    <xf numFmtId="164" fontId="36" fillId="7" borderId="11" xfId="0" applyNumberFormat="1" applyFont="1" applyFill="1" applyBorder="1" applyAlignment="1">
      <alignment horizontal="right" vertical="center"/>
    </xf>
    <xf numFmtId="164" fontId="36" fillId="7" borderId="11" xfId="0" applyNumberFormat="1" applyFont="1" applyFill="1" applyBorder="1" applyAlignment="1">
      <alignment vertical="center"/>
    </xf>
    <xf numFmtId="175" fontId="11" fillId="7" borderId="5" xfId="0" applyNumberFormat="1" applyFont="1" applyFill="1" applyBorder="1" applyAlignment="1" applyProtection="1">
      <alignment horizontal="center"/>
      <protection hidden="1"/>
    </xf>
    <xf numFmtId="182" fontId="36" fillId="7" borderId="5" xfId="0" applyNumberFormat="1" applyFont="1" applyFill="1" applyBorder="1" applyAlignment="1">
      <alignment vertical="center"/>
    </xf>
    <xf numFmtId="3" fontId="11" fillId="7" borderId="5" xfId="0" quotePrefix="1" applyNumberFormat="1" applyFont="1" applyFill="1" applyBorder="1" applyAlignment="1" applyProtection="1">
      <alignment horizontal="center"/>
      <protection hidden="1"/>
    </xf>
    <xf numFmtId="1" fontId="11" fillId="7" borderId="5" xfId="2" applyNumberFormat="1" applyFont="1" applyFill="1" applyBorder="1" applyProtection="1"/>
    <xf numFmtId="175" fontId="11" fillId="7" borderId="5" xfId="2" applyNumberFormat="1" applyFont="1" applyFill="1" applyBorder="1" applyProtection="1"/>
    <xf numFmtId="0" fontId="36" fillId="7" borderId="12" xfId="0" applyFont="1" applyFill="1" applyBorder="1" applyAlignment="1">
      <alignment horizontal="center" vertical="center"/>
    </xf>
    <xf numFmtId="3" fontId="36" fillId="7" borderId="5" xfId="15" quotePrefix="1" applyNumberFormat="1" applyFont="1" applyFill="1" applyBorder="1" applyAlignment="1">
      <alignment horizontal="center" vertical="center"/>
    </xf>
    <xf numFmtId="0" fontId="36" fillId="7" borderId="5" xfId="0" applyNumberFormat="1" applyFont="1" applyFill="1" applyBorder="1" applyAlignment="1" applyProtection="1">
      <alignment horizontal="left" vertical="justify" wrapText="1"/>
      <protection hidden="1"/>
    </xf>
    <xf numFmtId="0" fontId="36" fillId="7" borderId="5" xfId="0" applyNumberFormat="1" applyFont="1" applyFill="1" applyBorder="1" applyAlignment="1" applyProtection="1">
      <alignment horizontal="center" vertical="center"/>
      <protection hidden="1"/>
    </xf>
    <xf numFmtId="0" fontId="36" fillId="7" borderId="5" xfId="0" applyFont="1" applyFill="1" applyBorder="1" applyAlignment="1">
      <alignment horizontal="right" vertical="center"/>
    </xf>
    <xf numFmtId="171" fontId="36" fillId="7" borderId="5" xfId="2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3" fontId="11" fillId="7" borderId="5" xfId="0" applyNumberFormat="1" applyFont="1" applyFill="1" applyBorder="1" applyAlignment="1" applyProtection="1">
      <alignment horizontal="center"/>
      <protection hidden="1"/>
    </xf>
    <xf numFmtId="0" fontId="10" fillId="7" borderId="0" xfId="0" applyFont="1" applyFill="1" applyBorder="1" applyProtection="1"/>
    <xf numFmtId="0" fontId="34" fillId="7" borderId="5" xfId="0" applyFont="1" applyFill="1" applyBorder="1" applyAlignment="1" applyProtection="1">
      <alignment horizontal="left" vertical="justify"/>
      <protection hidden="1"/>
    </xf>
    <xf numFmtId="0" fontId="34" fillId="7" borderId="5" xfId="0" applyFont="1" applyFill="1" applyBorder="1" applyAlignment="1" applyProtection="1">
      <alignment horizontal="center"/>
      <protection hidden="1"/>
    </xf>
    <xf numFmtId="1" fontId="10" fillId="7" borderId="5" xfId="2" quotePrefix="1" applyNumberFormat="1" applyFont="1" applyFill="1" applyBorder="1" applyProtection="1"/>
    <xf numFmtId="164" fontId="35" fillId="7" borderId="5" xfId="0" applyNumberFormat="1" applyFont="1" applyFill="1" applyBorder="1" applyAlignment="1">
      <alignment horizontal="right" vertical="center"/>
    </xf>
    <xf numFmtId="164" fontId="35" fillId="7" borderId="5" xfId="0" applyNumberFormat="1" applyFont="1" applyFill="1" applyBorder="1" applyAlignment="1">
      <alignment vertical="center"/>
    </xf>
    <xf numFmtId="0" fontId="10" fillId="7" borderId="0" xfId="0" applyFont="1" applyFill="1" applyProtection="1"/>
    <xf numFmtId="1" fontId="34" fillId="7" borderId="5" xfId="2" quotePrefix="1" applyNumberFormat="1" applyFont="1" applyFill="1" applyBorder="1" applyProtection="1"/>
    <xf numFmtId="0" fontId="36" fillId="7" borderId="5" xfId="0" applyNumberFormat="1" applyFont="1" applyFill="1" applyBorder="1" applyAlignment="1">
      <alignment horizontal="left" vertical="justify" wrapText="1"/>
    </xf>
    <xf numFmtId="0" fontId="36" fillId="7" borderId="5" xfId="0" applyNumberFormat="1" applyFont="1" applyFill="1" applyBorder="1" applyAlignment="1" applyProtection="1">
      <alignment horizontal="left" vertical="justify"/>
      <protection hidden="1"/>
    </xf>
    <xf numFmtId="0" fontId="10" fillId="7" borderId="5" xfId="2" quotePrefix="1" applyNumberFormat="1" applyFont="1" applyFill="1" applyBorder="1" applyProtection="1"/>
    <xf numFmtId="1" fontId="11" fillId="7" borderId="5" xfId="0" applyNumberFormat="1" applyFont="1" applyFill="1" applyBorder="1" applyAlignment="1" applyProtection="1">
      <alignment horizontal="right"/>
      <protection hidden="1"/>
    </xf>
    <xf numFmtId="3" fontId="28" fillId="7" borderId="5" xfId="18" applyNumberFormat="1" applyFont="1" applyFill="1" applyBorder="1" applyAlignment="1" applyProtection="1">
      <alignment horizontal="center"/>
    </xf>
    <xf numFmtId="0" fontId="28" fillId="7" borderId="5" xfId="0" applyFont="1" applyFill="1" applyBorder="1" applyAlignment="1" applyProtection="1">
      <alignment horizontal="center"/>
    </xf>
    <xf numFmtId="3" fontId="36" fillId="7" borderId="5" xfId="0" applyNumberFormat="1" applyFont="1" applyFill="1" applyBorder="1" applyAlignment="1" applyProtection="1">
      <alignment horizontal="left" vertical="justify"/>
    </xf>
    <xf numFmtId="0" fontId="36" fillId="7" borderId="5" xfId="0" applyFont="1" applyFill="1" applyBorder="1" applyAlignment="1" applyProtection="1">
      <alignment horizontal="center"/>
    </xf>
    <xf numFmtId="173" fontId="36" fillId="7" borderId="5" xfId="18" applyNumberFormat="1" applyFont="1" applyFill="1" applyBorder="1" applyAlignment="1" applyProtection="1">
      <alignment horizontal="right"/>
    </xf>
    <xf numFmtId="169" fontId="36" fillId="7" borderId="5" xfId="2" applyNumberFormat="1" applyFont="1" applyFill="1" applyBorder="1" applyAlignment="1" applyProtection="1"/>
    <xf numFmtId="0" fontId="30" fillId="7" borderId="0" xfId="0" applyFont="1" applyFill="1" applyAlignment="1">
      <alignment vertical="center"/>
    </xf>
    <xf numFmtId="0" fontId="36" fillId="7" borderId="5" xfId="0" quotePrefix="1" applyFont="1" applyFill="1" applyBorder="1" applyAlignment="1" applyProtection="1">
      <alignment horizontal="center"/>
    </xf>
    <xf numFmtId="0" fontId="36" fillId="7" borderId="5" xfId="0" applyNumberFormat="1" applyFont="1" applyFill="1" applyBorder="1" applyAlignment="1" applyProtection="1">
      <alignment horizontal="center"/>
    </xf>
    <xf numFmtId="3" fontId="36" fillId="7" borderId="5" xfId="18" applyNumberFormat="1" applyFont="1" applyFill="1" applyBorder="1" applyAlignment="1" applyProtection="1">
      <alignment horizontal="right"/>
    </xf>
    <xf numFmtId="3" fontId="36" fillId="7" borderId="5" xfId="0" quotePrefix="1" applyNumberFormat="1" applyFont="1" applyFill="1" applyBorder="1" applyAlignment="1" applyProtection="1">
      <alignment horizontal="center"/>
    </xf>
    <xf numFmtId="4" fontId="36" fillId="7" borderId="5" xfId="18" applyNumberFormat="1" applyFont="1" applyFill="1" applyBorder="1" applyAlignment="1" applyProtection="1">
      <alignment horizontal="right"/>
    </xf>
    <xf numFmtId="0" fontId="28" fillId="7" borderId="5" xfId="0" applyFont="1" applyFill="1" applyBorder="1" applyAlignment="1">
      <alignment horizontal="center" vertical="center"/>
    </xf>
    <xf numFmtId="3" fontId="36" fillId="7" borderId="5" xfId="0" applyNumberFormat="1" applyFont="1" applyFill="1" applyBorder="1" applyAlignment="1" applyProtection="1">
      <alignment horizontal="center"/>
      <protection hidden="1"/>
    </xf>
    <xf numFmtId="3" fontId="36" fillId="7" borderId="5" xfId="0" applyNumberFormat="1" applyFont="1" applyFill="1" applyBorder="1" applyAlignment="1">
      <alignment horizontal="right" vertical="center"/>
    </xf>
    <xf numFmtId="169" fontId="36" fillId="7" borderId="5" xfId="2" applyNumberFormat="1" applyFont="1" applyFill="1" applyBorder="1" applyAlignment="1" applyProtection="1">
      <protection hidden="1"/>
    </xf>
    <xf numFmtId="0" fontId="36" fillId="7" borderId="5" xfId="0" applyFont="1" applyFill="1" applyBorder="1" applyProtection="1">
      <protection hidden="1"/>
    </xf>
    <xf numFmtId="0" fontId="28" fillId="7" borderId="5" xfId="0" applyFont="1" applyFill="1" applyBorder="1" applyAlignment="1">
      <alignment vertical="center"/>
    </xf>
    <xf numFmtId="0" fontId="36" fillId="7" borderId="5" xfId="0" applyNumberFormat="1" applyFont="1" applyFill="1" applyBorder="1" applyAlignment="1" applyProtection="1">
      <alignment horizontal="left" vertical="justify"/>
    </xf>
    <xf numFmtId="0" fontId="29" fillId="7" borderId="0" xfId="0" applyFont="1" applyFill="1" applyAlignment="1">
      <alignment vertical="center"/>
    </xf>
    <xf numFmtId="0" fontId="36" fillId="7" borderId="5" xfId="0" applyFont="1" applyFill="1" applyBorder="1" applyAlignment="1" applyProtection="1">
      <alignment horizontal="left" vertical="justify"/>
    </xf>
    <xf numFmtId="0" fontId="36" fillId="7" borderId="5" xfId="15" applyFont="1" applyFill="1" applyBorder="1" applyAlignment="1">
      <alignment horizontal="left" vertical="justify" wrapText="1"/>
    </xf>
    <xf numFmtId="3" fontId="36" fillId="7" borderId="5" xfId="15" applyNumberFormat="1" applyFont="1" applyFill="1" applyBorder="1" applyAlignment="1">
      <alignment horizontal="right" vertical="center"/>
    </xf>
    <xf numFmtId="169" fontId="36" fillId="7" borderId="5" xfId="2" applyNumberFormat="1" applyFont="1" applyFill="1" applyBorder="1" applyAlignment="1">
      <alignment horizontal="right" vertical="center"/>
    </xf>
    <xf numFmtId="164" fontId="36" fillId="8" borderId="5" xfId="0" applyNumberFormat="1" applyFont="1" applyFill="1" applyBorder="1" applyAlignment="1">
      <alignment horizontal="right" vertical="center"/>
    </xf>
    <xf numFmtId="164" fontId="36" fillId="8" borderId="11" xfId="0" applyNumberFormat="1" applyFont="1" applyFill="1" applyBorder="1" applyAlignment="1">
      <alignment horizontal="right" vertical="center"/>
    </xf>
    <xf numFmtId="169" fontId="36" fillId="8" borderId="5" xfId="2" applyNumberFormat="1" applyFont="1" applyFill="1" applyBorder="1" applyAlignment="1">
      <alignment vertical="center"/>
    </xf>
    <xf numFmtId="164" fontId="35" fillId="8" borderId="5" xfId="0" applyNumberFormat="1" applyFont="1" applyFill="1" applyBorder="1" applyAlignment="1">
      <alignment horizontal="right" vertical="center"/>
    </xf>
    <xf numFmtId="169" fontId="36" fillId="8" borderId="5" xfId="2" applyNumberFormat="1" applyFont="1" applyFill="1" applyBorder="1" applyAlignment="1" applyProtection="1">
      <protection hidden="1"/>
    </xf>
    <xf numFmtId="169" fontId="36" fillId="8" borderId="5" xfId="2" applyNumberFormat="1" applyFont="1" applyFill="1" applyBorder="1" applyAlignment="1">
      <alignment horizontal="right" vertic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55" fillId="0" borderId="0" xfId="0" applyFont="1" applyAlignment="1">
      <alignment vertical="center"/>
    </xf>
    <xf numFmtId="0" fontId="56" fillId="0" borderId="0" xfId="0" applyFont="1" applyBorder="1" applyAlignment="1">
      <alignment vertical="center"/>
    </xf>
    <xf numFmtId="0" fontId="57" fillId="0" borderId="0" xfId="0" applyFont="1"/>
    <xf numFmtId="0" fontId="50" fillId="0" borderId="0" xfId="0" applyFont="1"/>
    <xf numFmtId="38" fontId="52" fillId="0" borderId="0" xfId="17" applyNumberFormat="1" applyFont="1" applyFill="1" applyBorder="1" applyAlignment="1">
      <alignment horizontal="center" vertical="center" wrapText="1"/>
    </xf>
    <xf numFmtId="0" fontId="54" fillId="0" borderId="0" xfId="0" applyFont="1"/>
    <xf numFmtId="0" fontId="52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26" fillId="0" borderId="13" xfId="15" applyFont="1" applyBorder="1"/>
    <xf numFmtId="0" fontId="58" fillId="0" borderId="14" xfId="15" applyFont="1" applyBorder="1"/>
    <xf numFmtId="0" fontId="26" fillId="0" borderId="15" xfId="15" applyFont="1" applyBorder="1"/>
    <xf numFmtId="0" fontId="59" fillId="0" borderId="0" xfId="15" applyFont="1" applyBorder="1"/>
    <xf numFmtId="0" fontId="59" fillId="0" borderId="0" xfId="15" applyFont="1" applyFill="1" applyBorder="1"/>
    <xf numFmtId="0" fontId="59" fillId="0" borderId="0" xfId="15" applyFont="1" applyFill="1" applyBorder="1" applyAlignment="1">
      <alignment horizontal="left"/>
    </xf>
    <xf numFmtId="0" fontId="36" fillId="0" borderId="16" xfId="16" applyFont="1" applyFill="1" applyBorder="1" applyAlignment="1">
      <alignment horizontal="centerContinuous" vertical="center" wrapText="1"/>
    </xf>
    <xf numFmtId="0" fontId="54" fillId="0" borderId="0" xfId="16" applyFont="1" applyFill="1" applyBorder="1" applyAlignment="1">
      <alignment horizontal="centerContinuous" vertical="center"/>
    </xf>
    <xf numFmtId="0" fontId="54" fillId="0" borderId="17" xfId="16" applyFont="1" applyFill="1" applyBorder="1" applyAlignment="1">
      <alignment horizontal="centerContinuous" vertical="center"/>
    </xf>
    <xf numFmtId="3" fontId="44" fillId="0" borderId="0" xfId="16" applyNumberFormat="1" applyFont="1" applyFill="1" applyBorder="1" applyAlignment="1"/>
    <xf numFmtId="0" fontId="60" fillId="0" borderId="0" xfId="15" applyFont="1" applyFill="1" applyBorder="1"/>
    <xf numFmtId="0" fontId="60" fillId="0" borderId="0" xfId="15" applyFont="1" applyFill="1" applyBorder="1" applyAlignment="1">
      <alignment horizontal="left"/>
    </xf>
    <xf numFmtId="0" fontId="35" fillId="0" borderId="16" xfId="16" applyFont="1" applyFill="1" applyBorder="1" applyAlignment="1">
      <alignment horizontal="centerContinuous" vertical="center"/>
    </xf>
    <xf numFmtId="0" fontId="40" fillId="0" borderId="0" xfId="16" applyFont="1" applyFill="1" applyBorder="1" applyAlignment="1">
      <alignment horizontal="centerContinuous" vertical="center"/>
    </xf>
    <xf numFmtId="0" fontId="40" fillId="0" borderId="17" xfId="16" applyFont="1" applyFill="1" applyBorder="1" applyAlignment="1">
      <alignment horizontal="centerContinuous" vertical="center"/>
    </xf>
    <xf numFmtId="0" fontId="45" fillId="0" borderId="0" xfId="15" applyFont="1" applyFill="1" applyBorder="1"/>
    <xf numFmtId="0" fontId="61" fillId="0" borderId="16" xfId="15" applyFont="1" applyFill="1" applyBorder="1" applyAlignment="1">
      <alignment horizontal="centerContinuous"/>
    </xf>
    <xf numFmtId="0" fontId="61" fillId="0" borderId="0" xfId="15" quotePrefix="1" applyFont="1" applyFill="1" applyBorder="1" applyAlignment="1">
      <alignment horizontal="centerContinuous" vertical="center"/>
    </xf>
    <xf numFmtId="0" fontId="61" fillId="0" borderId="17" xfId="15" quotePrefix="1" applyFont="1" applyFill="1" applyBorder="1" applyAlignment="1">
      <alignment horizontal="centerContinuous" vertical="center"/>
    </xf>
    <xf numFmtId="0" fontId="50" fillId="0" borderId="16" xfId="16" applyFont="1" applyFill="1" applyBorder="1" applyAlignment="1">
      <alignment horizontal="centerContinuous"/>
    </xf>
    <xf numFmtId="0" fontId="62" fillId="0" borderId="0" xfId="16" applyFont="1" applyFill="1" applyBorder="1" applyAlignment="1">
      <alignment horizontal="centerContinuous"/>
    </xf>
    <xf numFmtId="0" fontId="50" fillId="0" borderId="17" xfId="16" applyFont="1" applyFill="1" applyBorder="1" applyAlignment="1">
      <alignment horizontal="centerContinuous"/>
    </xf>
    <xf numFmtId="0" fontId="58" fillId="0" borderId="0" xfId="16" quotePrefix="1" applyFont="1" applyFill="1" applyBorder="1" applyAlignment="1">
      <alignment horizontal="left"/>
    </xf>
    <xf numFmtId="0" fontId="0" fillId="0" borderId="16" xfId="0" applyBorder="1" applyAlignment="1"/>
    <xf numFmtId="0" fontId="49" fillId="0" borderId="16" xfId="16" applyFont="1" applyFill="1" applyBorder="1" applyAlignment="1">
      <alignment horizontal="centerContinuous" vertical="center" wrapText="1"/>
    </xf>
    <xf numFmtId="0" fontId="49" fillId="0" borderId="0" xfId="16" applyFont="1" applyFill="1" applyBorder="1" applyAlignment="1">
      <alignment horizontal="centerContinuous" vertical="center" wrapText="1"/>
    </xf>
    <xf numFmtId="0" fontId="49" fillId="0" borderId="17" xfId="16" applyFont="1" applyFill="1" applyBorder="1" applyAlignment="1">
      <alignment horizontal="centerContinuous" vertical="center" wrapText="1"/>
    </xf>
    <xf numFmtId="0" fontId="0" fillId="0" borderId="0" xfId="0" applyFill="1" applyBorder="1" applyAlignment="1"/>
    <xf numFmtId="0" fontId="64" fillId="0" borderId="16" xfId="16" applyFont="1" applyFill="1" applyBorder="1" applyAlignment="1">
      <alignment horizontal="centerContinuous"/>
    </xf>
    <xf numFmtId="0" fontId="65" fillId="0" borderId="0" xfId="16" applyFont="1" applyFill="1" applyBorder="1" applyAlignment="1">
      <alignment horizontal="centerContinuous" vertical="center"/>
    </xf>
    <xf numFmtId="0" fontId="52" fillId="0" borderId="17" xfId="16" applyFont="1" applyFill="1" applyBorder="1" applyAlignment="1">
      <alignment horizontal="centerContinuous" vertical="center"/>
    </xf>
    <xf numFmtId="3" fontId="45" fillId="0" borderId="0" xfId="16" applyNumberFormat="1" applyFont="1" applyFill="1" applyBorder="1" applyAlignment="1"/>
    <xf numFmtId="0" fontId="45" fillId="0" borderId="0" xfId="15" applyFont="1" applyFill="1" applyBorder="1" applyAlignment="1">
      <alignment horizontal="left"/>
    </xf>
    <xf numFmtId="0" fontId="40" fillId="0" borderId="16" xfId="16" applyFont="1" applyFill="1" applyBorder="1" applyAlignment="1">
      <alignment horizontal="centerContinuous" vertical="center" wrapText="1"/>
    </xf>
    <xf numFmtId="3" fontId="59" fillId="0" borderId="0" xfId="16" applyNumberFormat="1" applyFont="1" applyFill="1" applyBorder="1" applyAlignment="1"/>
    <xf numFmtId="0" fontId="65" fillId="0" borderId="17" xfId="16" applyFont="1" applyFill="1" applyBorder="1" applyAlignment="1">
      <alignment horizontal="centerContinuous" vertical="center"/>
    </xf>
    <xf numFmtId="0" fontId="35" fillId="0" borderId="0" xfId="16" applyFont="1" applyFill="1" applyBorder="1" applyAlignment="1">
      <alignment horizontal="centerContinuous" vertical="center" wrapText="1"/>
    </xf>
    <xf numFmtId="0" fontId="35" fillId="0" borderId="17" xfId="16" applyFont="1" applyFill="1" applyBorder="1" applyAlignment="1">
      <alignment horizontal="centerContinuous" vertical="center" wrapText="1"/>
    </xf>
    <xf numFmtId="3" fontId="45" fillId="0" borderId="0" xfId="16" applyNumberFormat="1" applyFont="1" applyFill="1" applyBorder="1" applyAlignment="1">
      <alignment horizontal="center"/>
    </xf>
    <xf numFmtId="0" fontId="45" fillId="0" borderId="0" xfId="15" applyFont="1" applyFill="1" applyBorder="1" applyAlignment="1">
      <alignment horizontal="center"/>
    </xf>
    <xf numFmtId="0" fontId="52" fillId="0" borderId="16" xfId="16" applyFont="1" applyFill="1" applyBorder="1" applyAlignment="1">
      <alignment horizontal="center"/>
    </xf>
    <xf numFmtId="0" fontId="52" fillId="0" borderId="0" xfId="16" applyFont="1" applyFill="1" applyBorder="1" applyAlignment="1">
      <alignment horizontal="center"/>
    </xf>
    <xf numFmtId="0" fontId="52" fillId="0" borderId="17" xfId="16" applyFont="1" applyFill="1" applyBorder="1" applyAlignment="1">
      <alignment horizontal="centerContinuous"/>
    </xf>
    <xf numFmtId="0" fontId="50" fillId="0" borderId="16" xfId="0" applyFont="1" applyBorder="1"/>
    <xf numFmtId="0" fontId="50" fillId="0" borderId="0" xfId="0" applyFont="1" applyBorder="1"/>
    <xf numFmtId="0" fontId="50" fillId="0" borderId="17" xfId="0" applyFont="1" applyBorder="1"/>
    <xf numFmtId="3" fontId="27" fillId="0" borderId="0" xfId="16" applyNumberFormat="1" applyFont="1" applyFill="1" applyBorder="1" applyAlignment="1">
      <alignment horizontal="centerContinuous"/>
    </xf>
    <xf numFmtId="0" fontId="27" fillId="0" borderId="0" xfId="15" applyFont="1" applyFill="1" applyBorder="1"/>
    <xf numFmtId="0" fontId="27" fillId="0" borderId="0" xfId="15" applyFont="1" applyFill="1" applyBorder="1" applyAlignment="1">
      <alignment horizontal="left"/>
    </xf>
    <xf numFmtId="0" fontId="52" fillId="0" borderId="16" xfId="16" applyFont="1" applyFill="1" applyBorder="1" applyAlignment="1">
      <alignment horizontal="left"/>
    </xf>
    <xf numFmtId="0" fontId="66" fillId="0" borderId="0" xfId="16" applyFont="1" applyFill="1" applyBorder="1" applyAlignment="1">
      <alignment horizontal="left"/>
    </xf>
    <xf numFmtId="0" fontId="67" fillId="0" borderId="0" xfId="15" applyFont="1" applyBorder="1"/>
    <xf numFmtId="0" fontId="41" fillId="0" borderId="0" xfId="0" applyFont="1"/>
    <xf numFmtId="38" fontId="36" fillId="0" borderId="0" xfId="17" applyNumberFormat="1" applyFont="1" applyAlignment="1">
      <alignment horizontal="centerContinuous" vertical="center"/>
    </xf>
    <xf numFmtId="38" fontId="11" fillId="0" borderId="0" xfId="17" applyNumberFormat="1" applyFont="1" applyAlignment="1">
      <alignment horizontal="centerContinuous" vertical="center"/>
    </xf>
    <xf numFmtId="0" fontId="68" fillId="0" borderId="0" xfId="0" applyFont="1"/>
    <xf numFmtId="0" fontId="55" fillId="0" borderId="0" xfId="0" applyFont="1" applyFill="1" applyAlignment="1">
      <alignment vertical="center"/>
    </xf>
    <xf numFmtId="0" fontId="19" fillId="7" borderId="0" xfId="0" applyFont="1" applyFill="1"/>
    <xf numFmtId="2" fontId="24" fillId="0" borderId="0" xfId="0" applyNumberFormat="1" applyFont="1" applyFill="1" applyProtection="1"/>
    <xf numFmtId="0" fontId="5" fillId="0" borderId="0" xfId="0" applyFont="1" applyBorder="1"/>
    <xf numFmtId="170" fontId="33" fillId="0" borderId="0" xfId="0" applyNumberFormat="1" applyFont="1" applyFill="1" applyBorder="1" applyAlignment="1" applyProtection="1">
      <alignment horizontal="right"/>
      <protection hidden="1"/>
    </xf>
    <xf numFmtId="0" fontId="19" fillId="0" borderId="0" xfId="0" applyFont="1" applyBorder="1"/>
    <xf numFmtId="0" fontId="0" fillId="0" borderId="0" xfId="0" applyBorder="1"/>
    <xf numFmtId="3" fontId="36" fillId="0" borderId="18" xfId="0" applyNumberFormat="1" applyFont="1" applyFill="1" applyBorder="1" applyAlignment="1">
      <alignment vertical="center"/>
    </xf>
    <xf numFmtId="3" fontId="36" fillId="0" borderId="8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3" fontId="36" fillId="0" borderId="19" xfId="0" applyNumberFormat="1" applyFont="1" applyFill="1" applyBorder="1" applyAlignment="1">
      <alignment vertical="center"/>
    </xf>
    <xf numFmtId="3" fontId="36" fillId="0" borderId="20" xfId="0" applyNumberFormat="1" applyFont="1" applyFill="1" applyBorder="1" applyAlignment="1">
      <alignment vertical="center"/>
    </xf>
    <xf numFmtId="0" fontId="85" fillId="0" borderId="5" xfId="0" applyFont="1" applyFill="1" applyBorder="1" applyAlignment="1">
      <alignment horizontal="center" vertical="center"/>
    </xf>
    <xf numFmtId="0" fontId="85" fillId="0" borderId="5" xfId="0" applyFont="1" applyFill="1" applyBorder="1" applyAlignment="1">
      <alignment vertical="center"/>
    </xf>
    <xf numFmtId="0" fontId="86" fillId="0" borderId="5" xfId="0" applyNumberFormat="1" applyFont="1" applyFill="1" applyBorder="1" applyAlignment="1">
      <alignment horizontal="left" vertical="justify"/>
    </xf>
    <xf numFmtId="169" fontId="86" fillId="0" borderId="5" xfId="2" applyNumberFormat="1" applyFont="1" applyFill="1" applyBorder="1" applyAlignment="1">
      <alignment horizontal="center" vertical="center"/>
    </xf>
    <xf numFmtId="164" fontId="86" fillId="8" borderId="5" xfId="0" applyNumberFormat="1" applyFont="1" applyFill="1" applyBorder="1" applyAlignment="1">
      <alignment horizontal="right" vertical="center"/>
    </xf>
    <xf numFmtId="164" fontId="86" fillId="0" borderId="5" xfId="0" applyNumberFormat="1" applyFont="1" applyFill="1" applyBorder="1" applyAlignment="1">
      <alignment horizontal="right" vertical="center"/>
    </xf>
    <xf numFmtId="164" fontId="86" fillId="0" borderId="5" xfId="0" applyNumberFormat="1" applyFont="1" applyFill="1" applyBorder="1" applyAlignment="1">
      <alignment vertical="center"/>
    </xf>
    <xf numFmtId="172" fontId="86" fillId="0" borderId="5" xfId="2" applyNumberFormat="1" applyFont="1" applyFill="1" applyBorder="1" applyAlignment="1">
      <alignment horizontal="center" vertical="center"/>
    </xf>
    <xf numFmtId="0" fontId="87" fillId="0" borderId="0" xfId="0" quotePrefix="1" applyFont="1" applyAlignment="1">
      <alignment horizontal="right"/>
    </xf>
    <xf numFmtId="0" fontId="87" fillId="0" borderId="0" xfId="0" applyFont="1"/>
    <xf numFmtId="169" fontId="87" fillId="0" borderId="0" xfId="2" applyNumberFormat="1" applyFont="1"/>
    <xf numFmtId="0" fontId="87" fillId="3" borderId="0" xfId="0" applyFont="1" applyFill="1" applyAlignment="1" applyProtection="1">
      <alignment horizontal="center"/>
      <protection locked="0"/>
    </xf>
    <xf numFmtId="0" fontId="86" fillId="0" borderId="5" xfId="0" applyNumberFormat="1" applyFont="1" applyFill="1" applyBorder="1" applyAlignment="1" applyProtection="1">
      <alignment horizontal="left" vertical="justify"/>
      <protection hidden="1"/>
    </xf>
    <xf numFmtId="174" fontId="11" fillId="9" borderId="5" xfId="2" applyNumberFormat="1" applyFont="1" applyFill="1" applyBorder="1" applyProtection="1"/>
    <xf numFmtId="3" fontId="55" fillId="0" borderId="0" xfId="0" applyNumberFormat="1" applyFont="1" applyFill="1" applyAlignment="1">
      <alignment vertical="center"/>
    </xf>
    <xf numFmtId="38" fontId="52" fillId="0" borderId="21" xfId="17" applyNumberFormat="1" applyFont="1" applyBorder="1" applyAlignment="1">
      <alignment vertical="center" wrapText="1"/>
    </xf>
    <xf numFmtId="38" fontId="54" fillId="0" borderId="21" xfId="17" applyNumberFormat="1" applyFont="1" applyBorder="1" applyAlignment="1">
      <alignment horizontal="centerContinuous" vertical="center" wrapText="1"/>
    </xf>
    <xf numFmtId="38" fontId="48" fillId="0" borderId="21" xfId="17" applyNumberFormat="1" applyFont="1" applyBorder="1" applyAlignment="1">
      <alignment horizontal="centerContinuous" vertical="center"/>
    </xf>
    <xf numFmtId="3" fontId="52" fillId="0" borderId="21" xfId="17" applyNumberFormat="1" applyFont="1" applyBorder="1" applyAlignment="1">
      <alignment horizontal="right" vertical="center"/>
    </xf>
    <xf numFmtId="0" fontId="11" fillId="10" borderId="0" xfId="0" applyFont="1" applyFill="1" applyBorder="1" applyProtection="1"/>
    <xf numFmtId="0" fontId="11" fillId="10" borderId="5" xfId="0" applyFont="1" applyFill="1" applyBorder="1" applyAlignment="1" applyProtection="1">
      <alignment horizontal="center"/>
      <protection hidden="1"/>
    </xf>
    <xf numFmtId="0" fontId="11" fillId="10" borderId="5" xfId="0" applyFont="1" applyFill="1" applyBorder="1" applyAlignment="1" applyProtection="1">
      <alignment horizontal="left" vertical="justify"/>
      <protection hidden="1"/>
    </xf>
    <xf numFmtId="0" fontId="11" fillId="10" borderId="5" xfId="2" applyNumberFormat="1" applyFont="1" applyFill="1" applyBorder="1" applyProtection="1"/>
    <xf numFmtId="164" fontId="36" fillId="10" borderId="5" xfId="0" applyNumberFormat="1" applyFont="1" applyFill="1" applyBorder="1" applyAlignment="1">
      <alignment horizontal="right" vertical="center"/>
    </xf>
    <xf numFmtId="164" fontId="36" fillId="10" borderId="5" xfId="0" applyNumberFormat="1" applyFont="1" applyFill="1" applyBorder="1" applyAlignment="1">
      <alignment vertical="center"/>
    </xf>
    <xf numFmtId="0" fontId="11" fillId="10" borderId="0" xfId="0" applyFont="1" applyFill="1" applyProtection="1"/>
    <xf numFmtId="164" fontId="11" fillId="10" borderId="5" xfId="2" applyNumberFormat="1" applyFont="1" applyFill="1" applyBorder="1" applyProtection="1"/>
    <xf numFmtId="0" fontId="36" fillId="10" borderId="12" xfId="0" applyFont="1" applyFill="1" applyBorder="1" applyAlignment="1">
      <alignment horizontal="center" vertical="center"/>
    </xf>
    <xf numFmtId="0" fontId="86" fillId="0" borderId="0" xfId="14" applyFont="1" applyFill="1" applyBorder="1" applyAlignment="1">
      <alignment horizontal="center" vertical="center" wrapText="1"/>
    </xf>
    <xf numFmtId="169" fontId="86" fillId="0" borderId="0" xfId="2" applyNumberFormat="1" applyFont="1" applyFill="1" applyBorder="1" applyAlignment="1">
      <alignment horizontal="center" vertical="center" wrapText="1"/>
    </xf>
    <xf numFmtId="0" fontId="86" fillId="0" borderId="0" xfId="0" applyFont="1" applyFill="1" applyBorder="1" applyAlignment="1">
      <alignment horizontal="center" vertical="center"/>
    </xf>
    <xf numFmtId="0" fontId="10" fillId="9" borderId="5" xfId="0" applyFont="1" applyFill="1" applyBorder="1" applyAlignment="1" applyProtection="1">
      <alignment horizontal="center"/>
      <protection hidden="1"/>
    </xf>
    <xf numFmtId="0" fontId="10" fillId="9" borderId="5" xfId="0" applyFont="1" applyFill="1" applyBorder="1" applyAlignment="1" applyProtection="1">
      <alignment horizontal="left" vertical="justify"/>
      <protection hidden="1"/>
    </xf>
    <xf numFmtId="1" fontId="10" fillId="9" borderId="5" xfId="2" applyNumberFormat="1" applyFont="1" applyFill="1" applyBorder="1" applyProtection="1"/>
    <xf numFmtId="164" fontId="36" fillId="9" borderId="5" xfId="0" applyNumberFormat="1" applyFont="1" applyFill="1" applyBorder="1" applyAlignment="1">
      <alignment horizontal="right" vertical="center"/>
    </xf>
    <xf numFmtId="164" fontId="36" fillId="9" borderId="5" xfId="0" applyNumberFormat="1" applyFont="1" applyFill="1" applyBorder="1" applyAlignment="1">
      <alignment vertical="center"/>
    </xf>
    <xf numFmtId="0" fontId="11" fillId="9" borderId="5" xfId="0" applyFont="1" applyFill="1" applyBorder="1" applyAlignment="1" applyProtection="1">
      <alignment horizontal="center"/>
      <protection hidden="1"/>
    </xf>
    <xf numFmtId="0" fontId="11" fillId="9" borderId="5" xfId="0" applyFont="1" applyFill="1" applyBorder="1" applyAlignment="1" applyProtection="1">
      <alignment horizontal="left" vertical="justify"/>
      <protection hidden="1"/>
    </xf>
    <xf numFmtId="0" fontId="11" fillId="9" borderId="5" xfId="2" applyNumberFormat="1" applyFont="1" applyFill="1" applyBorder="1" applyProtection="1"/>
    <xf numFmtId="1" fontId="11" fillId="9" borderId="5" xfId="2" applyNumberFormat="1" applyFont="1" applyFill="1" applyBorder="1" applyProtection="1"/>
    <xf numFmtId="0" fontId="11" fillId="9" borderId="5" xfId="0" quotePrefix="1" applyFont="1" applyFill="1" applyBorder="1" applyAlignment="1" applyProtection="1">
      <alignment horizontal="center"/>
      <protection hidden="1"/>
    </xf>
    <xf numFmtId="3" fontId="11" fillId="9" borderId="5" xfId="0" quotePrefix="1" applyNumberFormat="1" applyFont="1" applyFill="1" applyBorder="1" applyAlignment="1" applyProtection="1">
      <alignment horizontal="center"/>
      <protection hidden="1"/>
    </xf>
    <xf numFmtId="3" fontId="36" fillId="9" borderId="5" xfId="15" quotePrefix="1" applyNumberFormat="1" applyFont="1" applyFill="1" applyBorder="1" applyAlignment="1">
      <alignment horizontal="center" vertical="center"/>
    </xf>
    <xf numFmtId="0" fontId="36" fillId="9" borderId="5" xfId="0" applyNumberFormat="1" applyFont="1" applyFill="1" applyBorder="1" applyAlignment="1" applyProtection="1">
      <alignment horizontal="left" vertical="justify" wrapText="1"/>
      <protection hidden="1"/>
    </xf>
    <xf numFmtId="0" fontId="36" fillId="9" borderId="5" xfId="0" applyNumberFormat="1" applyFont="1" applyFill="1" applyBorder="1" applyAlignment="1" applyProtection="1">
      <alignment horizontal="center" vertical="center"/>
      <protection hidden="1"/>
    </xf>
    <xf numFmtId="1" fontId="36" fillId="9" borderId="5" xfId="0" applyNumberFormat="1" applyFont="1" applyFill="1" applyBorder="1" applyAlignment="1">
      <alignment horizontal="right" vertical="center"/>
    </xf>
    <xf numFmtId="169" fontId="36" fillId="9" borderId="5" xfId="2" applyNumberFormat="1" applyFont="1" applyFill="1" applyBorder="1" applyAlignment="1">
      <alignment vertical="center"/>
    </xf>
    <xf numFmtId="171" fontId="36" fillId="9" borderId="5" xfId="2" applyNumberFormat="1" applyFont="1" applyFill="1" applyBorder="1" applyAlignment="1">
      <alignment vertical="center"/>
    </xf>
    <xf numFmtId="0" fontId="36" fillId="9" borderId="5" xfId="0" applyNumberFormat="1" applyFont="1" applyFill="1" applyBorder="1" applyAlignment="1">
      <alignment horizontal="left" vertical="justify"/>
    </xf>
    <xf numFmtId="177" fontId="11" fillId="9" borderId="12" xfId="0" applyNumberFormat="1" applyFont="1" applyFill="1" applyBorder="1" applyAlignment="1" applyProtection="1">
      <alignment horizontal="right"/>
      <protection hidden="1"/>
    </xf>
    <xf numFmtId="169" fontId="11" fillId="9" borderId="5" xfId="2" applyNumberFormat="1" applyFont="1" applyFill="1" applyBorder="1" applyProtection="1"/>
    <xf numFmtId="0" fontId="34" fillId="9" borderId="5" xfId="0" applyFont="1" applyFill="1" applyBorder="1" applyAlignment="1" applyProtection="1">
      <alignment horizontal="left" vertical="justify"/>
      <protection hidden="1"/>
    </xf>
    <xf numFmtId="0" fontId="34" fillId="9" borderId="5" xfId="0" applyFont="1" applyFill="1" applyBorder="1" applyAlignment="1" applyProtection="1">
      <alignment horizontal="center"/>
      <protection hidden="1"/>
    </xf>
    <xf numFmtId="1" fontId="10" fillId="9" borderId="5" xfId="2" quotePrefix="1" applyNumberFormat="1" applyFont="1" applyFill="1" applyBorder="1" applyProtection="1"/>
    <xf numFmtId="164" fontId="35" fillId="9" borderId="5" xfId="0" applyNumberFormat="1" applyFont="1" applyFill="1" applyBorder="1" applyAlignment="1">
      <alignment horizontal="right" vertical="center"/>
    </xf>
    <xf numFmtId="164" fontId="35" fillId="9" borderId="5" xfId="0" applyNumberFormat="1" applyFont="1" applyFill="1" applyBorder="1" applyAlignment="1">
      <alignment vertical="center"/>
    </xf>
    <xf numFmtId="3" fontId="10" fillId="9" borderId="5" xfId="2" quotePrefix="1" applyNumberFormat="1" applyFont="1" applyFill="1" applyBorder="1" applyProtection="1"/>
    <xf numFmtId="3" fontId="11" fillId="9" borderId="8" xfId="0" applyNumberFormat="1" applyFont="1" applyFill="1" applyBorder="1" applyAlignment="1" applyProtection="1">
      <alignment horizontal="center"/>
      <protection hidden="1"/>
    </xf>
    <xf numFmtId="0" fontId="36" fillId="9" borderId="5" xfId="0" applyNumberFormat="1" applyFont="1" applyFill="1" applyBorder="1" applyAlignment="1" applyProtection="1">
      <alignment horizontal="left" vertical="justify"/>
      <protection hidden="1"/>
    </xf>
    <xf numFmtId="0" fontId="11" fillId="9" borderId="8" xfId="0" applyFont="1" applyFill="1" applyBorder="1" applyAlignment="1" applyProtection="1">
      <alignment horizontal="center"/>
      <protection hidden="1"/>
    </xf>
    <xf numFmtId="0" fontId="36" fillId="9" borderId="5" xfId="0" applyNumberFormat="1" applyFont="1" applyFill="1" applyBorder="1" applyAlignment="1" applyProtection="1">
      <alignment horizontal="justify" vertical="justify" wrapText="1"/>
      <protection hidden="1"/>
    </xf>
    <xf numFmtId="3" fontId="11" fillId="9" borderId="5" xfId="2" applyNumberFormat="1" applyFont="1" applyFill="1" applyBorder="1" applyProtection="1"/>
    <xf numFmtId="1" fontId="34" fillId="9" borderId="5" xfId="2" quotePrefix="1" applyNumberFormat="1" applyFont="1" applyFill="1" applyBorder="1" applyProtection="1"/>
    <xf numFmtId="3" fontId="34" fillId="9" borderId="5" xfId="2" quotePrefix="1" applyNumberFormat="1" applyFont="1" applyFill="1" applyBorder="1" applyProtection="1"/>
    <xf numFmtId="3" fontId="11" fillId="9" borderId="5" xfId="0" applyNumberFormat="1" applyFont="1" applyFill="1" applyBorder="1" applyAlignment="1" applyProtection="1">
      <alignment horizontal="center"/>
      <protection hidden="1"/>
    </xf>
    <xf numFmtId="0" fontId="36" fillId="9" borderId="5" xfId="0" applyNumberFormat="1" applyFont="1" applyFill="1" applyBorder="1" applyAlignment="1">
      <alignment horizontal="left" vertical="justify" wrapText="1"/>
    </xf>
    <xf numFmtId="1" fontId="11" fillId="9" borderId="5" xfId="0" applyNumberFormat="1" applyFont="1" applyFill="1" applyBorder="1" applyAlignment="1" applyProtection="1">
      <alignment horizontal="right"/>
      <protection hidden="1"/>
    </xf>
    <xf numFmtId="1" fontId="11" fillId="9" borderId="5" xfId="2" quotePrefix="1" applyNumberFormat="1" applyFont="1" applyFill="1" applyBorder="1" applyProtection="1"/>
    <xf numFmtId="179" fontId="11" fillId="9" borderId="5" xfId="0" applyNumberFormat="1" applyFont="1" applyFill="1" applyBorder="1" applyAlignment="1" applyProtection="1">
      <alignment horizontal="right"/>
      <protection hidden="1"/>
    </xf>
    <xf numFmtId="3" fontId="36" fillId="9" borderId="5" xfId="0" quotePrefix="1" applyNumberFormat="1" applyFont="1" applyFill="1" applyBorder="1" applyAlignment="1" applyProtection="1">
      <alignment horizontal="center"/>
    </xf>
    <xf numFmtId="0" fontId="36" fillId="9" borderId="5" xfId="0" applyNumberFormat="1" applyFont="1" applyFill="1" applyBorder="1" applyAlignment="1" applyProtection="1">
      <alignment horizontal="left" vertical="justify"/>
    </xf>
    <xf numFmtId="169" fontId="36" fillId="9" borderId="5" xfId="2" applyNumberFormat="1" applyFont="1" applyFill="1" applyBorder="1" applyAlignment="1" applyProtection="1">
      <protection hidden="1"/>
    </xf>
    <xf numFmtId="169" fontId="36" fillId="9" borderId="5" xfId="2" applyNumberFormat="1" applyFont="1" applyFill="1" applyBorder="1" applyAlignment="1" applyProtection="1"/>
    <xf numFmtId="0" fontId="36" fillId="9" borderId="5" xfId="0" applyNumberFormat="1" applyFont="1" applyFill="1" applyBorder="1" applyAlignment="1" applyProtection="1">
      <alignment horizontal="center"/>
    </xf>
    <xf numFmtId="0" fontId="36" fillId="9" borderId="5" xfId="15" applyFont="1" applyFill="1" applyBorder="1" applyAlignment="1">
      <alignment horizontal="left" vertical="justify" wrapText="1"/>
    </xf>
    <xf numFmtId="3" fontId="36" fillId="9" borderId="5" xfId="15" applyNumberFormat="1" applyFont="1" applyFill="1" applyBorder="1" applyAlignment="1">
      <alignment horizontal="right" vertical="center"/>
    </xf>
    <xf numFmtId="169" fontId="36" fillId="9" borderId="5" xfId="2" applyNumberFormat="1" applyFont="1" applyFill="1" applyBorder="1" applyAlignment="1">
      <alignment horizontal="right" vertical="center"/>
    </xf>
    <xf numFmtId="0" fontId="36" fillId="9" borderId="5" xfId="0" applyFont="1" applyFill="1" applyBorder="1" applyAlignment="1" applyProtection="1">
      <alignment vertical="justify"/>
      <protection hidden="1"/>
    </xf>
    <xf numFmtId="0" fontId="36" fillId="9" borderId="5" xfId="0" applyFont="1" applyFill="1" applyBorder="1" applyAlignment="1" applyProtection="1">
      <alignment horizontal="left" vertical="justify"/>
      <protection hidden="1"/>
    </xf>
    <xf numFmtId="0" fontId="2" fillId="9" borderId="3" xfId="0" applyFont="1" applyFill="1" applyBorder="1" applyProtection="1">
      <protection hidden="1"/>
    </xf>
    <xf numFmtId="0" fontId="2" fillId="9" borderId="3" xfId="0" applyFont="1" applyFill="1" applyBorder="1" applyAlignment="1" applyProtection="1">
      <alignment horizontal="left"/>
      <protection hidden="1"/>
    </xf>
    <xf numFmtId="164" fontId="39" fillId="9" borderId="3" xfId="0" applyNumberFormat="1" applyFon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NumberFormat="1" applyFont="1" applyFill="1" applyAlignment="1">
      <alignment horizontal="center" vertical="center"/>
    </xf>
    <xf numFmtId="0" fontId="11" fillId="9" borderId="0" xfId="0" applyFont="1" applyFill="1" applyAlignment="1">
      <alignment horizontal="right" vertical="center"/>
    </xf>
    <xf numFmtId="0" fontId="11" fillId="9" borderId="0" xfId="0" applyFont="1" applyFill="1" applyProtection="1"/>
    <xf numFmtId="0" fontId="88" fillId="9" borderId="5" xfId="0" applyNumberFormat="1" applyFont="1" applyFill="1" applyBorder="1" applyProtection="1"/>
    <xf numFmtId="0" fontId="88" fillId="9" borderId="9" xfId="0" applyNumberFormat="1" applyFont="1" applyFill="1" applyBorder="1" applyProtection="1"/>
    <xf numFmtId="164" fontId="36" fillId="9" borderId="9" xfId="0" applyNumberFormat="1" applyFont="1" applyFill="1" applyBorder="1" applyAlignment="1">
      <alignment horizontal="right" vertical="center"/>
    </xf>
    <xf numFmtId="0" fontId="11" fillId="9" borderId="5" xfId="0" applyFont="1" applyFill="1" applyBorder="1" applyAlignment="1" applyProtection="1">
      <alignment horizontal="left" vertical="top"/>
      <protection hidden="1"/>
    </xf>
    <xf numFmtId="177" fontId="11" fillId="9" borderId="12" xfId="0" applyNumberFormat="1" applyFont="1" applyFill="1" applyBorder="1" applyAlignment="1" applyProtection="1">
      <alignment horizontal="center" vertical="center"/>
      <protection hidden="1"/>
    </xf>
    <xf numFmtId="0" fontId="71" fillId="9" borderId="5" xfId="0" applyFont="1" applyFill="1" applyBorder="1" applyAlignment="1" applyProtection="1">
      <alignment horizontal="center"/>
      <protection hidden="1"/>
    </xf>
    <xf numFmtId="0" fontId="11" fillId="9" borderId="0" xfId="0" applyFont="1" applyFill="1" applyAlignment="1" applyProtection="1">
      <alignment horizontal="center"/>
    </xf>
    <xf numFmtId="175" fontId="11" fillId="9" borderId="5" xfId="0" applyNumberFormat="1" applyFont="1" applyFill="1" applyBorder="1" applyProtection="1">
      <protection hidden="1"/>
    </xf>
    <xf numFmtId="0" fontId="11" fillId="9" borderId="5" xfId="0" applyFont="1" applyFill="1" applyBorder="1" applyAlignment="1" applyProtection="1">
      <alignment horizontal="right"/>
      <protection hidden="1"/>
    </xf>
    <xf numFmtId="0" fontId="11" fillId="9" borderId="5" xfId="0" applyFont="1" applyFill="1" applyBorder="1" applyProtection="1">
      <protection hidden="1"/>
    </xf>
    <xf numFmtId="0" fontId="10" fillId="9" borderId="9" xfId="0" applyFont="1" applyFill="1" applyBorder="1" applyAlignment="1" applyProtection="1">
      <alignment horizontal="center"/>
      <protection hidden="1"/>
    </xf>
    <xf numFmtId="0" fontId="10" fillId="9" borderId="9" xfId="0" applyFont="1" applyFill="1" applyBorder="1" applyAlignment="1" applyProtection="1">
      <alignment horizontal="left" vertical="justify"/>
      <protection hidden="1"/>
    </xf>
    <xf numFmtId="0" fontId="11" fillId="9" borderId="9" xfId="0" applyFont="1" applyFill="1" applyBorder="1" applyProtection="1">
      <protection hidden="1"/>
    </xf>
    <xf numFmtId="164" fontId="36" fillId="9" borderId="9" xfId="0" applyNumberFormat="1" applyFont="1" applyFill="1" applyBorder="1" applyAlignment="1">
      <alignment vertical="center"/>
    </xf>
    <xf numFmtId="0" fontId="29" fillId="9" borderId="0" xfId="0" applyFont="1" applyFill="1" applyBorder="1" applyAlignment="1">
      <alignment vertical="center"/>
    </xf>
    <xf numFmtId="0" fontId="10" fillId="9" borderId="0" xfId="0" applyFont="1" applyFill="1" applyProtection="1"/>
    <xf numFmtId="0" fontId="29" fillId="9" borderId="0" xfId="0" applyFont="1" applyFill="1" applyAlignment="1">
      <alignment vertical="center"/>
    </xf>
    <xf numFmtId="0" fontId="2" fillId="9" borderId="0" xfId="0" applyFont="1" applyFill="1" applyProtection="1"/>
    <xf numFmtId="0" fontId="35" fillId="9" borderId="5" xfId="0" applyNumberFormat="1" applyFont="1" applyFill="1" applyBorder="1" applyAlignment="1">
      <alignment horizontal="left" vertical="justify" wrapText="1"/>
    </xf>
    <xf numFmtId="164" fontId="11" fillId="9" borderId="5" xfId="2" applyNumberFormat="1" applyFont="1" applyFill="1" applyBorder="1" applyProtection="1"/>
    <xf numFmtId="38" fontId="35" fillId="0" borderId="3" xfId="17" applyNumberFormat="1" applyFont="1" applyBorder="1" applyAlignment="1">
      <alignment horizontal="center" vertical="center" wrapText="1"/>
    </xf>
    <xf numFmtId="0" fontId="86" fillId="0" borderId="5" xfId="0" applyFont="1" applyFill="1" applyBorder="1" applyAlignment="1">
      <alignment horizontal="center" vertical="center"/>
    </xf>
    <xf numFmtId="38" fontId="52" fillId="0" borderId="3" xfId="17" applyNumberFormat="1" applyFont="1" applyBorder="1" applyAlignment="1">
      <alignment horizontal="center" vertical="center"/>
    </xf>
    <xf numFmtId="38" fontId="52" fillId="0" borderId="3" xfId="17" applyNumberFormat="1" applyFont="1" applyBorder="1" applyAlignment="1">
      <alignment vertical="center" wrapText="1"/>
    </xf>
    <xf numFmtId="38" fontId="52" fillId="0" borderId="3" xfId="17" applyNumberFormat="1" applyFont="1" applyBorder="1" applyAlignment="1">
      <alignment horizontal="centerContinuous" vertical="center" wrapText="1"/>
    </xf>
    <xf numFmtId="38" fontId="48" fillId="0" borderId="3" xfId="17" applyNumberFormat="1" applyFont="1" applyBorder="1" applyAlignment="1">
      <alignment horizontal="centerContinuous" vertical="center" wrapText="1"/>
    </xf>
    <xf numFmtId="38" fontId="54" fillId="0" borderId="3" xfId="17" applyNumberFormat="1" applyFont="1" applyFill="1" applyBorder="1" applyAlignment="1">
      <alignment horizontal="centerContinuous" vertical="center" wrapText="1"/>
    </xf>
    <xf numFmtId="38" fontId="48" fillId="0" borderId="3" xfId="17" applyNumberFormat="1" applyFont="1" applyBorder="1" applyAlignment="1">
      <alignment horizontal="centerContinuous" vertical="center"/>
    </xf>
    <xf numFmtId="3" fontId="54" fillId="0" borderId="3" xfId="17" applyNumberFormat="1" applyFont="1" applyBorder="1" applyAlignment="1">
      <alignment horizontal="right" vertical="center"/>
    </xf>
    <xf numFmtId="38" fontId="52" fillId="0" borderId="23" xfId="17" applyNumberFormat="1" applyFont="1" applyBorder="1" applyAlignment="1">
      <alignment horizontal="center" vertical="center"/>
    </xf>
    <xf numFmtId="38" fontId="54" fillId="0" borderId="23" xfId="17" applyNumberFormat="1" applyFont="1" applyBorder="1" applyAlignment="1">
      <alignment vertical="center" wrapText="1"/>
    </xf>
    <xf numFmtId="38" fontId="52" fillId="0" borderId="23" xfId="17" applyNumberFormat="1" applyFont="1" applyBorder="1" applyAlignment="1">
      <alignment horizontal="centerContinuous" vertical="center" wrapText="1"/>
    </xf>
    <xf numFmtId="38" fontId="48" fillId="0" borderId="23" xfId="17" applyNumberFormat="1" applyFont="1" applyBorder="1" applyAlignment="1">
      <alignment horizontal="centerContinuous" vertical="center" wrapText="1"/>
    </xf>
    <xf numFmtId="38" fontId="54" fillId="0" borderId="23" xfId="17" applyNumberFormat="1" applyFont="1" applyFill="1" applyBorder="1" applyAlignment="1">
      <alignment horizontal="centerContinuous" vertical="center" wrapText="1"/>
    </xf>
    <xf numFmtId="38" fontId="48" fillId="0" borderId="23" xfId="17" applyNumberFormat="1" applyFont="1" applyBorder="1" applyAlignment="1">
      <alignment horizontal="centerContinuous" vertical="center"/>
    </xf>
    <xf numFmtId="3" fontId="54" fillId="0" borderId="23" xfId="17" applyNumberFormat="1" applyFont="1" applyBorder="1" applyAlignment="1">
      <alignment horizontal="right" vertical="center"/>
    </xf>
    <xf numFmtId="38" fontId="52" fillId="0" borderId="23" xfId="17" applyNumberFormat="1" applyFont="1" applyBorder="1" applyAlignment="1">
      <alignment vertical="center" wrapText="1"/>
    </xf>
    <xf numFmtId="38" fontId="54" fillId="0" borderId="23" xfId="17" applyNumberFormat="1" applyFont="1" applyBorder="1" applyAlignment="1">
      <alignment horizontal="center" vertical="center"/>
    </xf>
    <xf numFmtId="38" fontId="52" fillId="0" borderId="3" xfId="17" applyNumberFormat="1" applyFont="1" applyBorder="1" applyAlignment="1">
      <alignment horizontal="center" vertical="center" wrapText="1"/>
    </xf>
    <xf numFmtId="3" fontId="52" fillId="0" borderId="23" xfId="17" applyNumberFormat="1" applyFont="1" applyBorder="1" applyAlignment="1">
      <alignment horizontal="right" vertical="center"/>
    </xf>
    <xf numFmtId="38" fontId="54" fillId="0" borderId="23" xfId="17" applyNumberFormat="1" applyFont="1" applyBorder="1" applyAlignment="1">
      <alignment horizontal="centerContinuous" vertical="center" wrapText="1"/>
    </xf>
    <xf numFmtId="38" fontId="73" fillId="0" borderId="23" xfId="17" applyNumberFormat="1" applyFont="1" applyBorder="1" applyAlignment="1">
      <alignment horizontal="centerContinuous" vertical="center" wrapText="1"/>
    </xf>
    <xf numFmtId="38" fontId="73" fillId="0" borderId="23" xfId="17" applyNumberFormat="1" applyFont="1" applyBorder="1" applyAlignment="1">
      <alignment horizontal="centerContinuous" vertical="center"/>
    </xf>
    <xf numFmtId="38" fontId="52" fillId="0" borderId="3" xfId="17" applyNumberFormat="1" applyFont="1" applyFill="1" applyBorder="1" applyAlignment="1">
      <alignment horizontal="centerContinuous" vertical="center" wrapText="1"/>
    </xf>
    <xf numFmtId="3" fontId="52" fillId="0" borderId="3" xfId="17" applyNumberFormat="1" applyFont="1" applyBorder="1" applyAlignment="1">
      <alignment horizontal="right" vertical="center"/>
    </xf>
    <xf numFmtId="38" fontId="54" fillId="0" borderId="35" xfId="17" applyNumberFormat="1" applyFont="1" applyBorder="1" applyAlignment="1">
      <alignment horizontal="center" vertical="center"/>
    </xf>
    <xf numFmtId="38" fontId="54" fillId="0" borderId="35" xfId="17" applyNumberFormat="1" applyFont="1" applyBorder="1" applyAlignment="1">
      <alignment vertical="center" wrapText="1"/>
    </xf>
    <xf numFmtId="38" fontId="54" fillId="0" borderId="35" xfId="17" applyNumberFormat="1" applyFont="1" applyBorder="1" applyAlignment="1">
      <alignment horizontal="center" vertical="center" wrapText="1"/>
    </xf>
    <xf numFmtId="38" fontId="73" fillId="0" borderId="35" xfId="17" applyNumberFormat="1" applyFont="1" applyBorder="1" applyAlignment="1">
      <alignment horizontal="centerContinuous" vertical="center" wrapText="1"/>
    </xf>
    <xf numFmtId="38" fontId="54" fillId="0" borderId="35" xfId="17" applyNumberFormat="1" applyFont="1" applyFill="1" applyBorder="1" applyAlignment="1">
      <alignment horizontal="centerContinuous" vertical="center" wrapText="1"/>
    </xf>
    <xf numFmtId="38" fontId="73" fillId="0" borderId="35" xfId="17" applyNumberFormat="1" applyFont="1" applyBorder="1" applyAlignment="1">
      <alignment horizontal="centerContinuous" vertical="center"/>
    </xf>
    <xf numFmtId="3" fontId="54" fillId="0" borderId="35" xfId="17" applyNumberFormat="1" applyFont="1" applyBorder="1" applyAlignment="1">
      <alignment horizontal="right" vertical="center"/>
    </xf>
    <xf numFmtId="9" fontId="54" fillId="0" borderId="35" xfId="19" applyFont="1" applyBorder="1" applyAlignment="1">
      <alignment horizontal="center" vertical="center"/>
    </xf>
    <xf numFmtId="38" fontId="54" fillId="0" borderId="36" xfId="17" applyNumberFormat="1" applyFont="1" applyBorder="1" applyAlignment="1">
      <alignment horizontal="center" vertical="center"/>
    </xf>
    <xf numFmtId="38" fontId="54" fillId="0" borderId="36" xfId="17" applyNumberFormat="1" applyFont="1" applyBorder="1" applyAlignment="1">
      <alignment vertical="center" wrapText="1"/>
    </xf>
    <xf numFmtId="38" fontId="54" fillId="0" borderId="36" xfId="17" applyNumberFormat="1" applyFont="1" applyBorder="1" applyAlignment="1">
      <alignment horizontal="center" vertical="center" wrapText="1"/>
    </xf>
    <xf numFmtId="38" fontId="73" fillId="0" borderId="36" xfId="17" applyNumberFormat="1" applyFont="1" applyBorder="1" applyAlignment="1">
      <alignment horizontal="centerContinuous" vertical="center" wrapText="1"/>
    </xf>
    <xf numFmtId="38" fontId="54" fillId="0" borderId="36" xfId="17" applyNumberFormat="1" applyFont="1" applyFill="1" applyBorder="1" applyAlignment="1">
      <alignment horizontal="centerContinuous" vertical="center" wrapText="1"/>
    </xf>
    <xf numFmtId="38" fontId="73" fillId="0" borderId="36" xfId="17" applyNumberFormat="1" applyFont="1" applyBorder="1" applyAlignment="1">
      <alignment horizontal="centerContinuous" vertical="center"/>
    </xf>
    <xf numFmtId="3" fontId="54" fillId="0" borderId="36" xfId="17" applyNumberFormat="1" applyFont="1" applyBorder="1" applyAlignment="1">
      <alignment horizontal="right" vertical="center"/>
    </xf>
    <xf numFmtId="9" fontId="54" fillId="0" borderId="36" xfId="19" applyFont="1" applyBorder="1" applyAlignment="1">
      <alignment horizontal="center" vertical="center"/>
    </xf>
    <xf numFmtId="38" fontId="54" fillId="0" borderId="37" xfId="17" applyNumberFormat="1" applyFont="1" applyBorder="1" applyAlignment="1">
      <alignment horizontal="center" vertical="center"/>
    </xf>
    <xf numFmtId="38" fontId="54" fillId="0" borderId="37" xfId="17" applyNumberFormat="1" applyFont="1" applyBorder="1" applyAlignment="1">
      <alignment vertical="center" wrapText="1"/>
    </xf>
    <xf numFmtId="38" fontId="54" fillId="0" borderId="37" xfId="17" applyNumberFormat="1" applyFont="1" applyBorder="1" applyAlignment="1">
      <alignment horizontal="centerContinuous" vertical="center" wrapText="1"/>
    </xf>
    <xf numFmtId="38" fontId="73" fillId="0" borderId="37" xfId="17" applyNumberFormat="1" applyFont="1" applyBorder="1" applyAlignment="1">
      <alignment horizontal="centerContinuous" vertical="center" wrapText="1"/>
    </xf>
    <xf numFmtId="38" fontId="54" fillId="0" borderId="37" xfId="17" applyNumberFormat="1" applyFont="1" applyFill="1" applyBorder="1" applyAlignment="1">
      <alignment horizontal="centerContinuous" vertical="center" wrapText="1"/>
    </xf>
    <xf numFmtId="38" fontId="73" fillId="0" borderId="37" xfId="17" applyNumberFormat="1" applyFont="1" applyBorder="1" applyAlignment="1">
      <alignment horizontal="centerContinuous" vertical="center"/>
    </xf>
    <xf numFmtId="3" fontId="54" fillId="0" borderId="37" xfId="17" applyNumberFormat="1" applyFont="1" applyBorder="1" applyAlignment="1">
      <alignment horizontal="right" vertical="center"/>
    </xf>
    <xf numFmtId="38" fontId="54" fillId="0" borderId="38" xfId="17" applyNumberFormat="1" applyFont="1" applyBorder="1" applyAlignment="1">
      <alignment horizontal="center" vertical="center"/>
    </xf>
    <xf numFmtId="38" fontId="54" fillId="0" borderId="38" xfId="17" applyNumberFormat="1" applyFont="1" applyBorder="1" applyAlignment="1">
      <alignment vertical="center" wrapText="1"/>
    </xf>
    <xf numFmtId="38" fontId="52" fillId="0" borderId="38" xfId="17" applyNumberFormat="1" applyFont="1" applyBorder="1" applyAlignment="1">
      <alignment horizontal="centerContinuous" vertical="center" wrapText="1"/>
    </xf>
    <xf numFmtId="38" fontId="48" fillId="0" borderId="38" xfId="17" applyNumberFormat="1" applyFont="1" applyBorder="1" applyAlignment="1">
      <alignment horizontal="centerContinuous" vertical="center" wrapText="1"/>
    </xf>
    <xf numFmtId="38" fontId="54" fillId="0" borderId="38" xfId="17" applyNumberFormat="1" applyFont="1" applyFill="1" applyBorder="1" applyAlignment="1">
      <alignment horizontal="centerContinuous" vertical="center" wrapText="1"/>
    </xf>
    <xf numFmtId="38" fontId="48" fillId="0" borderId="38" xfId="17" applyNumberFormat="1" applyFont="1" applyBorder="1" applyAlignment="1">
      <alignment horizontal="centerContinuous" vertical="center"/>
    </xf>
    <xf numFmtId="3" fontId="54" fillId="0" borderId="38" xfId="17" applyNumberFormat="1" applyFont="1" applyBorder="1" applyAlignment="1">
      <alignment horizontal="right" vertical="center"/>
    </xf>
    <xf numFmtId="38" fontId="54" fillId="0" borderId="38" xfId="17" applyNumberFormat="1" applyFont="1" applyBorder="1" applyAlignment="1">
      <alignment horizontal="centerContinuous" vertical="center" wrapText="1"/>
    </xf>
    <xf numFmtId="38" fontId="73" fillId="0" borderId="38" xfId="17" applyNumberFormat="1" applyFont="1" applyBorder="1" applyAlignment="1">
      <alignment horizontal="centerContinuous" vertical="center" wrapText="1"/>
    </xf>
    <xf numFmtId="38" fontId="73" fillId="0" borderId="38" xfId="17" applyNumberFormat="1" applyFont="1" applyBorder="1" applyAlignment="1">
      <alignment horizontal="centerContinuous" vertical="center"/>
    </xf>
    <xf numFmtId="38" fontId="54" fillId="0" borderId="39" xfId="17" applyNumberFormat="1" applyFont="1" applyBorder="1" applyAlignment="1">
      <alignment horizontal="center" vertical="center"/>
    </xf>
    <xf numFmtId="38" fontId="54" fillId="0" borderId="39" xfId="17" applyNumberFormat="1" applyFont="1" applyBorder="1" applyAlignment="1">
      <alignment vertical="center" wrapText="1"/>
    </xf>
    <xf numFmtId="38" fontId="54" fillId="0" borderId="39" xfId="17" applyNumberFormat="1" applyFont="1" applyBorder="1" applyAlignment="1">
      <alignment horizontal="center" vertical="center" wrapText="1"/>
    </xf>
    <xf numFmtId="38" fontId="73" fillId="0" borderId="39" xfId="17" applyNumberFormat="1" applyFont="1" applyBorder="1" applyAlignment="1">
      <alignment horizontal="centerContinuous" vertical="center" wrapText="1"/>
    </xf>
    <xf numFmtId="38" fontId="54" fillId="0" borderId="39" xfId="17" applyNumberFormat="1" applyFont="1" applyFill="1" applyBorder="1" applyAlignment="1">
      <alignment horizontal="centerContinuous" vertical="center" wrapText="1"/>
    </xf>
    <xf numFmtId="38" fontId="73" fillId="0" borderId="39" xfId="17" applyNumberFormat="1" applyFont="1" applyBorder="1" applyAlignment="1">
      <alignment horizontal="centerContinuous" vertical="center"/>
    </xf>
    <xf numFmtId="3" fontId="54" fillId="0" borderId="39" xfId="17" applyNumberFormat="1" applyFont="1" applyBorder="1" applyAlignment="1">
      <alignment horizontal="right" vertical="center"/>
    </xf>
    <xf numFmtId="9" fontId="54" fillId="0" borderId="39" xfId="19" applyFont="1" applyBorder="1" applyAlignment="1">
      <alignment horizontal="center" vertical="center"/>
    </xf>
    <xf numFmtId="38" fontId="54" fillId="0" borderId="38" xfId="17" applyNumberFormat="1" applyFont="1" applyBorder="1" applyAlignment="1">
      <alignment horizontal="center" vertical="center" wrapText="1"/>
    </xf>
    <xf numFmtId="9" fontId="54" fillId="0" borderId="38" xfId="19" applyFont="1" applyBorder="1" applyAlignment="1">
      <alignment horizontal="center" vertical="center"/>
    </xf>
    <xf numFmtId="38" fontId="52" fillId="0" borderId="3" xfId="17" applyNumberFormat="1" applyFont="1" applyFill="1" applyBorder="1" applyAlignment="1">
      <alignment horizontal="center" vertical="center"/>
    </xf>
    <xf numFmtId="38" fontId="52" fillId="0" borderId="3" xfId="17" applyNumberFormat="1" applyFont="1" applyFill="1" applyBorder="1" applyAlignment="1">
      <alignment vertical="center" wrapText="1"/>
    </xf>
    <xf numFmtId="38" fontId="48" fillId="0" borderId="3" xfId="17" applyNumberFormat="1" applyFont="1" applyFill="1" applyBorder="1" applyAlignment="1">
      <alignment horizontal="centerContinuous" vertical="center"/>
    </xf>
    <xf numFmtId="3" fontId="54" fillId="0" borderId="3" xfId="17" applyNumberFormat="1" applyFont="1" applyFill="1" applyBorder="1" applyAlignment="1">
      <alignment horizontal="right" vertical="center"/>
    </xf>
    <xf numFmtId="0" fontId="40" fillId="0" borderId="0" xfId="0" applyFont="1" applyAlignment="1">
      <alignment horizontal="centerContinuous"/>
    </xf>
    <xf numFmtId="38" fontId="35" fillId="0" borderId="3" xfId="0" applyNumberFormat="1" applyFont="1" applyFill="1" applyBorder="1" applyAlignment="1">
      <alignment horizontal="center" vertical="center" wrapText="1"/>
    </xf>
    <xf numFmtId="38" fontId="35" fillId="0" borderId="3" xfId="0" quotePrefix="1" applyNumberFormat="1" applyFont="1" applyFill="1" applyBorder="1" applyAlignment="1">
      <alignment horizontal="center" vertical="center" wrapText="1"/>
    </xf>
    <xf numFmtId="38" fontId="35" fillId="0" borderId="3" xfId="0" applyNumberFormat="1" applyFont="1" applyFill="1" applyBorder="1" applyAlignment="1">
      <alignment horizontal="center" vertical="center"/>
    </xf>
    <xf numFmtId="38" fontId="35" fillId="0" borderId="3" xfId="0" applyNumberFormat="1" applyFont="1" applyFill="1" applyBorder="1" applyAlignment="1">
      <alignment vertical="center"/>
    </xf>
    <xf numFmtId="38" fontId="36" fillId="0" borderId="3" xfId="0" applyNumberFormat="1" applyFont="1" applyFill="1" applyBorder="1" applyAlignment="1">
      <alignment horizontal="center" vertical="center" wrapText="1"/>
    </xf>
    <xf numFmtId="38" fontId="35" fillId="0" borderId="24" xfId="0" applyNumberFormat="1" applyFont="1" applyFill="1" applyBorder="1" applyAlignment="1">
      <alignment horizontal="centerContinuous" vertical="center"/>
    </xf>
    <xf numFmtId="38" fontId="35" fillId="0" borderId="25" xfId="0" applyNumberFormat="1" applyFont="1" applyFill="1" applyBorder="1" applyAlignment="1">
      <alignment vertical="center" wrapText="1"/>
    </xf>
    <xf numFmtId="38" fontId="35" fillId="0" borderId="23" xfId="0" applyNumberFormat="1" applyFont="1" applyFill="1" applyBorder="1" applyAlignment="1">
      <alignment horizontal="center" vertical="center"/>
    </xf>
    <xf numFmtId="38" fontId="35" fillId="0" borderId="23" xfId="0" applyNumberFormat="1" applyFont="1" applyFill="1" applyBorder="1" applyAlignment="1">
      <alignment horizontal="center" vertical="center" wrapText="1"/>
    </xf>
    <xf numFmtId="38" fontId="35" fillId="0" borderId="3" xfId="0" applyNumberFormat="1" applyFont="1" applyFill="1" applyBorder="1" applyAlignment="1">
      <alignment horizontal="centerContinuous" vertical="center"/>
    </xf>
    <xf numFmtId="38" fontId="36" fillId="0" borderId="37" xfId="0" applyNumberFormat="1" applyFont="1" applyFill="1" applyBorder="1" applyAlignment="1">
      <alignment horizontal="center" vertical="center"/>
    </xf>
    <xf numFmtId="38" fontId="36" fillId="0" borderId="37" xfId="0" quotePrefix="1" applyNumberFormat="1" applyFont="1" applyFill="1" applyBorder="1" applyAlignment="1">
      <alignment horizontal="left" vertical="center" wrapText="1"/>
    </xf>
    <xf numFmtId="38" fontId="36" fillId="0" borderId="37" xfId="0" applyNumberFormat="1" applyFont="1" applyFill="1" applyBorder="1" applyAlignment="1">
      <alignment horizontal="center" vertical="center" wrapText="1"/>
    </xf>
    <xf numFmtId="38" fontId="36" fillId="0" borderId="40" xfId="0" applyNumberFormat="1" applyFont="1" applyFill="1" applyBorder="1" applyAlignment="1">
      <alignment horizontal="center" vertical="center"/>
    </xf>
    <xf numFmtId="38" fontId="36" fillId="0" borderId="40" xfId="0" quotePrefix="1" applyNumberFormat="1" applyFont="1" applyFill="1" applyBorder="1" applyAlignment="1">
      <alignment horizontal="left" vertical="center" wrapText="1"/>
    </xf>
    <xf numFmtId="38" fontId="36" fillId="0" borderId="40" xfId="0" applyNumberFormat="1" applyFont="1" applyFill="1" applyBorder="1" applyAlignment="1">
      <alignment horizontal="center" vertical="center" wrapText="1"/>
    </xf>
    <xf numFmtId="38" fontId="36" fillId="0" borderId="41" xfId="0" applyNumberFormat="1" applyFont="1" applyFill="1" applyBorder="1" applyAlignment="1">
      <alignment horizontal="center" vertical="center"/>
    </xf>
    <xf numFmtId="38" fontId="36" fillId="0" borderId="41" xfId="0" applyNumberFormat="1" applyFont="1" applyFill="1" applyBorder="1" applyAlignment="1">
      <alignment vertical="center"/>
    </xf>
    <xf numFmtId="38" fontId="36" fillId="0" borderId="41" xfId="0" applyNumberFormat="1" applyFont="1" applyFill="1" applyBorder="1" applyAlignment="1">
      <alignment horizontal="center" vertical="center" wrapText="1"/>
    </xf>
    <xf numFmtId="38" fontId="35" fillId="0" borderId="3" xfId="0" quotePrefix="1" applyNumberFormat="1" applyFont="1" applyFill="1" applyBorder="1" applyAlignment="1">
      <alignment horizontal="left" vertical="center"/>
    </xf>
    <xf numFmtId="0" fontId="35" fillId="0" borderId="3" xfId="0" quotePrefix="1" applyFont="1" applyFill="1" applyBorder="1" applyAlignment="1">
      <alignment horizontal="center" vertical="center"/>
    </xf>
    <xf numFmtId="38" fontId="35" fillId="0" borderId="24" xfId="0" applyNumberFormat="1" applyFont="1" applyFill="1" applyBorder="1" applyAlignment="1">
      <alignment vertical="center"/>
    </xf>
    <xf numFmtId="0" fontId="35" fillId="9" borderId="3" xfId="0" applyFont="1" applyFill="1" applyBorder="1" applyAlignment="1" applyProtection="1">
      <alignment horizontal="center"/>
      <protection hidden="1"/>
    </xf>
    <xf numFmtId="0" fontId="36" fillId="9" borderId="3" xfId="0" quotePrefix="1" applyFont="1" applyFill="1" applyBorder="1" applyAlignment="1" applyProtection="1">
      <alignment horizontal="center"/>
      <protection hidden="1"/>
    </xf>
    <xf numFmtId="0" fontId="36" fillId="9" borderId="3" xfId="0" quotePrefix="1" applyNumberFormat="1" applyFont="1" applyFill="1" applyBorder="1" applyAlignment="1" applyProtection="1">
      <alignment horizontal="center"/>
    </xf>
    <xf numFmtId="0" fontId="35" fillId="0" borderId="0" xfId="0" applyFont="1" applyFill="1" applyProtection="1">
      <protection hidden="1"/>
    </xf>
    <xf numFmtId="0" fontId="52" fillId="0" borderId="3" xfId="14" applyFont="1" applyFill="1" applyBorder="1" applyAlignment="1">
      <alignment horizontal="centerContinuous" vertical="center"/>
    </xf>
    <xf numFmtId="0" fontId="36" fillId="0" borderId="0" xfId="14" quotePrefix="1" applyFont="1" applyFill="1"/>
    <xf numFmtId="0" fontId="52" fillId="0" borderId="3" xfId="14" applyFont="1" applyFill="1" applyBorder="1" applyAlignment="1">
      <alignment horizontal="center" vertical="center"/>
    </xf>
    <xf numFmtId="2" fontId="52" fillId="0" borderId="3" xfId="14" applyNumberFormat="1" applyFont="1" applyFill="1" applyBorder="1" applyAlignment="1">
      <alignment horizontal="center" vertical="center"/>
    </xf>
    <xf numFmtId="2" fontId="52" fillId="0" borderId="3" xfId="14" applyNumberFormat="1" applyFont="1" applyFill="1" applyBorder="1" applyAlignment="1">
      <alignment horizontal="center" vertical="center" wrapText="1"/>
    </xf>
    <xf numFmtId="164" fontId="36" fillId="0" borderId="0" xfId="14" applyNumberFormat="1" applyFont="1" applyFill="1" applyBorder="1" applyAlignment="1">
      <alignment horizontal="center" vertical="center"/>
    </xf>
    <xf numFmtId="0" fontId="54" fillId="0" borderId="3" xfId="14" quotePrefix="1" applyFont="1" applyFill="1" applyBorder="1" applyAlignment="1">
      <alignment horizontal="center" vertical="center"/>
    </xf>
    <xf numFmtId="0" fontId="54" fillId="0" borderId="3" xfId="14" quotePrefix="1" applyFont="1" applyFill="1" applyBorder="1" applyAlignment="1">
      <alignment horizontal="centerContinuous" vertical="center"/>
    </xf>
    <xf numFmtId="2" fontId="54" fillId="0" borderId="3" xfId="14" quotePrefix="1" applyNumberFormat="1" applyFont="1" applyFill="1" applyBorder="1" applyAlignment="1">
      <alignment horizontal="center" vertical="center"/>
    </xf>
    <xf numFmtId="2" fontId="54" fillId="0" borderId="3" xfId="14" quotePrefix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 applyProtection="1">
      <alignment horizontal="center"/>
    </xf>
    <xf numFmtId="164" fontId="36" fillId="0" borderId="9" xfId="0" applyNumberFormat="1" applyFont="1" applyFill="1" applyBorder="1" applyAlignment="1">
      <alignment horizontal="right" vertical="center"/>
    </xf>
    <xf numFmtId="164" fontId="36" fillId="0" borderId="9" xfId="0" applyNumberFormat="1" applyFont="1" applyFill="1" applyBorder="1" applyAlignment="1">
      <alignment vertical="center"/>
    </xf>
    <xf numFmtId="0" fontId="36" fillId="0" borderId="1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2" fillId="0" borderId="0" xfId="0" applyFont="1" applyFill="1" applyProtection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6" fillId="0" borderId="0" xfId="0" applyFont="1" applyFill="1" applyBorder="1" applyProtection="1"/>
    <xf numFmtId="0" fontId="36" fillId="0" borderId="0" xfId="0" applyFont="1" applyFill="1" applyProtection="1"/>
    <xf numFmtId="171" fontId="24" fillId="0" borderId="0" xfId="2" applyNumberFormat="1" applyFont="1" applyFill="1" applyProtection="1"/>
    <xf numFmtId="171" fontId="11" fillId="0" borderId="0" xfId="2" applyNumberFormat="1" applyFont="1" applyFill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79" fillId="0" borderId="0" xfId="0" applyFont="1" applyFill="1" applyProtection="1"/>
    <xf numFmtId="0" fontId="35" fillId="0" borderId="26" xfId="0" applyFont="1" applyFill="1" applyBorder="1" applyAlignment="1">
      <alignment horizontal="center" vertical="center" wrapText="1"/>
    </xf>
    <xf numFmtId="2" fontId="35" fillId="0" borderId="26" xfId="0" applyNumberFormat="1" applyFont="1" applyFill="1" applyBorder="1" applyAlignment="1">
      <alignment horizontal="center" vertical="center" wrapText="1"/>
    </xf>
    <xf numFmtId="3" fontId="35" fillId="0" borderId="26" xfId="0" applyNumberFormat="1" applyFont="1" applyFill="1" applyBorder="1" applyAlignment="1">
      <alignment horizontal="center" vertical="center" wrapText="1"/>
    </xf>
    <xf numFmtId="0" fontId="71" fillId="0" borderId="26" xfId="0" quotePrefix="1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vertical="center" wrapText="1"/>
    </xf>
    <xf numFmtId="0" fontId="28" fillId="11" borderId="0" xfId="14" applyFont="1" applyFill="1" applyAlignment="1">
      <alignment vertical="center"/>
    </xf>
    <xf numFmtId="0" fontId="40" fillId="0" borderId="7" xfId="12" applyFont="1" applyFill="1" applyBorder="1" applyAlignment="1"/>
    <xf numFmtId="3" fontId="35" fillId="0" borderId="0" xfId="0" applyNumberFormat="1" applyFont="1" applyFill="1" applyBorder="1" applyAlignment="1">
      <alignment horizontal="centerContinuous" vertical="center" wrapText="1"/>
    </xf>
    <xf numFmtId="0" fontId="35" fillId="0" borderId="0" xfId="0" applyFont="1" applyFill="1" applyAlignment="1">
      <alignment vertical="center" wrapText="1"/>
    </xf>
    <xf numFmtId="3" fontId="71" fillId="0" borderId="0" xfId="0" applyNumberFormat="1" applyFont="1" applyFill="1" applyBorder="1" applyAlignment="1">
      <alignment horizontal="center" vertical="center" wrapText="1"/>
    </xf>
    <xf numFmtId="0" fontId="71" fillId="0" borderId="0" xfId="0" applyFont="1" applyFill="1" applyAlignment="1">
      <alignment horizontal="center" vertical="center" wrapText="1"/>
    </xf>
    <xf numFmtId="1" fontId="36" fillId="0" borderId="5" xfId="14" applyNumberFormat="1" applyFont="1" applyFill="1" applyBorder="1" applyAlignment="1">
      <alignment horizontal="center" vertical="center"/>
    </xf>
    <xf numFmtId="49" fontId="36" fillId="0" borderId="5" xfId="14" quotePrefix="1" applyNumberFormat="1" applyFont="1" applyFill="1" applyBorder="1" applyAlignment="1">
      <alignment horizontal="center" vertical="center"/>
    </xf>
    <xf numFmtId="4" fontId="36" fillId="0" borderId="5" xfId="14" applyNumberFormat="1" applyFont="1" applyFill="1" applyBorder="1" applyAlignment="1">
      <alignment horizontal="center" vertical="center"/>
    </xf>
    <xf numFmtId="4" fontId="36" fillId="0" borderId="5" xfId="14" applyNumberFormat="1" applyFont="1" applyFill="1" applyBorder="1" applyAlignment="1">
      <alignment vertical="center"/>
    </xf>
    <xf numFmtId="3" fontId="36" fillId="0" borderId="5" xfId="14" applyNumberFormat="1" applyFont="1" applyFill="1" applyBorder="1" applyAlignment="1">
      <alignment horizontal="right" vertical="center"/>
    </xf>
    <xf numFmtId="0" fontId="36" fillId="0" borderId="0" xfId="14" applyFont="1" applyFill="1" applyAlignment="1">
      <alignment horizontal="right" vertical="center"/>
    </xf>
    <xf numFmtId="183" fontId="35" fillId="0" borderId="0" xfId="14" applyNumberFormat="1" applyFont="1" applyFill="1" applyAlignment="1">
      <alignment vertical="center"/>
    </xf>
    <xf numFmtId="170" fontId="36" fillId="0" borderId="5" xfId="14" applyNumberFormat="1" applyFont="1" applyFill="1" applyBorder="1" applyAlignment="1">
      <alignment horizontal="center" vertical="center"/>
    </xf>
    <xf numFmtId="183" fontId="36" fillId="11" borderId="0" xfId="14" applyNumberFormat="1" applyFont="1" applyFill="1" applyAlignment="1">
      <alignment vertical="center"/>
    </xf>
    <xf numFmtId="183" fontId="36" fillId="0" borderId="0" xfId="14" applyNumberFormat="1" applyFont="1" applyFill="1" applyAlignment="1">
      <alignment vertical="center"/>
    </xf>
    <xf numFmtId="4" fontId="35" fillId="0" borderId="3" xfId="14" applyNumberFormat="1" applyFont="1" applyFill="1" applyBorder="1" applyAlignment="1">
      <alignment horizontal="center" vertical="center"/>
    </xf>
    <xf numFmtId="4" fontId="35" fillId="0" borderId="3" xfId="14" applyNumberFormat="1" applyFont="1" applyFill="1" applyBorder="1" applyAlignment="1">
      <alignment vertical="center"/>
    </xf>
    <xf numFmtId="3" fontId="35" fillId="0" borderId="3" xfId="14" applyNumberFormat="1" applyFont="1" applyFill="1" applyBorder="1" applyAlignment="1">
      <alignment horizontal="right" vertical="center"/>
    </xf>
    <xf numFmtId="0" fontId="81" fillId="0" borderId="0" xfId="12" applyFont="1" applyFill="1" applyBorder="1" applyAlignment="1">
      <alignment horizontal="left"/>
    </xf>
    <xf numFmtId="0" fontId="81" fillId="0" borderId="0" xfId="12" applyFont="1" applyFill="1" applyBorder="1" applyAlignment="1">
      <alignment horizontal="right"/>
    </xf>
    <xf numFmtId="0" fontId="50" fillId="0" borderId="0" xfId="12" applyFont="1" applyFill="1"/>
    <xf numFmtId="0" fontId="50" fillId="0" borderId="0" xfId="12" applyFont="1" applyFill="1" applyBorder="1" applyAlignment="1">
      <alignment horizontal="center"/>
    </xf>
    <xf numFmtId="0" fontId="50" fillId="0" borderId="0" xfId="3" applyNumberFormat="1" applyFont="1" applyFill="1" applyBorder="1" applyAlignment="1">
      <alignment horizontal="center"/>
    </xf>
    <xf numFmtId="175" fontId="50" fillId="0" borderId="0" xfId="12" applyNumberFormat="1" applyFont="1" applyFill="1" applyBorder="1"/>
    <xf numFmtId="2" fontId="50" fillId="0" borderId="0" xfId="12" applyNumberFormat="1" applyFont="1" applyFill="1" applyBorder="1"/>
    <xf numFmtId="175" fontId="50" fillId="0" borderId="0" xfId="12" applyNumberFormat="1" applyFont="1" applyFill="1"/>
    <xf numFmtId="2" fontId="50" fillId="0" borderId="0" xfId="12" applyNumberFormat="1" applyFont="1" applyFill="1"/>
    <xf numFmtId="3" fontId="50" fillId="0" borderId="0" xfId="12" applyNumberFormat="1" applyFont="1" applyFill="1"/>
    <xf numFmtId="169" fontId="50" fillId="0" borderId="0" xfId="2" applyNumberFormat="1" applyFont="1" applyFill="1"/>
    <xf numFmtId="38" fontId="52" fillId="0" borderId="21" xfId="17" applyNumberFormat="1" applyFont="1" applyBorder="1" applyAlignment="1">
      <alignment horizontal="center" vertical="center"/>
    </xf>
    <xf numFmtId="3" fontId="36" fillId="0" borderId="3" xfId="0" applyNumberFormat="1" applyFont="1" applyFill="1" applyBorder="1" applyAlignment="1">
      <alignment horizontal="center" vertical="center"/>
    </xf>
    <xf numFmtId="169" fontId="35" fillId="0" borderId="3" xfId="2" applyNumberFormat="1" applyFont="1" applyFill="1" applyBorder="1" applyAlignment="1">
      <alignment horizontal="center" vertical="center"/>
    </xf>
    <xf numFmtId="38" fontId="35" fillId="0" borderId="3" xfId="0" applyNumberFormat="1" applyFont="1" applyFill="1" applyBorder="1" applyAlignment="1">
      <alignment horizontal="right" vertical="center" wrapText="1"/>
    </xf>
    <xf numFmtId="38" fontId="52" fillId="0" borderId="22" xfId="17" applyNumberFormat="1" applyFont="1" applyBorder="1" applyAlignment="1">
      <alignment horizontal="center" vertical="center"/>
    </xf>
    <xf numFmtId="38" fontId="52" fillId="0" borderId="22" xfId="17" applyNumberFormat="1" applyFont="1" applyBorder="1" applyAlignment="1">
      <alignment vertical="center" wrapText="1"/>
    </xf>
    <xf numFmtId="38" fontId="52" fillId="0" borderId="22" xfId="17" applyNumberFormat="1" applyFont="1" applyBorder="1" applyAlignment="1">
      <alignment horizontal="centerContinuous" vertical="center" wrapText="1"/>
    </xf>
    <xf numFmtId="38" fontId="48" fillId="0" borderId="22" xfId="17" applyNumberFormat="1" applyFont="1" applyBorder="1" applyAlignment="1">
      <alignment horizontal="centerContinuous" vertical="center" wrapText="1"/>
    </xf>
    <xf numFmtId="38" fontId="54" fillId="0" borderId="22" xfId="17" applyNumberFormat="1" applyFont="1" applyFill="1" applyBorder="1" applyAlignment="1">
      <alignment horizontal="centerContinuous" vertical="center" wrapText="1"/>
    </xf>
    <xf numFmtId="38" fontId="48" fillId="0" borderId="22" xfId="17" applyNumberFormat="1" applyFont="1" applyBorder="1" applyAlignment="1">
      <alignment horizontal="centerContinuous" vertical="center"/>
    </xf>
    <xf numFmtId="3" fontId="54" fillId="0" borderId="22" xfId="17" applyNumberFormat="1" applyFont="1" applyBorder="1" applyAlignment="1">
      <alignment horizontal="right" vertical="center"/>
    </xf>
    <xf numFmtId="38" fontId="54" fillId="0" borderId="5" xfId="17" applyNumberFormat="1" applyFont="1" applyFill="1" applyBorder="1" applyAlignment="1">
      <alignment horizontal="centerContinuous" vertical="center" wrapText="1"/>
    </xf>
    <xf numFmtId="3" fontId="54" fillId="0" borderId="5" xfId="17" applyNumberFormat="1" applyFont="1" applyBorder="1" applyAlignment="1">
      <alignment horizontal="right" vertical="center"/>
    </xf>
    <xf numFmtId="38" fontId="52" fillId="0" borderId="5" xfId="17" applyNumberFormat="1" applyFont="1" applyFill="1" applyBorder="1" applyAlignment="1">
      <alignment horizontal="center" vertical="center"/>
    </xf>
    <xf numFmtId="38" fontId="52" fillId="0" borderId="5" xfId="17" applyNumberFormat="1" applyFont="1" applyFill="1" applyBorder="1" applyAlignment="1">
      <alignment vertical="center" wrapText="1"/>
    </xf>
    <xf numFmtId="38" fontId="48" fillId="0" borderId="5" xfId="17" applyNumberFormat="1" applyFont="1" applyFill="1" applyBorder="1" applyAlignment="1">
      <alignment horizontal="centerContinuous" vertical="center"/>
    </xf>
    <xf numFmtId="3" fontId="54" fillId="0" borderId="5" xfId="17" applyNumberFormat="1" applyFont="1" applyFill="1" applyBorder="1" applyAlignment="1">
      <alignment horizontal="right" vertical="center"/>
    </xf>
    <xf numFmtId="0" fontId="86" fillId="0" borderId="42" xfId="0" applyFont="1" applyFill="1" applyBorder="1" applyAlignment="1">
      <alignment vertical="center"/>
    </xf>
    <xf numFmtId="0" fontId="86" fillId="0" borderId="43" xfId="0" quotePrefix="1" applyFont="1" applyFill="1" applyBorder="1" applyAlignment="1">
      <alignment vertical="center"/>
    </xf>
    <xf numFmtId="0" fontId="86" fillId="0" borderId="44" xfId="0" quotePrefix="1" applyFont="1" applyFill="1" applyBorder="1" applyAlignment="1">
      <alignment vertical="center"/>
    </xf>
    <xf numFmtId="0" fontId="86" fillId="0" borderId="43" xfId="0" applyFont="1" applyFill="1" applyBorder="1" applyAlignment="1">
      <alignment vertical="center"/>
    </xf>
    <xf numFmtId="0" fontId="86" fillId="0" borderId="45" xfId="0" applyFont="1" applyFill="1" applyBorder="1" applyAlignment="1">
      <alignment vertical="center"/>
    </xf>
    <xf numFmtId="0" fontId="86" fillId="0" borderId="46" xfId="0" applyFont="1" applyFill="1" applyBorder="1" applyAlignment="1">
      <alignment vertical="center"/>
    </xf>
    <xf numFmtId="1" fontId="26" fillId="0" borderId="23" xfId="3" applyNumberFormat="1" applyFont="1" applyFill="1" applyBorder="1" applyAlignment="1" applyProtection="1">
      <alignment horizontal="center"/>
      <protection hidden="1"/>
    </xf>
    <xf numFmtId="1" fontId="26" fillId="0" borderId="3" xfId="3" applyNumberFormat="1" applyFont="1" applyFill="1" applyBorder="1" applyAlignment="1" applyProtection="1">
      <alignment horizontal="left"/>
      <protection hidden="1"/>
    </xf>
    <xf numFmtId="0" fontId="50" fillId="0" borderId="2" xfId="12" applyFont="1" applyFill="1" applyBorder="1" applyAlignment="1">
      <alignment horizontal="left" indent="1"/>
    </xf>
    <xf numFmtId="0" fontId="50" fillId="0" borderId="2" xfId="12" applyFont="1" applyFill="1" applyBorder="1" applyAlignment="1">
      <alignment horizontal="center"/>
    </xf>
    <xf numFmtId="3" fontId="50" fillId="0" borderId="2" xfId="3" applyNumberFormat="1" applyFont="1" applyFill="1" applyBorder="1" applyAlignment="1">
      <alignment horizontal="center"/>
    </xf>
    <xf numFmtId="0" fontId="50" fillId="0" borderId="2" xfId="3" quotePrefix="1" applyNumberFormat="1" applyFont="1" applyFill="1" applyBorder="1" applyAlignment="1">
      <alignment horizontal="center"/>
    </xf>
    <xf numFmtId="175" fontId="50" fillId="0" borderId="2" xfId="3" applyNumberFormat="1" applyFont="1" applyFill="1" applyBorder="1"/>
    <xf numFmtId="2" fontId="50" fillId="0" borderId="2" xfId="3" applyNumberFormat="1" applyFont="1" applyFill="1" applyBorder="1"/>
    <xf numFmtId="1" fontId="50" fillId="0" borderId="2" xfId="3" applyNumberFormat="1" applyFont="1" applyFill="1" applyBorder="1" applyAlignment="1">
      <alignment horizontal="center"/>
    </xf>
    <xf numFmtId="3" fontId="50" fillId="0" borderId="2" xfId="3" applyNumberFormat="1" applyFont="1" applyFill="1" applyBorder="1"/>
    <xf numFmtId="3" fontId="50" fillId="0" borderId="24" xfId="3" applyNumberFormat="1" applyFont="1" applyFill="1" applyBorder="1"/>
    <xf numFmtId="0" fontId="50" fillId="0" borderId="19" xfId="3" applyNumberFormat="1" applyFont="1" applyFill="1" applyBorder="1" applyAlignment="1">
      <alignment horizontal="center"/>
    </xf>
    <xf numFmtId="1" fontId="26" fillId="0" borderId="3" xfId="3" applyNumberFormat="1" applyFont="1" applyFill="1" applyBorder="1" applyAlignment="1" applyProtection="1">
      <alignment horizontal="center"/>
      <protection hidden="1"/>
    </xf>
    <xf numFmtId="176" fontId="26" fillId="0" borderId="27" xfId="12" applyNumberFormat="1" applyFont="1" applyFill="1" applyBorder="1" applyAlignment="1">
      <alignment horizontal="center"/>
    </xf>
    <xf numFmtId="3" fontId="50" fillId="0" borderId="2" xfId="3" quotePrefix="1" applyNumberFormat="1" applyFont="1" applyFill="1" applyBorder="1" applyAlignment="1">
      <alignment horizontal="center"/>
    </xf>
    <xf numFmtId="0" fontId="42" fillId="0" borderId="3" xfId="12" applyFont="1" applyBorder="1" applyAlignment="1">
      <alignment horizontal="center" vertical="center"/>
    </xf>
    <xf numFmtId="0" fontId="42" fillId="0" borderId="3" xfId="12" applyFont="1" applyBorder="1" applyAlignment="1">
      <alignment horizontal="center" vertical="center" wrapText="1"/>
    </xf>
    <xf numFmtId="0" fontId="42" fillId="0" borderId="3" xfId="3" applyNumberFormat="1" applyFont="1" applyBorder="1" applyAlignment="1">
      <alignment horizontal="center" vertical="center" wrapText="1"/>
    </xf>
    <xf numFmtId="175" fontId="42" fillId="0" borderId="3" xfId="12" applyNumberFormat="1" applyFont="1" applyBorder="1" applyAlignment="1">
      <alignment horizontal="center" vertical="center" wrapText="1"/>
    </xf>
    <xf numFmtId="0" fontId="26" fillId="6" borderId="3" xfId="3" applyNumberFormat="1" applyFont="1" applyFill="1" applyBorder="1" applyAlignment="1">
      <alignment horizontal="center" vertical="center" wrapText="1"/>
    </xf>
    <xf numFmtId="2" fontId="42" fillId="0" borderId="3" xfId="12" applyNumberFormat="1" applyFont="1" applyBorder="1" applyAlignment="1">
      <alignment horizontal="center" vertical="center" wrapText="1"/>
    </xf>
    <xf numFmtId="3" fontId="26" fillId="0" borderId="3" xfId="12" applyNumberFormat="1" applyFont="1" applyBorder="1" applyAlignment="1">
      <alignment horizontal="center" vertical="center" wrapText="1"/>
    </xf>
    <xf numFmtId="3" fontId="42" fillId="0" borderId="3" xfId="12" applyNumberFormat="1" applyFont="1" applyBorder="1" applyAlignment="1">
      <alignment horizontal="center" vertical="center" wrapText="1"/>
    </xf>
    <xf numFmtId="0" fontId="26" fillId="0" borderId="24" xfId="3" applyNumberFormat="1" applyFont="1" applyFill="1" applyBorder="1" applyAlignment="1">
      <alignment horizontal="center" vertical="center" wrapText="1"/>
    </xf>
    <xf numFmtId="0" fontId="50" fillId="0" borderId="0" xfId="12" applyFont="1"/>
    <xf numFmtId="0" fontId="40" fillId="0" borderId="7" xfId="12" applyFont="1" applyBorder="1" applyAlignment="1">
      <alignment horizontal="centerContinuous"/>
    </xf>
    <xf numFmtId="0" fontId="36" fillId="0" borderId="25" xfId="12" applyFont="1" applyBorder="1" applyAlignment="1">
      <alignment horizontal="centerContinuous"/>
    </xf>
    <xf numFmtId="0" fontId="36" fillId="0" borderId="23" xfId="12" applyFont="1" applyBorder="1" applyAlignment="1">
      <alignment horizontal="centerContinuous"/>
    </xf>
    <xf numFmtId="0" fontId="36" fillId="0" borderId="23" xfId="3" applyNumberFormat="1" applyFont="1" applyBorder="1" applyAlignment="1">
      <alignment horizontal="centerContinuous"/>
    </xf>
    <xf numFmtId="175" fontId="71" fillId="0" borderId="23" xfId="3" applyNumberFormat="1" applyFont="1" applyBorder="1" applyAlignment="1">
      <alignment horizontal="centerContinuous"/>
    </xf>
    <xf numFmtId="2" fontId="71" fillId="0" borderId="0" xfId="3" applyNumberFormat="1" applyFont="1" applyBorder="1" applyAlignment="1">
      <alignment horizontal="centerContinuous"/>
    </xf>
    <xf numFmtId="2" fontId="71" fillId="0" borderId="23" xfId="3" applyNumberFormat="1" applyFont="1" applyBorder="1" applyAlignment="1">
      <alignment horizontal="centerContinuous"/>
    </xf>
    <xf numFmtId="3" fontId="35" fillId="0" borderId="23" xfId="12" applyNumberFormat="1" applyFont="1" applyBorder="1" applyAlignment="1">
      <alignment horizontal="centerContinuous"/>
    </xf>
    <xf numFmtId="3" fontId="35" fillId="0" borderId="28" xfId="12" applyNumberFormat="1" applyFont="1" applyBorder="1" applyAlignment="1">
      <alignment horizontal="centerContinuous"/>
    </xf>
    <xf numFmtId="0" fontId="50" fillId="0" borderId="7" xfId="3" applyNumberFormat="1" applyFont="1" applyFill="1" applyBorder="1" applyAlignment="1">
      <alignment horizontal="center"/>
    </xf>
    <xf numFmtId="1" fontId="50" fillId="0" borderId="5" xfId="3" applyNumberFormat="1" applyFont="1" applyBorder="1" applyAlignment="1" applyProtection="1">
      <alignment horizontal="center"/>
      <protection hidden="1"/>
    </xf>
    <xf numFmtId="2" fontId="50" fillId="0" borderId="5" xfId="3" applyNumberFormat="1" applyFont="1" applyFill="1" applyBorder="1"/>
    <xf numFmtId="3" fontId="50" fillId="0" borderId="5" xfId="3" applyNumberFormat="1" applyFont="1" applyFill="1" applyBorder="1"/>
    <xf numFmtId="3" fontId="50" fillId="0" borderId="5" xfId="3" applyNumberFormat="1" applyFont="1" applyBorder="1" applyAlignment="1">
      <alignment horizontal="center"/>
    </xf>
    <xf numFmtId="0" fontId="50" fillId="5" borderId="5" xfId="3" quotePrefix="1" applyNumberFormat="1" applyFont="1" applyFill="1" applyBorder="1" applyAlignment="1">
      <alignment horizontal="center"/>
    </xf>
    <xf numFmtId="3" fontId="50" fillId="6" borderId="5" xfId="3" quotePrefix="1" applyNumberFormat="1" applyFont="1" applyFill="1" applyBorder="1" applyAlignment="1">
      <alignment horizontal="center"/>
    </xf>
    <xf numFmtId="175" fontId="50" fillId="0" borderId="5" xfId="3" applyNumberFormat="1" applyFont="1" applyBorder="1"/>
    <xf numFmtId="174" fontId="50" fillId="0" borderId="5" xfId="3" applyNumberFormat="1" applyFont="1" applyBorder="1"/>
    <xf numFmtId="0" fontId="89" fillId="5" borderId="42" xfId="3" quotePrefix="1" applyNumberFormat="1" applyFont="1" applyFill="1" applyBorder="1" applyAlignment="1">
      <alignment horizontal="center"/>
    </xf>
    <xf numFmtId="2" fontId="89" fillId="0" borderId="42" xfId="3" applyNumberFormat="1" applyFont="1" applyFill="1" applyBorder="1"/>
    <xf numFmtId="3" fontId="89" fillId="6" borderId="42" xfId="3" quotePrefix="1" applyNumberFormat="1" applyFont="1" applyFill="1" applyBorder="1" applyAlignment="1">
      <alignment horizontal="center"/>
    </xf>
    <xf numFmtId="175" fontId="89" fillId="0" borderId="42" xfId="3" applyNumberFormat="1" applyFont="1" applyBorder="1"/>
    <xf numFmtId="174" fontId="89" fillId="0" borderId="42" xfId="3" applyNumberFormat="1" applyFont="1" applyBorder="1"/>
    <xf numFmtId="3" fontId="89" fillId="0" borderId="42" xfId="3" applyNumberFormat="1" applyFont="1" applyFill="1" applyBorder="1"/>
    <xf numFmtId="0" fontId="89" fillId="0" borderId="19" xfId="3" applyNumberFormat="1" applyFont="1" applyFill="1" applyBorder="1" applyAlignment="1">
      <alignment horizontal="center"/>
    </xf>
    <xf numFmtId="0" fontId="89" fillId="5" borderId="43" xfId="3" quotePrefix="1" applyNumberFormat="1" applyFont="1" applyFill="1" applyBorder="1" applyAlignment="1">
      <alignment horizontal="center"/>
    </xf>
    <xf numFmtId="2" fontId="89" fillId="0" borderId="43" xfId="3" applyNumberFormat="1" applyFont="1" applyFill="1" applyBorder="1"/>
    <xf numFmtId="3" fontId="89" fillId="6" borderId="43" xfId="3" quotePrefix="1" applyNumberFormat="1" applyFont="1" applyFill="1" applyBorder="1" applyAlignment="1">
      <alignment horizontal="center"/>
    </xf>
    <xf numFmtId="175" fontId="89" fillId="0" borderId="43" xfId="3" applyNumberFormat="1" applyFont="1" applyBorder="1"/>
    <xf numFmtId="174" fontId="89" fillId="0" borderId="43" xfId="3" applyNumberFormat="1" applyFont="1" applyBorder="1"/>
    <xf numFmtId="3" fontId="89" fillId="0" borderId="43" xfId="3" applyNumberFormat="1" applyFont="1" applyFill="1" applyBorder="1"/>
    <xf numFmtId="0" fontId="89" fillId="5" borderId="44" xfId="3" quotePrefix="1" applyNumberFormat="1" applyFont="1" applyFill="1" applyBorder="1" applyAlignment="1">
      <alignment horizontal="center"/>
    </xf>
    <xf numFmtId="2" fontId="89" fillId="0" borderId="44" xfId="3" applyNumberFormat="1" applyFont="1" applyFill="1" applyBorder="1"/>
    <xf numFmtId="3" fontId="89" fillId="6" borderId="44" xfId="3" quotePrefix="1" applyNumberFormat="1" applyFont="1" applyFill="1" applyBorder="1" applyAlignment="1">
      <alignment horizontal="center"/>
    </xf>
    <xf numFmtId="175" fontId="89" fillId="0" borderId="44" xfId="3" applyNumberFormat="1" applyFont="1" applyBorder="1"/>
    <xf numFmtId="174" fontId="89" fillId="0" borderId="44" xfId="3" applyNumberFormat="1" applyFont="1" applyBorder="1"/>
    <xf numFmtId="3" fontId="89" fillId="0" borderId="44" xfId="3" applyNumberFormat="1" applyFont="1" applyFill="1" applyBorder="1"/>
    <xf numFmtId="0" fontId="89" fillId="0" borderId="42" xfId="3" quotePrefix="1" applyNumberFormat="1" applyFont="1" applyFill="1" applyBorder="1" applyAlignment="1">
      <alignment horizontal="center"/>
    </xf>
    <xf numFmtId="3" fontId="89" fillId="0" borderId="42" xfId="3" quotePrefix="1" applyNumberFormat="1" applyFont="1" applyFill="1" applyBorder="1" applyAlignment="1">
      <alignment horizontal="center"/>
    </xf>
    <xf numFmtId="175" fontId="89" fillId="0" borderId="42" xfId="3" applyNumberFormat="1" applyFont="1" applyFill="1" applyBorder="1"/>
    <xf numFmtId="174" fontId="89" fillId="0" borderId="42" xfId="3" applyNumberFormat="1" applyFont="1" applyFill="1" applyBorder="1"/>
    <xf numFmtId="0" fontId="89" fillId="0" borderId="43" xfId="3" quotePrefix="1" applyNumberFormat="1" applyFont="1" applyFill="1" applyBorder="1" applyAlignment="1">
      <alignment horizontal="center"/>
    </xf>
    <xf numFmtId="3" fontId="89" fillId="0" borderId="43" xfId="3" quotePrefix="1" applyNumberFormat="1" applyFont="1" applyFill="1" applyBorder="1" applyAlignment="1">
      <alignment horizontal="center"/>
    </xf>
    <xf numFmtId="175" fontId="89" fillId="0" borderId="43" xfId="3" applyNumberFormat="1" applyFont="1" applyFill="1" applyBorder="1"/>
    <xf numFmtId="174" fontId="89" fillId="0" borderId="43" xfId="3" applyNumberFormat="1" applyFont="1" applyFill="1" applyBorder="1"/>
    <xf numFmtId="0" fontId="89" fillId="0" borderId="46" xfId="3" quotePrefix="1" applyNumberFormat="1" applyFont="1" applyFill="1" applyBorder="1" applyAlignment="1">
      <alignment horizontal="center"/>
    </xf>
    <xf numFmtId="2" fontId="89" fillId="0" borderId="46" xfId="3" applyNumberFormat="1" applyFont="1" applyFill="1" applyBorder="1"/>
    <xf numFmtId="3" fontId="89" fillId="0" borderId="46" xfId="3" quotePrefix="1" applyNumberFormat="1" applyFont="1" applyFill="1" applyBorder="1" applyAlignment="1">
      <alignment horizontal="center"/>
    </xf>
    <xf numFmtId="175" fontId="89" fillId="0" borderId="46" xfId="3" applyNumberFormat="1" applyFont="1" applyFill="1" applyBorder="1"/>
    <xf numFmtId="174" fontId="89" fillId="0" borderId="46" xfId="3" applyNumberFormat="1" applyFont="1" applyFill="1" applyBorder="1"/>
    <xf numFmtId="3" fontId="89" fillId="0" borderId="46" xfId="3" applyNumberFormat="1" applyFont="1" applyFill="1" applyBorder="1"/>
    <xf numFmtId="0" fontId="89" fillId="0" borderId="45" xfId="3" quotePrefix="1" applyNumberFormat="1" applyFont="1" applyFill="1" applyBorder="1" applyAlignment="1">
      <alignment horizontal="center"/>
    </xf>
    <xf numFmtId="2" fontId="89" fillId="0" borderId="45" xfId="3" applyNumberFormat="1" applyFont="1" applyFill="1" applyBorder="1"/>
    <xf numFmtId="3" fontId="89" fillId="0" borderId="45" xfId="3" quotePrefix="1" applyNumberFormat="1" applyFont="1" applyFill="1" applyBorder="1" applyAlignment="1">
      <alignment horizontal="center"/>
    </xf>
    <xf numFmtId="175" fontId="89" fillId="0" borderId="45" xfId="3" applyNumberFormat="1" applyFont="1" applyFill="1" applyBorder="1"/>
    <xf numFmtId="174" fontId="89" fillId="0" borderId="45" xfId="3" applyNumberFormat="1" applyFont="1" applyFill="1" applyBorder="1"/>
    <xf numFmtId="3" fontId="89" fillId="0" borderId="45" xfId="3" applyNumberFormat="1" applyFont="1" applyFill="1" applyBorder="1"/>
    <xf numFmtId="0" fontId="86" fillId="0" borderId="27" xfId="12" applyFont="1" applyBorder="1" applyAlignment="1">
      <alignment horizontal="center"/>
    </xf>
    <xf numFmtId="0" fontId="86" fillId="0" borderId="2" xfId="12" applyFont="1" applyBorder="1" applyAlignment="1">
      <alignment horizontal="center"/>
    </xf>
    <xf numFmtId="0" fontId="86" fillId="0" borderId="2" xfId="12" applyFont="1" applyBorder="1" applyAlignment="1">
      <alignment horizontal="left" indent="1"/>
    </xf>
    <xf numFmtId="0" fontId="86" fillId="0" borderId="2" xfId="3" applyNumberFormat="1" applyFont="1" applyBorder="1" applyAlignment="1">
      <alignment horizontal="center"/>
    </xf>
    <xf numFmtId="175" fontId="90" fillId="0" borderId="2" xfId="3" applyNumberFormat="1" applyFont="1" applyBorder="1" applyAlignment="1">
      <alignment horizontal="right"/>
    </xf>
    <xf numFmtId="2" fontId="90" fillId="0" borderId="2" xfId="3" applyNumberFormat="1" applyFont="1" applyBorder="1" applyAlignment="1">
      <alignment horizontal="right"/>
    </xf>
    <xf numFmtId="2" fontId="90" fillId="0" borderId="24" xfId="3" applyNumberFormat="1" applyFont="1" applyBorder="1" applyAlignment="1">
      <alignment horizontal="right"/>
    </xf>
    <xf numFmtId="3" fontId="91" fillId="0" borderId="27" xfId="12" applyNumberFormat="1" applyFont="1" applyBorder="1"/>
    <xf numFmtId="0" fontId="86" fillId="0" borderId="0" xfId="0" applyFont="1" applyAlignment="1">
      <alignment horizontal="center"/>
    </xf>
    <xf numFmtId="0" fontId="86" fillId="0" borderId="0" xfId="0" applyFont="1"/>
    <xf numFmtId="169" fontId="86" fillId="0" borderId="0" xfId="2" applyNumberFormat="1" applyFont="1"/>
    <xf numFmtId="0" fontId="26" fillId="0" borderId="0" xfId="0" quotePrefix="1" applyFont="1" applyAlignment="1">
      <alignment horizontal="center"/>
    </xf>
    <xf numFmtId="0" fontId="50" fillId="0" borderId="0" xfId="0" applyFont="1" applyAlignment="1"/>
    <xf numFmtId="0" fontId="36" fillId="0" borderId="0" xfId="0" applyFont="1" applyAlignment="1">
      <alignment horizontal="centerContinuous"/>
    </xf>
    <xf numFmtId="0" fontId="5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35" fillId="0" borderId="0" xfId="0" applyFont="1" applyAlignment="1">
      <alignment horizontal="centerContinuous"/>
    </xf>
    <xf numFmtId="0" fontId="50" fillId="0" borderId="0" xfId="0" quotePrefix="1" applyFont="1" applyAlignment="1">
      <alignment horizontal="right"/>
    </xf>
    <xf numFmtId="169" fontId="50" fillId="0" borderId="0" xfId="2" applyNumberFormat="1" applyFont="1"/>
    <xf numFmtId="0" fontId="50" fillId="3" borderId="0" xfId="0" applyFont="1" applyFill="1" applyAlignment="1" applyProtection="1">
      <alignment horizontal="center"/>
      <protection locked="0"/>
    </xf>
    <xf numFmtId="0" fontId="50" fillId="0" borderId="0" xfId="0" applyFont="1" applyAlignment="1">
      <alignment horizontal="right"/>
    </xf>
    <xf numFmtId="0" fontId="82" fillId="0" borderId="0" xfId="0" applyFont="1" applyAlignment="1">
      <alignment horizontal="center"/>
    </xf>
    <xf numFmtId="0" fontId="42" fillId="0" borderId="0" xfId="0" applyFont="1" applyAlignment="1">
      <alignment horizontal="centerContinuous"/>
    </xf>
    <xf numFmtId="3" fontId="42" fillId="0" borderId="0" xfId="0" applyNumberFormat="1" applyFont="1" applyAlignment="1">
      <alignment horizontal="centerContinuous"/>
    </xf>
    <xf numFmtId="0" fontId="41" fillId="0" borderId="0" xfId="0" applyFont="1" applyBorder="1"/>
    <xf numFmtId="38" fontId="42" fillId="0" borderId="3" xfId="0" applyNumberFormat="1" applyFont="1" applyFill="1" applyBorder="1" applyAlignment="1">
      <alignment horizontal="center" vertical="center"/>
    </xf>
    <xf numFmtId="38" fontId="42" fillId="0" borderId="24" xfId="0" applyNumberFormat="1" applyFont="1" applyFill="1" applyBorder="1" applyAlignment="1">
      <alignment horizontal="centerContinuous" vertical="center"/>
    </xf>
    <xf numFmtId="3" fontId="42" fillId="0" borderId="3" xfId="2" applyNumberFormat="1" applyFont="1" applyFill="1" applyBorder="1" applyAlignment="1">
      <alignment vertical="center"/>
    </xf>
    <xf numFmtId="38" fontId="52" fillId="0" borderId="8" xfId="17" applyNumberFormat="1" applyFont="1" applyFill="1" applyBorder="1" applyAlignment="1">
      <alignment horizontal="center" vertical="center"/>
    </xf>
    <xf numFmtId="38" fontId="52" fillId="0" borderId="8" xfId="17" applyNumberFormat="1" applyFont="1" applyFill="1" applyBorder="1" applyAlignment="1">
      <alignment vertical="center" wrapText="1"/>
    </xf>
    <xf numFmtId="38" fontId="54" fillId="0" borderId="8" xfId="17" applyNumberFormat="1" applyFont="1" applyFill="1" applyBorder="1" applyAlignment="1">
      <alignment horizontal="centerContinuous" vertical="center" wrapText="1"/>
    </xf>
    <xf numFmtId="38" fontId="48" fillId="0" borderId="8" xfId="17" applyNumberFormat="1" applyFont="1" applyFill="1" applyBorder="1" applyAlignment="1">
      <alignment horizontal="centerContinuous" vertical="center"/>
    </xf>
    <xf numFmtId="3" fontId="54" fillId="0" borderId="8" xfId="17" applyNumberFormat="1" applyFont="1" applyFill="1" applyBorder="1" applyAlignment="1">
      <alignment horizontal="right" vertical="center"/>
    </xf>
    <xf numFmtId="38" fontId="54" fillId="0" borderId="3" xfId="17" applyNumberFormat="1" applyFont="1" applyBorder="1" applyAlignment="1">
      <alignment horizontal="centerContinuous" vertical="center" wrapText="1"/>
    </xf>
    <xf numFmtId="38" fontId="42" fillId="0" borderId="3" xfId="0" applyNumberFormat="1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38" fontId="41" fillId="0" borderId="8" xfId="0" applyNumberFormat="1" applyFont="1" applyFill="1" applyBorder="1" applyAlignment="1">
      <alignment horizontal="center" vertical="center"/>
    </xf>
    <xf numFmtId="38" fontId="42" fillId="0" borderId="3" xfId="0" applyNumberFormat="1" applyFont="1" applyFill="1" applyBorder="1" applyAlignment="1">
      <alignment vertical="center"/>
    </xf>
    <xf numFmtId="3" fontId="42" fillId="0" borderId="3" xfId="2" applyNumberFormat="1" applyFont="1" applyFill="1" applyBorder="1" applyAlignment="1">
      <alignment vertical="center" wrapText="1"/>
    </xf>
    <xf numFmtId="38" fontId="41" fillId="0" borderId="8" xfId="0" applyNumberFormat="1" applyFont="1" applyFill="1" applyBorder="1" applyAlignment="1">
      <alignment horizontal="center" vertical="center" wrapText="1"/>
    </xf>
    <xf numFmtId="3" fontId="41" fillId="0" borderId="8" xfId="2" applyNumberFormat="1" applyFont="1" applyFill="1" applyBorder="1" applyAlignment="1">
      <alignment vertical="center" wrapText="1"/>
    </xf>
    <xf numFmtId="3" fontId="41" fillId="0" borderId="3" xfId="2" applyNumberFormat="1" applyFont="1" applyFill="1" applyBorder="1" applyAlignment="1">
      <alignment vertical="center" wrapText="1"/>
    </xf>
    <xf numFmtId="38" fontId="42" fillId="0" borderId="23" xfId="0" applyNumberFormat="1" applyFont="1" applyFill="1" applyBorder="1" applyAlignment="1">
      <alignment horizontal="center" vertical="center"/>
    </xf>
    <xf numFmtId="38" fontId="42" fillId="0" borderId="23" xfId="0" applyNumberFormat="1" applyFont="1" applyFill="1" applyBorder="1" applyAlignment="1">
      <alignment horizontal="center" vertical="center" wrapText="1"/>
    </xf>
    <xf numFmtId="3" fontId="42" fillId="0" borderId="23" xfId="2" applyNumberFormat="1" applyFont="1" applyFill="1" applyBorder="1" applyAlignment="1">
      <alignment vertical="center" wrapText="1"/>
    </xf>
    <xf numFmtId="0" fontId="35" fillId="0" borderId="0" xfId="0" applyFont="1"/>
    <xf numFmtId="0" fontId="50" fillId="0" borderId="0" xfId="12" quotePrefix="1" applyFont="1" applyFill="1"/>
    <xf numFmtId="3" fontId="50" fillId="0" borderId="0" xfId="12" applyNumberFormat="1" applyFont="1" applyFill="1" applyBorder="1"/>
    <xf numFmtId="0" fontId="86" fillId="0" borderId="0" xfId="0" applyFont="1" applyFill="1" applyProtection="1"/>
    <xf numFmtId="169" fontId="35" fillId="0" borderId="0" xfId="0" applyNumberFormat="1" applyFont="1" applyFill="1" applyBorder="1" applyAlignment="1">
      <alignment vertical="center"/>
    </xf>
    <xf numFmtId="0" fontId="40" fillId="0" borderId="7" xfId="12" applyFont="1" applyFill="1" applyBorder="1" applyAlignment="1">
      <alignment horizontal="center"/>
    </xf>
    <xf numFmtId="0" fontId="36" fillId="0" borderId="0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26" fillId="0" borderId="0" xfId="0" applyFont="1" applyFill="1" applyBorder="1" applyProtection="1"/>
    <xf numFmtId="0" fontId="26" fillId="0" borderId="0" xfId="0" applyFont="1" applyFill="1" applyProtection="1"/>
    <xf numFmtId="0" fontId="70" fillId="0" borderId="0" xfId="14" applyFont="1" applyFill="1" applyAlignment="1">
      <alignment vertical="center"/>
    </xf>
    <xf numFmtId="0" fontId="49" fillId="0" borderId="0" xfId="14" applyFont="1" applyFill="1" applyAlignment="1">
      <alignment horizontal="centerContinuous" vertical="center"/>
    </xf>
    <xf numFmtId="2" fontId="49" fillId="0" borderId="0" xfId="14" applyNumberFormat="1" applyFont="1" applyFill="1" applyAlignment="1">
      <alignment horizontal="centerContinuous" vertical="center"/>
    </xf>
    <xf numFmtId="37" fontId="49" fillId="0" borderId="0" xfId="14" applyNumberFormat="1" applyFont="1" applyFill="1" applyAlignment="1">
      <alignment horizontal="centerContinuous" vertical="center"/>
    </xf>
    <xf numFmtId="3" fontId="49" fillId="0" borderId="0" xfId="14" applyNumberFormat="1" applyFont="1" applyFill="1" applyAlignment="1">
      <alignment horizontal="centerContinuous" vertical="center"/>
    </xf>
    <xf numFmtId="0" fontId="52" fillId="0" borderId="0" xfId="14" applyFont="1" applyFill="1" applyAlignment="1">
      <alignment vertical="center"/>
    </xf>
    <xf numFmtId="0" fontId="36" fillId="0" borderId="0" xfId="14" applyFont="1" applyFill="1" applyAlignment="1">
      <alignment vertical="center"/>
    </xf>
    <xf numFmtId="166" fontId="36" fillId="0" borderId="0" xfId="14" applyNumberFormat="1" applyFont="1" applyFill="1" applyBorder="1" applyAlignment="1">
      <alignment vertical="center"/>
    </xf>
    <xf numFmtId="0" fontId="36" fillId="0" borderId="0" xfId="14" applyFont="1" applyFill="1" applyBorder="1" applyAlignment="1">
      <alignment vertical="center"/>
    </xf>
    <xf numFmtId="0" fontId="36" fillId="0" borderId="5" xfId="14" applyFont="1" applyFill="1" applyBorder="1" applyAlignment="1">
      <alignment horizontal="center" vertical="center"/>
    </xf>
    <xf numFmtId="0" fontId="36" fillId="0" borderId="7" xfId="14" applyFont="1" applyFill="1" applyBorder="1" applyAlignment="1">
      <alignment vertical="center"/>
    </xf>
    <xf numFmtId="0" fontId="36" fillId="0" borderId="28" xfId="14" applyFont="1" applyFill="1" applyBorder="1" applyAlignment="1">
      <alignment vertical="center"/>
    </xf>
    <xf numFmtId="0" fontId="52" fillId="0" borderId="27" xfId="14" applyFont="1" applyFill="1" applyBorder="1" applyAlignment="1">
      <alignment horizontal="center" vertical="center"/>
    </xf>
    <xf numFmtId="181" fontId="52" fillId="0" borderId="2" xfId="14" applyNumberFormat="1" applyFont="1" applyFill="1" applyBorder="1" applyAlignment="1">
      <alignment horizontal="left" vertical="center"/>
    </xf>
    <xf numFmtId="181" fontId="52" fillId="0" borderId="24" xfId="14" applyNumberFormat="1" applyFont="1" applyFill="1" applyBorder="1" applyAlignment="1">
      <alignment horizontal="right" vertical="center"/>
    </xf>
    <xf numFmtId="181" fontId="52" fillId="0" borderId="3" xfId="14" applyNumberFormat="1" applyFont="1" applyFill="1" applyBorder="1" applyAlignment="1">
      <alignment horizontal="right" vertical="center"/>
    </xf>
    <xf numFmtId="3" fontId="52" fillId="0" borderId="3" xfId="14" applyNumberFormat="1" applyFont="1" applyFill="1" applyBorder="1" applyAlignment="1">
      <alignment horizontal="center" vertical="center"/>
    </xf>
    <xf numFmtId="0" fontId="52" fillId="0" borderId="28" xfId="14" applyFont="1" applyFill="1" applyBorder="1" applyAlignment="1">
      <alignment vertical="center"/>
    </xf>
    <xf numFmtId="0" fontId="52" fillId="0" borderId="0" xfId="14" applyFont="1" applyFill="1" applyBorder="1" applyAlignment="1">
      <alignment vertical="center"/>
    </xf>
    <xf numFmtId="0" fontId="70" fillId="0" borderId="0" xfId="14" applyFont="1" applyFill="1"/>
    <xf numFmtId="0" fontId="41" fillId="0" borderId="0" xfId="0" applyFont="1" applyBorder="1" applyAlignment="1">
      <alignment horizontal="center" wrapText="1"/>
    </xf>
    <xf numFmtId="0" fontId="70" fillId="0" borderId="0" xfId="14" applyFont="1" applyFill="1" applyAlignment="1">
      <alignment horizontal="center"/>
    </xf>
    <xf numFmtId="1" fontId="70" fillId="0" borderId="0" xfId="14" applyNumberFormat="1" applyFont="1" applyFill="1"/>
    <xf numFmtId="37" fontId="70" fillId="0" borderId="0" xfId="14" applyNumberFormat="1" applyFont="1" applyFill="1" applyAlignment="1">
      <alignment horizontal="right"/>
    </xf>
    <xf numFmtId="3" fontId="70" fillId="0" borderId="0" xfId="14" applyNumberFormat="1" applyFont="1" applyFill="1"/>
    <xf numFmtId="2" fontId="70" fillId="0" borderId="0" xfId="14" applyNumberFormat="1" applyFont="1" applyFill="1" applyAlignment="1">
      <alignment horizontal="left" indent="2"/>
    </xf>
    <xf numFmtId="2" fontId="70" fillId="0" borderId="0" xfId="14" applyNumberFormat="1" applyFont="1" applyFill="1"/>
    <xf numFmtId="38" fontId="35" fillId="0" borderId="26" xfId="17" applyNumberFormat="1" applyFont="1" applyBorder="1" applyAlignment="1">
      <alignment horizontal="center" vertical="center"/>
    </xf>
    <xf numFmtId="38" fontId="35" fillId="0" borderId="26" xfId="17" applyNumberFormat="1" applyFont="1" applyBorder="1" applyAlignment="1">
      <alignment horizontal="center" vertical="center" wrapText="1"/>
    </xf>
    <xf numFmtId="38" fontId="52" fillId="0" borderId="26" xfId="17" applyNumberFormat="1" applyFont="1" applyBorder="1" applyAlignment="1">
      <alignment horizontal="center" vertical="center" wrapText="1"/>
    </xf>
    <xf numFmtId="38" fontId="41" fillId="0" borderId="3" xfId="0" applyNumberFormat="1" applyFont="1" applyFill="1" applyBorder="1" applyAlignment="1">
      <alignment horizontal="center" vertical="center" wrapText="1"/>
    </xf>
    <xf numFmtId="38" fontId="41" fillId="0" borderId="8" xfId="0" quotePrefix="1" applyNumberFormat="1" applyFont="1" applyFill="1" applyBorder="1" applyAlignment="1">
      <alignment horizontal="left" vertical="center" wrapText="1"/>
    </xf>
    <xf numFmtId="38" fontId="42" fillId="0" borderId="25" xfId="0" applyNumberFormat="1" applyFont="1" applyFill="1" applyBorder="1" applyAlignment="1">
      <alignment vertical="center" wrapText="1"/>
    </xf>
    <xf numFmtId="0" fontId="41" fillId="7" borderId="0" xfId="0" applyFont="1" applyFill="1"/>
    <xf numFmtId="38" fontId="42" fillId="0" borderId="3" xfId="0" applyNumberFormat="1" applyFont="1" applyFill="1" applyBorder="1" applyAlignment="1">
      <alignment horizontal="centerContinuous" vertical="center"/>
    </xf>
    <xf numFmtId="3" fontId="41" fillId="0" borderId="0" xfId="0" applyNumberFormat="1" applyFont="1"/>
    <xf numFmtId="3" fontId="41" fillId="0" borderId="0" xfId="2" applyNumberFormat="1" applyFont="1"/>
    <xf numFmtId="0" fontId="41" fillId="0" borderId="0" xfId="0" applyNumberFormat="1" applyFont="1"/>
    <xf numFmtId="38" fontId="35" fillId="0" borderId="26" xfId="17" applyNumberFormat="1" applyFont="1" applyBorder="1" applyAlignment="1">
      <alignment horizontal="left" vertical="center"/>
    </xf>
    <xf numFmtId="4" fontId="36" fillId="0" borderId="8" xfId="14" applyNumberFormat="1" applyFont="1" applyFill="1" applyBorder="1" applyAlignment="1">
      <alignment horizontal="center" vertical="center"/>
    </xf>
    <xf numFmtId="38" fontId="42" fillId="0" borderId="23" xfId="0" applyNumberFormat="1" applyFont="1" applyFill="1" applyBorder="1" applyAlignment="1">
      <alignment vertical="center"/>
    </xf>
    <xf numFmtId="38" fontId="42" fillId="0" borderId="24" xfId="0" applyNumberFormat="1" applyFont="1" applyFill="1" applyBorder="1" applyAlignment="1">
      <alignment horizontal="left" vertical="center"/>
    </xf>
    <xf numFmtId="2" fontId="71" fillId="0" borderId="7" xfId="3" applyNumberFormat="1" applyFont="1" applyBorder="1" applyAlignment="1">
      <alignment horizontal="centerContinuous"/>
    </xf>
    <xf numFmtId="0" fontId="40" fillId="0" borderId="0" xfId="12" applyFont="1" applyBorder="1" applyAlignment="1">
      <alignment horizontal="centerContinuous"/>
    </xf>
    <xf numFmtId="0" fontId="36" fillId="0" borderId="7" xfId="12" applyFont="1" applyBorder="1" applyAlignment="1">
      <alignment horizontal="centerContinuous"/>
    </xf>
    <xf numFmtId="0" fontId="36" fillId="0" borderId="7" xfId="3" applyNumberFormat="1" applyFont="1" applyBorder="1" applyAlignment="1">
      <alignment horizontal="centerContinuous"/>
    </xf>
    <xf numFmtId="175" fontId="71" fillId="0" borderId="7" xfId="3" applyNumberFormat="1" applyFont="1" applyBorder="1" applyAlignment="1">
      <alignment horizontal="centerContinuous"/>
    </xf>
    <xf numFmtId="3" fontId="35" fillId="0" borderId="7" xfId="12" applyNumberFormat="1" applyFont="1" applyBorder="1" applyAlignment="1">
      <alignment horizontal="centerContinuous"/>
    </xf>
    <xf numFmtId="0" fontId="40" fillId="0" borderId="0" xfId="12" applyFont="1" applyFill="1" applyBorder="1" applyAlignment="1"/>
    <xf numFmtId="3" fontId="7" fillId="0" borderId="0" xfId="12" applyNumberFormat="1" applyFont="1" applyFill="1" applyBorder="1" applyAlignment="1"/>
    <xf numFmtId="0" fontId="40" fillId="0" borderId="0" xfId="2" applyNumberFormat="1" applyFont="1" applyFill="1" applyBorder="1" applyAlignment="1" applyProtection="1"/>
    <xf numFmtId="0" fontId="35" fillId="0" borderId="0" xfId="0" applyFont="1" applyFill="1" applyBorder="1" applyAlignment="1" applyProtection="1">
      <alignment horizontal="center"/>
      <protection hidden="1"/>
    </xf>
    <xf numFmtId="0" fontId="36" fillId="0" borderId="0" xfId="0" quotePrefix="1" applyFont="1" applyFill="1" applyBorder="1" applyAlignment="1" applyProtection="1">
      <alignment horizontal="center"/>
      <protection hidden="1"/>
    </xf>
    <xf numFmtId="164" fontId="36" fillId="0" borderId="0" xfId="0" applyNumberFormat="1" applyFont="1" applyFill="1" applyBorder="1" applyAlignment="1">
      <alignment vertical="center"/>
    </xf>
    <xf numFmtId="169" fontId="35" fillId="0" borderId="0" xfId="2" applyNumberFormat="1" applyFont="1" applyFill="1" applyBorder="1" applyAlignment="1">
      <alignment vertical="center"/>
    </xf>
    <xf numFmtId="184" fontId="36" fillId="0" borderId="0" xfId="0" applyNumberFormat="1" applyFont="1" applyFill="1" applyBorder="1" applyAlignment="1">
      <alignment vertical="center"/>
    </xf>
    <xf numFmtId="169" fontId="55" fillId="0" borderId="0" xfId="2" applyNumberFormat="1" applyFont="1" applyAlignment="1">
      <alignment vertical="center"/>
    </xf>
    <xf numFmtId="169" fontId="55" fillId="0" borderId="0" xfId="0" applyNumberFormat="1" applyFont="1" applyAlignment="1">
      <alignment vertical="center"/>
    </xf>
    <xf numFmtId="0" fontId="36" fillId="0" borderId="0" xfId="0" applyFont="1"/>
    <xf numFmtId="0" fontId="36" fillId="0" borderId="3" xfId="0" quotePrefix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168" fontId="36" fillId="0" borderId="3" xfId="2" applyFont="1" applyBorder="1"/>
    <xf numFmtId="2" fontId="36" fillId="0" borderId="3" xfId="0" applyNumberFormat="1" applyFont="1" applyBorder="1" applyAlignment="1">
      <alignment horizontal="center"/>
    </xf>
    <xf numFmtId="0" fontId="36" fillId="0" borderId="0" xfId="0" quotePrefix="1" applyFont="1"/>
    <xf numFmtId="0" fontId="36" fillId="0" borderId="0" xfId="0" applyFont="1" applyAlignment="1">
      <alignment horizontal="center"/>
    </xf>
    <xf numFmtId="0" fontId="86" fillId="0" borderId="0" xfId="0" quotePrefix="1" applyFont="1"/>
    <xf numFmtId="0" fontId="36" fillId="8" borderId="3" xfId="0" applyFont="1" applyFill="1" applyBorder="1" applyAlignment="1">
      <alignment horizontal="center"/>
    </xf>
    <xf numFmtId="168" fontId="36" fillId="8" borderId="3" xfId="2" applyFont="1" applyFill="1" applyBorder="1"/>
    <xf numFmtId="0" fontId="36" fillId="0" borderId="3" xfId="0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8" fontId="36" fillId="0" borderId="3" xfId="2" applyFont="1" applyFill="1" applyBorder="1"/>
    <xf numFmtId="169" fontId="36" fillId="0" borderId="0" xfId="0" applyNumberFormat="1" applyFont="1" applyFill="1"/>
    <xf numFmtId="0" fontId="36" fillId="0" borderId="0" xfId="0" applyFont="1" applyFill="1"/>
    <xf numFmtId="173" fontId="35" fillId="0" borderId="3" xfId="14" applyNumberFormat="1" applyFont="1" applyFill="1" applyBorder="1" applyAlignment="1">
      <alignment horizontal="right" vertical="center"/>
    </xf>
    <xf numFmtId="184" fontId="52" fillId="0" borderId="24" xfId="14" applyNumberFormat="1" applyFont="1" applyFill="1" applyBorder="1" applyAlignment="1">
      <alignment horizontal="right" vertical="center"/>
    </xf>
    <xf numFmtId="171" fontId="26" fillId="4" borderId="0" xfId="2" applyNumberFormat="1" applyFont="1" applyFill="1"/>
    <xf numFmtId="173" fontId="91" fillId="0" borderId="3" xfId="12" applyNumberFormat="1" applyFont="1" applyFill="1" applyBorder="1"/>
    <xf numFmtId="3" fontId="41" fillId="0" borderId="23" xfId="2" applyNumberFormat="1" applyFont="1" applyFill="1" applyBorder="1" applyAlignment="1">
      <alignment vertical="center" wrapText="1"/>
    </xf>
    <xf numFmtId="0" fontId="40" fillId="0" borderId="0" xfId="13" applyNumberFormat="1" applyFont="1" applyFill="1" applyBorder="1" applyAlignment="1">
      <alignment horizontal="center"/>
    </xf>
    <xf numFmtId="0" fontId="36" fillId="0" borderId="0" xfId="0" applyFont="1" applyFill="1" applyBorder="1" applyProtection="1">
      <protection hidden="1"/>
    </xf>
    <xf numFmtId="0" fontId="35" fillId="0" borderId="0" xfId="14" applyFont="1" applyFill="1" applyAlignment="1">
      <alignment vertical="center"/>
    </xf>
    <xf numFmtId="164" fontId="35" fillId="0" borderId="0" xfId="14" applyNumberFormat="1" applyFont="1" applyFill="1" applyBorder="1" applyAlignment="1">
      <alignment horizontal="center" vertical="center"/>
    </xf>
    <xf numFmtId="166" fontId="35" fillId="0" borderId="0" xfId="14" applyNumberFormat="1" applyFont="1" applyFill="1" applyBorder="1" applyAlignment="1">
      <alignment vertical="center"/>
    </xf>
    <xf numFmtId="0" fontId="35" fillId="0" borderId="0" xfId="14" applyFont="1" applyFill="1" applyBorder="1" applyAlignment="1">
      <alignment vertical="center"/>
    </xf>
    <xf numFmtId="0" fontId="84" fillId="0" borderId="5" xfId="14" applyFont="1" applyFill="1" applyBorder="1" applyAlignment="1">
      <alignment horizontal="center" vertical="center"/>
    </xf>
    <xf numFmtId="164" fontId="84" fillId="0" borderId="5" xfId="14" applyNumberFormat="1" applyFont="1" applyFill="1" applyBorder="1" applyAlignment="1">
      <alignment horizontal="left" vertical="center" wrapText="1"/>
    </xf>
    <xf numFmtId="164" fontId="84" fillId="0" borderId="5" xfId="14" applyNumberFormat="1" applyFont="1" applyFill="1" applyBorder="1" applyAlignment="1">
      <alignment horizontal="center" vertical="center"/>
    </xf>
    <xf numFmtId="181" fontId="84" fillId="0" borderId="5" xfId="14" applyNumberFormat="1" applyFont="1" applyFill="1" applyBorder="1" applyAlignment="1">
      <alignment horizontal="center" vertical="center"/>
    </xf>
    <xf numFmtId="0" fontId="86" fillId="0" borderId="0" xfId="14" applyFont="1" applyFill="1" applyAlignment="1">
      <alignment vertical="center"/>
    </xf>
    <xf numFmtId="0" fontId="86" fillId="0" borderId="0" xfId="14" applyFont="1" applyFill="1" applyBorder="1" applyAlignment="1">
      <alignment vertical="center"/>
    </xf>
    <xf numFmtId="0" fontId="35" fillId="0" borderId="0" xfId="0" applyFont="1" applyFill="1" applyProtection="1"/>
    <xf numFmtId="0" fontId="35" fillId="0" borderId="0" xfId="0" applyFont="1" applyFill="1" applyBorder="1" applyProtection="1"/>
    <xf numFmtId="0" fontId="71" fillId="0" borderId="3" xfId="0" quotePrefix="1" applyFont="1" applyFill="1" applyBorder="1" applyAlignment="1">
      <alignment horizontal="center" vertical="center" wrapText="1"/>
    </xf>
    <xf numFmtId="1" fontId="36" fillId="0" borderId="9" xfId="14" applyNumberFormat="1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horizontal="center" vertical="center"/>
    </xf>
    <xf numFmtId="49" fontId="36" fillId="0" borderId="9" xfId="14" quotePrefix="1" applyNumberFormat="1" applyFont="1" applyFill="1" applyBorder="1" applyAlignment="1">
      <alignment horizontal="center" vertical="center"/>
    </xf>
    <xf numFmtId="173" fontId="36" fillId="0" borderId="9" xfId="14" applyNumberFormat="1" applyFont="1" applyFill="1" applyBorder="1" applyAlignment="1">
      <alignment horizontal="center" vertical="center"/>
    </xf>
    <xf numFmtId="4" fontId="36" fillId="0" borderId="9" xfId="14" applyNumberFormat="1" applyFont="1" applyFill="1" applyBorder="1" applyAlignment="1">
      <alignment vertical="center"/>
    </xf>
    <xf numFmtId="3" fontId="36" fillId="0" borderId="9" xfId="14" applyNumberFormat="1" applyFont="1" applyFill="1" applyBorder="1" applyAlignment="1">
      <alignment horizontal="right" vertical="center"/>
    </xf>
    <xf numFmtId="1" fontId="36" fillId="0" borderId="8" xfId="14" applyNumberFormat="1" applyFont="1" applyFill="1" applyBorder="1" applyAlignment="1">
      <alignment horizontal="center" vertical="center"/>
    </xf>
    <xf numFmtId="49" fontId="36" fillId="0" borderId="8" xfId="14" quotePrefix="1" applyNumberFormat="1" applyFont="1" applyFill="1" applyBorder="1" applyAlignment="1">
      <alignment horizontal="center" vertical="center"/>
    </xf>
    <xf numFmtId="173" fontId="36" fillId="0" borderId="8" xfId="14" applyNumberFormat="1" applyFont="1" applyFill="1" applyBorder="1" applyAlignment="1">
      <alignment horizontal="center" vertical="center"/>
    </xf>
    <xf numFmtId="4" fontId="36" fillId="0" borderId="8" xfId="14" applyNumberFormat="1" applyFont="1" applyFill="1" applyBorder="1" applyAlignment="1">
      <alignment vertical="center"/>
    </xf>
    <xf numFmtId="49" fontId="36" fillId="0" borderId="3" xfId="14" quotePrefix="1" applyNumberFormat="1" applyFont="1" applyFill="1" applyBorder="1" applyAlignment="1">
      <alignment horizontal="center" vertical="center"/>
    </xf>
    <xf numFmtId="173" fontId="36" fillId="0" borderId="3" xfId="14" applyNumberFormat="1" applyFont="1" applyFill="1" applyBorder="1" applyAlignment="1">
      <alignment horizontal="center" vertical="center"/>
    </xf>
    <xf numFmtId="4" fontId="36" fillId="0" borderId="3" xfId="14" applyNumberFormat="1" applyFont="1" applyFill="1" applyBorder="1" applyAlignment="1">
      <alignment horizontal="center" vertical="center"/>
    </xf>
    <xf numFmtId="3" fontId="36" fillId="0" borderId="3" xfId="14" applyNumberFormat="1" applyFont="1" applyFill="1" applyBorder="1" applyAlignment="1">
      <alignment horizontal="right" vertical="center"/>
    </xf>
    <xf numFmtId="168" fontId="36" fillId="0" borderId="0" xfId="2" applyFont="1" applyFill="1" applyAlignment="1">
      <alignment horizontal="right" vertical="center"/>
    </xf>
    <xf numFmtId="4" fontId="36" fillId="0" borderId="9" xfId="14" applyNumberFormat="1" applyFont="1" applyFill="1" applyBorder="1" applyAlignment="1">
      <alignment horizontal="center" vertical="center"/>
    </xf>
    <xf numFmtId="3" fontId="36" fillId="0" borderId="9" xfId="14" quotePrefix="1" applyNumberFormat="1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vertical="center" wrapText="1"/>
    </xf>
    <xf numFmtId="0" fontId="36" fillId="0" borderId="8" xfId="0" applyFont="1" applyFill="1" applyBorder="1" applyAlignment="1">
      <alignment vertical="center" wrapText="1"/>
    </xf>
    <xf numFmtId="4" fontId="36" fillId="10" borderId="5" xfId="14" applyNumberFormat="1" applyFont="1" applyFill="1" applyBorder="1" applyAlignment="1">
      <alignment vertical="center"/>
    </xf>
    <xf numFmtId="0" fontId="35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6" fillId="0" borderId="3" xfId="0" quotePrefix="1" applyFont="1" applyFill="1" applyBorder="1" applyAlignment="1">
      <alignment horizontal="center"/>
    </xf>
    <xf numFmtId="0" fontId="36" fillId="11" borderId="3" xfId="0" quotePrefix="1" applyFont="1" applyFill="1" applyBorder="1" applyAlignment="1">
      <alignment horizontal="center"/>
    </xf>
    <xf numFmtId="0" fontId="36" fillId="11" borderId="0" xfId="0" quotePrefix="1" applyFont="1" applyFill="1"/>
    <xf numFmtId="165" fontId="86" fillId="0" borderId="3" xfId="0" applyNumberFormat="1" applyFont="1" applyBorder="1"/>
    <xf numFmtId="169" fontId="36" fillId="11" borderId="3" xfId="2" applyNumberFormat="1" applyFont="1" applyFill="1" applyBorder="1"/>
    <xf numFmtId="169" fontId="36" fillId="11" borderId="0" xfId="0" applyNumberFormat="1" applyFont="1" applyFill="1"/>
    <xf numFmtId="165" fontId="86" fillId="8" borderId="3" xfId="0" applyNumberFormat="1" applyFont="1" applyFill="1" applyBorder="1"/>
    <xf numFmtId="0" fontId="36" fillId="0" borderId="0" xfId="0" quotePrefix="1" applyFont="1" applyFill="1"/>
    <xf numFmtId="165" fontId="36" fillId="0" borderId="3" xfId="0" quotePrefix="1" applyNumberFormat="1" applyFont="1" applyFill="1" applyBorder="1" applyAlignment="1">
      <alignment horizontal="center"/>
    </xf>
    <xf numFmtId="0" fontId="36" fillId="11" borderId="3" xfId="0" applyFont="1" applyFill="1" applyBorder="1" applyAlignment="1">
      <alignment horizontal="center"/>
    </xf>
    <xf numFmtId="2" fontId="36" fillId="11" borderId="3" xfId="0" applyNumberFormat="1" applyFont="1" applyFill="1" applyBorder="1" applyAlignment="1">
      <alignment horizontal="center"/>
    </xf>
    <xf numFmtId="168" fontId="36" fillId="11" borderId="3" xfId="2" applyFont="1" applyFill="1" applyBorder="1"/>
    <xf numFmtId="165" fontId="36" fillId="11" borderId="3" xfId="0" quotePrefix="1" applyNumberFormat="1" applyFont="1" applyFill="1" applyBorder="1" applyAlignment="1">
      <alignment horizontal="center"/>
    </xf>
    <xf numFmtId="0" fontId="49" fillId="0" borderId="0" xfId="13" applyNumberFormat="1" applyFont="1" applyFill="1" applyBorder="1" applyAlignment="1">
      <alignment horizontal="center"/>
    </xf>
    <xf numFmtId="0" fontId="49" fillId="0" borderId="0" xfId="13" applyNumberFormat="1" applyFont="1" applyFill="1" applyBorder="1" applyAlignment="1">
      <alignment horizontal="center" wrapText="1"/>
    </xf>
    <xf numFmtId="171" fontId="49" fillId="0" borderId="0" xfId="2" applyNumberFormat="1" applyFont="1" applyFill="1" applyBorder="1" applyAlignment="1">
      <alignment horizontal="center"/>
    </xf>
    <xf numFmtId="3" fontId="49" fillId="0" borderId="0" xfId="2" applyNumberFormat="1" applyFont="1" applyFill="1" applyBorder="1" applyAlignment="1">
      <alignment horizontal="centerContinuous" vertical="center"/>
    </xf>
    <xf numFmtId="3" fontId="40" fillId="0" borderId="0" xfId="2" applyNumberFormat="1" applyFont="1" applyFill="1" applyBorder="1" applyAlignment="1">
      <alignment horizontal="centerContinuous" vertical="center"/>
    </xf>
    <xf numFmtId="171" fontId="40" fillId="0" borderId="0" xfId="2" applyNumberFormat="1" applyFont="1" applyFill="1" applyBorder="1" applyAlignment="1">
      <alignment horizontal="centerContinuous" vertical="center"/>
    </xf>
    <xf numFmtId="3" fontId="40" fillId="0" borderId="0" xfId="2" applyNumberFormat="1" applyFont="1" applyFill="1" applyBorder="1" applyAlignment="1">
      <alignment horizontal="center" vertical="center"/>
    </xf>
    <xf numFmtId="2" fontId="49" fillId="0" borderId="0" xfId="13" applyNumberFormat="1" applyFont="1" applyFill="1" applyBorder="1" applyAlignment="1">
      <alignment horizontal="center"/>
    </xf>
    <xf numFmtId="0" fontId="86" fillId="0" borderId="0" xfId="14" applyFont="1" applyFill="1" applyAlignment="1">
      <alignment horizontal="right" vertical="center"/>
    </xf>
    <xf numFmtId="0" fontId="85" fillId="11" borderId="0" xfId="14" applyFont="1" applyFill="1" applyAlignment="1">
      <alignment vertical="center"/>
    </xf>
    <xf numFmtId="170" fontId="89" fillId="0" borderId="42" xfId="3" applyNumberFormat="1" applyFont="1" applyBorder="1" applyAlignment="1">
      <alignment horizontal="center"/>
    </xf>
    <xf numFmtId="170" fontId="89" fillId="0" borderId="43" xfId="3" applyNumberFormat="1" applyFont="1" applyBorder="1" applyAlignment="1">
      <alignment horizontal="center"/>
    </xf>
    <xf numFmtId="170" fontId="89" fillId="0" borderId="44" xfId="3" applyNumberFormat="1" applyFont="1" applyBorder="1" applyAlignment="1">
      <alignment horizontal="center"/>
    </xf>
    <xf numFmtId="170" fontId="89" fillId="0" borderId="46" xfId="3" applyNumberFormat="1" applyFont="1" applyBorder="1" applyAlignment="1">
      <alignment horizontal="center"/>
    </xf>
    <xf numFmtId="170" fontId="89" fillId="0" borderId="45" xfId="3" applyNumberFormat="1" applyFont="1" applyBorder="1" applyAlignment="1">
      <alignment horizontal="center"/>
    </xf>
    <xf numFmtId="0" fontId="49" fillId="0" borderId="3" xfId="0" quotePrefix="1" applyFont="1" applyFill="1" applyBorder="1" applyAlignment="1" applyProtection="1">
      <alignment horizontal="center"/>
      <protection hidden="1"/>
    </xf>
    <xf numFmtId="171" fontId="49" fillId="0" borderId="3" xfId="2" quotePrefix="1" applyNumberFormat="1" applyFont="1" applyFill="1" applyBorder="1" applyAlignment="1" applyProtection="1">
      <alignment horizontal="center"/>
    </xf>
    <xf numFmtId="0" fontId="40" fillId="0" borderId="3" xfId="0" applyFont="1" applyFill="1" applyBorder="1" applyAlignment="1" applyProtection="1">
      <alignment horizontal="left" vertical="justify"/>
      <protection hidden="1"/>
    </xf>
    <xf numFmtId="175" fontId="49" fillId="0" borderId="3" xfId="0" applyNumberFormat="1" applyFont="1" applyFill="1" applyBorder="1" applyProtection="1">
      <protection hidden="1"/>
    </xf>
    <xf numFmtId="171" fontId="49" fillId="0" borderId="3" xfId="2" applyNumberFormat="1" applyFont="1" applyFill="1" applyBorder="1" applyProtection="1"/>
    <xf numFmtId="0" fontId="49" fillId="0" borderId="3" xfId="0" applyFont="1" applyFill="1" applyBorder="1" applyAlignment="1" applyProtection="1">
      <alignment horizontal="right"/>
      <protection hidden="1"/>
    </xf>
    <xf numFmtId="0" fontId="49" fillId="0" borderId="3" xfId="0" applyFont="1" applyFill="1" applyBorder="1" applyProtection="1">
      <protection hidden="1"/>
    </xf>
    <xf numFmtId="169" fontId="40" fillId="0" borderId="3" xfId="2" applyNumberFormat="1" applyFont="1" applyFill="1" applyBorder="1" applyProtection="1"/>
    <xf numFmtId="164" fontId="49" fillId="0" borderId="3" xfId="0" applyNumberFormat="1" applyFont="1" applyFill="1" applyBorder="1" applyAlignment="1">
      <alignment horizontal="right" vertical="center"/>
    </xf>
    <xf numFmtId="164" fontId="49" fillId="0" borderId="3" xfId="0" applyNumberFormat="1" applyFont="1" applyFill="1" applyBorder="1" applyAlignment="1">
      <alignment vertical="center"/>
    </xf>
    <xf numFmtId="164" fontId="49" fillId="0" borderId="5" xfId="0" applyNumberFormat="1" applyFont="1" applyFill="1" applyBorder="1" applyAlignment="1">
      <alignment horizontal="right" vertical="center"/>
    </xf>
    <xf numFmtId="164" fontId="49" fillId="0" borderId="5" xfId="0" applyNumberFormat="1" applyFont="1" applyFill="1" applyBorder="1" applyAlignment="1">
      <alignment vertical="center"/>
    </xf>
    <xf numFmtId="0" fontId="49" fillId="0" borderId="5" xfId="0" applyNumberFormat="1" applyFont="1" applyFill="1" applyBorder="1" applyAlignment="1">
      <alignment horizontal="left" vertical="justify" wrapText="1"/>
    </xf>
    <xf numFmtId="0" fontId="49" fillId="0" borderId="9" xfId="0" applyFont="1" applyFill="1" applyBorder="1" applyAlignment="1" applyProtection="1">
      <alignment horizontal="center"/>
      <protection hidden="1"/>
    </xf>
    <xf numFmtId="0" fontId="49" fillId="0" borderId="9" xfId="0" applyFont="1" applyFill="1" applyBorder="1" applyAlignment="1" applyProtection="1">
      <alignment horizontal="left" vertical="justify"/>
      <protection hidden="1"/>
    </xf>
    <xf numFmtId="171" fontId="49" fillId="0" borderId="9" xfId="2" applyNumberFormat="1" applyFont="1" applyFill="1" applyBorder="1" applyProtection="1"/>
    <xf numFmtId="164" fontId="49" fillId="0" borderId="9" xfId="0" applyNumberFormat="1" applyFont="1" applyFill="1" applyBorder="1" applyAlignment="1">
      <alignment horizontal="right" vertical="center"/>
    </xf>
    <xf numFmtId="164" fontId="49" fillId="0" borderId="9" xfId="0" applyNumberFormat="1" applyFont="1" applyFill="1" applyBorder="1" applyAlignment="1">
      <alignment vertical="center"/>
    </xf>
    <xf numFmtId="0" fontId="49" fillId="0" borderId="8" xfId="0" applyFont="1" applyFill="1" applyBorder="1" applyAlignment="1" applyProtection="1">
      <alignment horizontal="center"/>
      <protection hidden="1"/>
    </xf>
    <xf numFmtId="0" fontId="49" fillId="0" borderId="8" xfId="0" applyFont="1" applyFill="1" applyBorder="1" applyAlignment="1" applyProtection="1">
      <alignment horizontal="left" vertical="justify"/>
      <protection hidden="1"/>
    </xf>
    <xf numFmtId="171" fontId="49" fillId="0" borderId="8" xfId="2" applyNumberFormat="1" applyFont="1" applyFill="1" applyBorder="1" applyProtection="1"/>
    <xf numFmtId="164" fontId="49" fillId="0" borderId="8" xfId="0" applyNumberFormat="1" applyFont="1" applyFill="1" applyBorder="1" applyAlignment="1">
      <alignment horizontal="right" vertical="center"/>
    </xf>
    <xf numFmtId="164" fontId="49" fillId="0" borderId="23" xfId="0" applyNumberFormat="1" applyFont="1" applyFill="1" applyBorder="1" applyAlignment="1">
      <alignment vertical="center"/>
    </xf>
    <xf numFmtId="164" fontId="49" fillId="0" borderId="8" xfId="0" applyNumberFormat="1" applyFont="1" applyFill="1" applyBorder="1" applyAlignment="1">
      <alignment vertical="center"/>
    </xf>
    <xf numFmtId="0" fontId="49" fillId="0" borderId="22" xfId="0" applyFont="1" applyFill="1" applyBorder="1" applyAlignment="1" applyProtection="1">
      <alignment horizontal="center"/>
      <protection hidden="1"/>
    </xf>
    <xf numFmtId="169" fontId="49" fillId="0" borderId="9" xfId="2" applyNumberFormat="1" applyFont="1" applyFill="1" applyBorder="1" applyProtection="1"/>
    <xf numFmtId="41" fontId="49" fillId="0" borderId="9" xfId="0" applyNumberFormat="1" applyFont="1" applyFill="1" applyBorder="1" applyAlignment="1">
      <alignment horizontal="right" vertical="center"/>
    </xf>
    <xf numFmtId="164" fontId="49" fillId="0" borderId="22" xfId="0" applyNumberFormat="1" applyFont="1" applyFill="1" applyBorder="1" applyAlignment="1">
      <alignment horizontal="right" vertical="center"/>
    </xf>
    <xf numFmtId="0" fontId="49" fillId="0" borderId="5" xfId="0" applyFont="1" applyFill="1" applyBorder="1" applyAlignment="1" applyProtection="1">
      <alignment horizontal="center"/>
      <protection hidden="1"/>
    </xf>
    <xf numFmtId="0" fontId="49" fillId="0" borderId="5" xfId="0" applyFont="1" applyFill="1" applyBorder="1" applyAlignment="1" applyProtection="1">
      <alignment horizontal="left" vertical="justify"/>
      <protection hidden="1"/>
    </xf>
    <xf numFmtId="169" fontId="49" fillId="0" borderId="5" xfId="2" applyNumberFormat="1" applyFont="1" applyFill="1" applyBorder="1" applyProtection="1"/>
    <xf numFmtId="171" fontId="49" fillId="0" borderId="5" xfId="2" applyNumberFormat="1" applyFont="1" applyFill="1" applyBorder="1" applyProtection="1"/>
    <xf numFmtId="0" fontId="49" fillId="0" borderId="11" xfId="0" applyFont="1" applyFill="1" applyBorder="1" applyAlignment="1" applyProtection="1">
      <alignment horizontal="center"/>
      <protection hidden="1"/>
    </xf>
    <xf numFmtId="0" fontId="49" fillId="0" borderId="11" xfId="0" applyFont="1" applyFill="1" applyBorder="1" applyAlignment="1" applyProtection="1">
      <alignment horizontal="left" vertical="justify"/>
      <protection hidden="1"/>
    </xf>
    <xf numFmtId="169" fontId="49" fillId="0" borderId="11" xfId="2" applyNumberFormat="1" applyFont="1" applyFill="1" applyBorder="1" applyProtection="1"/>
    <xf numFmtId="171" fontId="49" fillId="0" borderId="11" xfId="2" applyNumberFormat="1" applyFont="1" applyFill="1" applyBorder="1" applyProtection="1"/>
    <xf numFmtId="164" fontId="49" fillId="0" borderId="11" xfId="0" applyNumberFormat="1" applyFont="1" applyFill="1" applyBorder="1" applyAlignment="1">
      <alignment horizontal="right" vertical="center"/>
    </xf>
    <xf numFmtId="164" fontId="49" fillId="0" borderId="11" xfId="0" applyNumberFormat="1" applyFont="1" applyFill="1" applyBorder="1" applyAlignment="1">
      <alignment vertical="center"/>
    </xf>
    <xf numFmtId="164" fontId="40" fillId="0" borderId="3" xfId="0" applyNumberFormat="1" applyFont="1" applyFill="1" applyBorder="1" applyAlignment="1">
      <alignment vertical="center"/>
    </xf>
    <xf numFmtId="171" fontId="49" fillId="0" borderId="9" xfId="2" applyNumberFormat="1" applyFont="1" applyFill="1" applyBorder="1" applyAlignment="1">
      <alignment vertical="center"/>
    </xf>
    <xf numFmtId="3" fontId="49" fillId="0" borderId="9" xfId="15" quotePrefix="1" applyNumberFormat="1" applyFont="1" applyFill="1" applyBorder="1" applyAlignment="1">
      <alignment horizontal="center" vertical="center"/>
    </xf>
    <xf numFmtId="0" fontId="49" fillId="0" borderId="9" xfId="0" applyNumberFormat="1" applyFont="1" applyFill="1" applyBorder="1" applyAlignment="1" applyProtection="1">
      <alignment horizontal="left" vertical="justify" wrapText="1"/>
      <protection hidden="1"/>
    </xf>
    <xf numFmtId="0" fontId="49" fillId="0" borderId="9" xfId="0" applyNumberFormat="1" applyFont="1" applyFill="1" applyBorder="1" applyAlignment="1" applyProtection="1">
      <alignment horizontal="center" vertical="center"/>
      <protection hidden="1"/>
    </xf>
    <xf numFmtId="169" fontId="49" fillId="0" borderId="9" xfId="2" applyNumberFormat="1" applyFont="1" applyFill="1" applyBorder="1" applyAlignment="1">
      <alignment vertical="center"/>
    </xf>
    <xf numFmtId="0" fontId="49" fillId="0" borderId="5" xfId="0" applyNumberFormat="1" applyFont="1" applyFill="1" applyBorder="1" applyAlignment="1" applyProtection="1">
      <alignment horizontal="left" vertical="justify" wrapText="1"/>
      <protection hidden="1"/>
    </xf>
    <xf numFmtId="3" fontId="49" fillId="0" borderId="9" xfId="0" applyNumberFormat="1" applyFont="1" applyFill="1" applyBorder="1" applyAlignment="1" applyProtection="1">
      <alignment horizontal="center"/>
      <protection hidden="1"/>
    </xf>
    <xf numFmtId="3" fontId="49" fillId="0" borderId="5" xfId="0" applyNumberFormat="1" applyFont="1" applyFill="1" applyBorder="1" applyAlignment="1" applyProtection="1">
      <alignment horizontal="center"/>
      <protection hidden="1"/>
    </xf>
    <xf numFmtId="169" fontId="49" fillId="0" borderId="23" xfId="2" applyNumberFormat="1" applyFont="1" applyFill="1" applyBorder="1" applyProtection="1"/>
    <xf numFmtId="164" fontId="49" fillId="0" borderId="23" xfId="0" applyNumberFormat="1" applyFont="1" applyFill="1" applyBorder="1" applyAlignment="1">
      <alignment horizontal="right" vertical="center"/>
    </xf>
    <xf numFmtId="3" fontId="49" fillId="0" borderId="8" xfId="0" applyNumberFormat="1" applyFont="1" applyFill="1" applyBorder="1" applyAlignment="1" applyProtection="1">
      <alignment horizontal="center"/>
      <protection hidden="1"/>
    </xf>
    <xf numFmtId="169" fontId="49" fillId="0" borderId="8" xfId="2" applyNumberFormat="1" applyFont="1" applyFill="1" applyBorder="1" applyProtection="1"/>
    <xf numFmtId="177" fontId="49" fillId="0" borderId="10" xfId="0" applyNumberFormat="1" applyFont="1" applyFill="1" applyBorder="1" applyAlignment="1" applyProtection="1">
      <alignment horizontal="center" vertical="center"/>
      <protection hidden="1"/>
    </xf>
    <xf numFmtId="0" fontId="49" fillId="0" borderId="9" xfId="0" applyFont="1" applyFill="1" applyBorder="1" applyAlignment="1" applyProtection="1">
      <alignment horizontal="left" vertical="top"/>
      <protection hidden="1"/>
    </xf>
    <xf numFmtId="179" fontId="40" fillId="0" borderId="29" xfId="0" applyNumberFormat="1" applyFont="1" applyFill="1" applyBorder="1" applyAlignment="1" applyProtection="1">
      <alignment horizontal="right"/>
      <protection hidden="1"/>
    </xf>
    <xf numFmtId="0" fontId="49" fillId="0" borderId="23" xfId="0" applyFont="1" applyFill="1" applyBorder="1" applyAlignment="1" applyProtection="1">
      <alignment horizontal="left" vertical="top"/>
      <protection hidden="1"/>
    </xf>
    <xf numFmtId="0" fontId="49" fillId="0" borderId="23" xfId="0" applyFont="1" applyFill="1" applyBorder="1" applyAlignment="1" applyProtection="1">
      <alignment horizontal="center"/>
      <protection hidden="1"/>
    </xf>
    <xf numFmtId="0" fontId="49" fillId="0" borderId="9" xfId="0" applyNumberFormat="1" applyFont="1" applyFill="1" applyBorder="1" applyAlignment="1" applyProtection="1">
      <alignment horizontal="left" vertical="justify"/>
      <protection hidden="1"/>
    </xf>
    <xf numFmtId="169" fontId="49" fillId="0" borderId="3" xfId="2" applyNumberFormat="1" applyFont="1" applyFill="1" applyBorder="1" applyProtection="1"/>
    <xf numFmtId="0" fontId="49" fillId="0" borderId="8" xfId="0" applyNumberFormat="1" applyFont="1" applyFill="1" applyBorder="1" applyAlignment="1">
      <alignment horizontal="left" vertical="justify" wrapText="1"/>
    </xf>
    <xf numFmtId="171" fontId="40" fillId="0" borderId="3" xfId="2" applyNumberFormat="1" applyFont="1" applyFill="1" applyBorder="1" applyAlignment="1" applyProtection="1">
      <alignment horizontal="right"/>
    </xf>
    <xf numFmtId="179" fontId="49" fillId="0" borderId="5" xfId="0" applyNumberFormat="1" applyFont="1" applyFill="1" applyBorder="1" applyAlignment="1" applyProtection="1">
      <alignment horizontal="right"/>
      <protection hidden="1"/>
    </xf>
    <xf numFmtId="169" fontId="49" fillId="0" borderId="5" xfId="2" applyNumberFormat="1" applyFont="1" applyFill="1" applyBorder="1" applyAlignment="1" applyProtection="1">
      <protection hidden="1"/>
    </xf>
    <xf numFmtId="0" fontId="49" fillId="0" borderId="5" xfId="0" applyFont="1" applyFill="1" applyBorder="1" applyAlignment="1" applyProtection="1">
      <alignment horizontal="center" vertical="center"/>
      <protection hidden="1"/>
    </xf>
    <xf numFmtId="171" fontId="49" fillId="0" borderId="5" xfId="2" applyNumberFormat="1" applyFont="1" applyFill="1" applyBorder="1" applyAlignment="1" applyProtection="1">
      <alignment vertical="center"/>
    </xf>
    <xf numFmtId="0" fontId="49" fillId="0" borderId="5" xfId="0" applyNumberFormat="1" applyFont="1" applyFill="1" applyBorder="1" applyAlignment="1" applyProtection="1">
      <alignment horizontal="left" vertical="justify"/>
      <protection hidden="1"/>
    </xf>
    <xf numFmtId="0" fontId="40" fillId="0" borderId="3" xfId="0" applyFont="1" applyFill="1" applyBorder="1" applyProtection="1">
      <protection hidden="1"/>
    </xf>
    <xf numFmtId="0" fontId="40" fillId="0" borderId="3" xfId="0" applyFont="1" applyFill="1" applyBorder="1" applyAlignment="1" applyProtection="1">
      <alignment horizontal="left"/>
      <protection hidden="1"/>
    </xf>
    <xf numFmtId="0" fontId="40" fillId="0" borderId="3" xfId="0" applyFont="1" applyFill="1" applyBorder="1" applyAlignment="1" applyProtection="1">
      <protection hidden="1"/>
    </xf>
    <xf numFmtId="169" fontId="40" fillId="10" borderId="3" xfId="2" applyNumberFormat="1" applyFont="1" applyFill="1" applyBorder="1" applyProtection="1"/>
    <xf numFmtId="169" fontId="40" fillId="10" borderId="3" xfId="2" quotePrefix="1" applyNumberFormat="1" applyFont="1" applyFill="1" applyBorder="1" applyProtection="1"/>
    <xf numFmtId="0" fontId="97" fillId="0" borderId="26" xfId="2" applyNumberFormat="1" applyFont="1" applyFill="1" applyBorder="1" applyAlignment="1" applyProtection="1">
      <alignment horizontal="center" vertical="center" textRotation="90" wrapText="1"/>
    </xf>
    <xf numFmtId="0" fontId="97" fillId="0" borderId="3" xfId="13" applyNumberFormat="1" applyFont="1" applyFill="1" applyBorder="1" applyAlignment="1">
      <alignment horizontal="center"/>
    </xf>
    <xf numFmtId="0" fontId="97" fillId="0" borderId="21" xfId="2" applyNumberFormat="1" applyFont="1" applyFill="1" applyBorder="1" applyAlignment="1" applyProtection="1">
      <alignment horizontal="center" vertical="center" textRotation="90" wrapText="1"/>
    </xf>
    <xf numFmtId="0" fontId="97" fillId="0" borderId="21" xfId="13" applyNumberFormat="1" applyFont="1" applyFill="1" applyBorder="1" applyAlignment="1">
      <alignment horizontal="center"/>
    </xf>
    <xf numFmtId="0" fontId="97" fillId="0" borderId="22" xfId="2" applyNumberFormat="1" applyFont="1" applyFill="1" applyBorder="1" applyAlignment="1" applyProtection="1">
      <alignment horizontal="center" vertical="center" textRotation="90" wrapText="1"/>
    </xf>
    <xf numFmtId="0" fontId="97" fillId="0" borderId="22" xfId="13" applyNumberFormat="1" applyFont="1" applyFill="1" applyBorder="1" applyAlignment="1">
      <alignment horizontal="center"/>
    </xf>
    <xf numFmtId="0" fontId="97" fillId="0" borderId="5" xfId="13" applyNumberFormat="1" applyFont="1" applyFill="1" applyBorder="1" applyAlignment="1">
      <alignment horizontal="center"/>
    </xf>
    <xf numFmtId="0" fontId="97" fillId="0" borderId="5" xfId="2" applyNumberFormat="1" applyFont="1" applyFill="1" applyBorder="1" applyAlignment="1" applyProtection="1">
      <alignment horizontal="center" vertical="center" textRotation="90" wrapText="1"/>
    </xf>
    <xf numFmtId="0" fontId="97" fillId="0" borderId="11" xfId="2" applyNumberFormat="1" applyFont="1" applyFill="1" applyBorder="1" applyAlignment="1" applyProtection="1">
      <alignment horizontal="center" vertical="center" textRotation="90" wrapText="1"/>
    </xf>
    <xf numFmtId="0" fontId="97" fillId="0" borderId="11" xfId="13" applyNumberFormat="1" applyFont="1" applyFill="1" applyBorder="1" applyAlignment="1">
      <alignment horizontal="center"/>
    </xf>
    <xf numFmtId="3" fontId="99" fillId="0" borderId="21" xfId="13" applyNumberFormat="1" applyFont="1" applyFill="1" applyBorder="1" applyAlignment="1">
      <alignment horizontal="center" vertical="center"/>
    </xf>
    <xf numFmtId="3" fontId="99" fillId="0" borderId="11" xfId="2" applyNumberFormat="1" applyFont="1" applyFill="1" applyBorder="1" applyAlignment="1">
      <alignment horizontal="center" vertical="center"/>
    </xf>
    <xf numFmtId="0" fontId="99" fillId="0" borderId="0" xfId="13" applyNumberFormat="1" applyFont="1" applyFill="1" applyBorder="1" applyAlignment="1">
      <alignment horizontal="center"/>
    </xf>
    <xf numFmtId="171" fontId="49" fillId="10" borderId="5" xfId="2" applyNumberFormat="1" applyFont="1" applyFill="1" applyBorder="1" applyProtection="1"/>
    <xf numFmtId="169" fontId="49" fillId="10" borderId="5" xfId="2" applyNumberFormat="1" applyFont="1" applyFill="1" applyBorder="1" applyProtection="1"/>
    <xf numFmtId="169" fontId="49" fillId="10" borderId="5" xfId="2" applyNumberFormat="1" applyFont="1" applyFill="1" applyBorder="1" applyAlignment="1">
      <alignment horizontal="right" vertical="center"/>
    </xf>
    <xf numFmtId="0" fontId="40" fillId="0" borderId="0" xfId="0" applyFont="1" applyFill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0" xfId="0" applyFont="1" applyFill="1" applyAlignment="1">
      <alignment horizontal="center" wrapText="1"/>
    </xf>
    <xf numFmtId="2" fontId="52" fillId="0" borderId="0" xfId="14" applyNumberFormat="1" applyFont="1" applyFill="1" applyBorder="1" applyAlignment="1">
      <alignment horizontal="center" vertical="center" wrapText="1"/>
    </xf>
    <xf numFmtId="2" fontId="54" fillId="0" borderId="0" xfId="14" quotePrefix="1" applyNumberFormat="1" applyFont="1" applyFill="1" applyBorder="1" applyAlignment="1">
      <alignment horizontal="center" vertical="center" wrapText="1"/>
    </xf>
    <xf numFmtId="3" fontId="36" fillId="0" borderId="0" xfId="14" applyNumberFormat="1" applyFont="1" applyFill="1" applyBorder="1" applyAlignment="1">
      <alignment horizontal="center" vertical="center"/>
    </xf>
    <xf numFmtId="3" fontId="36" fillId="0" borderId="28" xfId="14" applyNumberFormat="1" applyFont="1" applyFill="1" applyBorder="1" applyAlignment="1">
      <alignment horizontal="center" vertical="center"/>
    </xf>
    <xf numFmtId="3" fontId="52" fillId="0" borderId="28" xfId="14" applyNumberFormat="1" applyFont="1" applyFill="1" applyBorder="1" applyAlignment="1">
      <alignment horizontal="center" vertical="center"/>
    </xf>
    <xf numFmtId="173" fontId="36" fillId="0" borderId="0" xfId="14" applyNumberFormat="1" applyFont="1" applyFill="1" applyBorder="1" applyAlignment="1">
      <alignment horizontal="center" vertical="center"/>
    </xf>
    <xf numFmtId="38" fontId="52" fillId="0" borderId="9" xfId="17" applyNumberFormat="1" applyFont="1" applyBorder="1" applyAlignment="1">
      <alignment horizontal="center" vertical="center"/>
    </xf>
    <xf numFmtId="38" fontId="52" fillId="0" borderId="9" xfId="17" applyNumberFormat="1" applyFont="1" applyBorder="1" applyAlignment="1">
      <alignment vertical="center" wrapText="1"/>
    </xf>
    <xf numFmtId="38" fontId="48" fillId="0" borderId="9" xfId="17" applyNumberFormat="1" applyFont="1" applyBorder="1" applyAlignment="1">
      <alignment horizontal="centerContinuous" vertical="center" wrapText="1"/>
    </xf>
    <xf numFmtId="38" fontId="48" fillId="0" borderId="9" xfId="17" applyNumberFormat="1" applyFont="1" applyBorder="1" applyAlignment="1">
      <alignment horizontal="centerContinuous" vertical="center"/>
    </xf>
    <xf numFmtId="3" fontId="54" fillId="0" borderId="9" xfId="17" applyNumberFormat="1" applyFont="1" applyBorder="1" applyAlignment="1">
      <alignment horizontal="right" vertical="center"/>
    </xf>
    <xf numFmtId="38" fontId="52" fillId="0" borderId="9" xfId="17" applyNumberFormat="1" applyFont="1" applyBorder="1" applyAlignment="1">
      <alignment horizontal="center" vertical="center" wrapText="1"/>
    </xf>
    <xf numFmtId="189" fontId="54" fillId="0" borderId="5" xfId="17" applyNumberFormat="1" applyFont="1" applyFill="1" applyBorder="1" applyAlignment="1">
      <alignment horizontal="centerContinuous" vertical="center" wrapText="1"/>
    </xf>
    <xf numFmtId="169" fontId="35" fillId="0" borderId="3" xfId="2" applyNumberFormat="1" applyFont="1" applyFill="1" applyBorder="1" applyAlignment="1">
      <alignment vertical="center"/>
    </xf>
    <xf numFmtId="1" fontId="36" fillId="0" borderId="3" xfId="14" applyNumberFormat="1" applyFont="1" applyFill="1" applyBorder="1" applyAlignment="1">
      <alignment vertical="center"/>
    </xf>
    <xf numFmtId="38" fontId="55" fillId="0" borderId="0" xfId="0" applyNumberFormat="1" applyFont="1" applyAlignment="1">
      <alignment vertical="center"/>
    </xf>
    <xf numFmtId="3" fontId="36" fillId="10" borderId="5" xfId="14" quotePrefix="1" applyNumberFormat="1" applyFont="1" applyFill="1" applyBorder="1" applyAlignment="1">
      <alignment horizontal="center" vertical="center" wrapText="1"/>
    </xf>
    <xf numFmtId="3" fontId="36" fillId="10" borderId="5" xfId="14" applyNumberFormat="1" applyFont="1" applyFill="1" applyBorder="1" applyAlignment="1">
      <alignment horizontal="right" vertical="center"/>
    </xf>
    <xf numFmtId="0" fontId="28" fillId="10" borderId="0" xfId="14" applyFont="1" applyFill="1" applyAlignment="1">
      <alignment vertical="center"/>
    </xf>
    <xf numFmtId="0" fontId="36" fillId="10" borderId="5" xfId="0" applyFont="1" applyFill="1" applyBorder="1" applyAlignment="1">
      <alignment vertical="center"/>
    </xf>
    <xf numFmtId="0" fontId="36" fillId="10" borderId="5" xfId="14" applyFont="1" applyFill="1" applyBorder="1" applyAlignment="1">
      <alignment horizontal="center" vertical="center"/>
    </xf>
    <xf numFmtId="1" fontId="36" fillId="10" borderId="5" xfId="14" applyNumberFormat="1" applyFont="1" applyFill="1" applyBorder="1" applyAlignment="1">
      <alignment horizontal="center" vertical="center"/>
    </xf>
    <xf numFmtId="0" fontId="36" fillId="10" borderId="5" xfId="0" applyFont="1" applyFill="1" applyBorder="1" applyAlignment="1">
      <alignment horizontal="center" vertical="center"/>
    </xf>
    <xf numFmtId="49" fontId="36" fillId="10" borderId="5" xfId="14" quotePrefix="1" applyNumberFormat="1" applyFont="1" applyFill="1" applyBorder="1" applyAlignment="1">
      <alignment horizontal="center" vertical="center"/>
    </xf>
    <xf numFmtId="4" fontId="36" fillId="10" borderId="5" xfId="14" applyNumberFormat="1" applyFont="1" applyFill="1" applyBorder="1" applyAlignment="1">
      <alignment horizontal="center" vertical="center"/>
    </xf>
    <xf numFmtId="170" fontId="36" fillId="10" borderId="5" xfId="14" applyNumberFormat="1" applyFont="1" applyFill="1" applyBorder="1" applyAlignment="1">
      <alignment horizontal="center" vertical="center"/>
    </xf>
    <xf numFmtId="183" fontId="36" fillId="10" borderId="0" xfId="14" applyNumberFormat="1" applyFont="1" applyFill="1" applyAlignment="1">
      <alignment vertical="center"/>
    </xf>
    <xf numFmtId="0" fontId="36" fillId="10" borderId="0" xfId="14" applyFont="1" applyFill="1" applyAlignment="1">
      <alignment horizontal="right" vertical="center"/>
    </xf>
    <xf numFmtId="187" fontId="36" fillId="10" borderId="0" xfId="14" applyNumberFormat="1" applyFont="1" applyFill="1" applyAlignment="1">
      <alignment vertical="center"/>
    </xf>
    <xf numFmtId="0" fontId="47" fillId="10" borderId="0" xfId="14" applyFont="1" applyFill="1" applyAlignment="1">
      <alignment vertical="center"/>
    </xf>
    <xf numFmtId="0" fontId="97" fillId="0" borderId="0" xfId="13" applyNumberFormat="1" applyFont="1" applyFill="1" applyBorder="1" applyAlignment="1">
      <alignment horizontal="center"/>
    </xf>
    <xf numFmtId="0" fontId="97" fillId="0" borderId="0" xfId="13" applyNumberFormat="1" applyFont="1" applyFill="1" applyBorder="1" applyAlignment="1">
      <alignment horizontal="center" wrapText="1"/>
    </xf>
    <xf numFmtId="171" fontId="97" fillId="0" borderId="0" xfId="2" applyNumberFormat="1" applyFont="1" applyFill="1" applyBorder="1" applyAlignment="1">
      <alignment horizontal="center"/>
    </xf>
    <xf numFmtId="170" fontId="97" fillId="0" borderId="0" xfId="13" applyNumberFormat="1" applyFont="1" applyFill="1" applyBorder="1" applyAlignment="1">
      <alignment horizontal="center"/>
    </xf>
    <xf numFmtId="169" fontId="86" fillId="0" borderId="0" xfId="2" applyNumberFormat="1" applyFont="1" applyAlignment="1">
      <alignment vertical="center"/>
    </xf>
    <xf numFmtId="169" fontId="52" fillId="0" borderId="0" xfId="2" applyNumberFormat="1" applyFont="1" applyFill="1" applyBorder="1" applyAlignment="1">
      <alignment vertical="center"/>
    </xf>
    <xf numFmtId="38" fontId="56" fillId="0" borderId="0" xfId="0" applyNumberFormat="1" applyFont="1" applyBorder="1" applyAlignment="1">
      <alignment vertical="center"/>
    </xf>
    <xf numFmtId="1" fontId="35" fillId="0" borderId="3" xfId="14" applyNumberFormat="1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49" fillId="0" borderId="5" xfId="2" applyNumberFormat="1" applyFont="1" applyFill="1" applyBorder="1" applyProtection="1"/>
    <xf numFmtId="0" fontId="49" fillId="0" borderId="8" xfId="2" applyNumberFormat="1" applyFont="1" applyFill="1" applyBorder="1" applyProtection="1"/>
    <xf numFmtId="3" fontId="36" fillId="0" borderId="5" xfId="14" quotePrefix="1" applyNumberFormat="1" applyFont="1" applyFill="1" applyBorder="1" applyAlignment="1">
      <alignment horizontal="center" vertical="center" wrapText="1"/>
    </xf>
    <xf numFmtId="3" fontId="36" fillId="0" borderId="5" xfId="0" applyNumberFormat="1" applyFont="1" applyFill="1" applyBorder="1" applyAlignment="1">
      <alignment horizontal="center" wrapText="1"/>
    </xf>
    <xf numFmtId="0" fontId="36" fillId="0" borderId="5" xfId="14" applyFont="1" applyFill="1" applyBorder="1" applyAlignment="1">
      <alignment horizontal="center" vertical="center" wrapText="1"/>
    </xf>
    <xf numFmtId="0" fontId="36" fillId="10" borderId="5" xfId="0" applyFont="1" applyFill="1" applyBorder="1" applyAlignment="1">
      <alignment vertical="center" wrapText="1"/>
    </xf>
    <xf numFmtId="169" fontId="49" fillId="0" borderId="22" xfId="2" applyNumberFormat="1" applyFont="1" applyFill="1" applyBorder="1" applyProtection="1"/>
    <xf numFmtId="171" fontId="0" fillId="0" borderId="0" xfId="2" applyNumberFormat="1" applyFont="1" applyFill="1" applyProtection="1"/>
    <xf numFmtId="171" fontId="49" fillId="0" borderId="9" xfId="2" applyNumberFormat="1" applyFont="1" applyFill="1" applyBorder="1" applyAlignment="1">
      <alignment horizontal="right" vertical="center"/>
    </xf>
    <xf numFmtId="0" fontId="35" fillId="0" borderId="5" xfId="14" applyFont="1" applyFill="1" applyBorder="1" applyAlignment="1">
      <alignment horizontal="center" vertical="center"/>
    </xf>
    <xf numFmtId="164" fontId="84" fillId="0" borderId="5" xfId="14" applyNumberFormat="1" applyFont="1" applyFill="1" applyBorder="1" applyAlignment="1">
      <alignment horizontal="left" vertical="center"/>
    </xf>
    <xf numFmtId="3" fontId="35" fillId="0" borderId="5" xfId="14" applyNumberFormat="1" applyFont="1" applyFill="1" applyBorder="1" applyAlignment="1">
      <alignment horizontal="center" vertical="center"/>
    </xf>
    <xf numFmtId="3" fontId="35" fillId="0" borderId="0" xfId="14" applyNumberFormat="1" applyFont="1" applyFill="1" applyBorder="1" applyAlignment="1">
      <alignment horizontal="center" vertical="center"/>
    </xf>
    <xf numFmtId="0" fontId="35" fillId="0" borderId="3" xfId="0" quotePrefix="1" applyFont="1" applyFill="1" applyBorder="1" applyAlignment="1">
      <alignment horizontal="center" vertical="center" wrapText="1"/>
    </xf>
    <xf numFmtId="1" fontId="35" fillId="0" borderId="3" xfId="14" applyNumberFormat="1" applyFont="1" applyFill="1" applyBorder="1" applyAlignment="1">
      <alignment horizontal="center" vertical="center"/>
    </xf>
    <xf numFmtId="0" fontId="36" fillId="0" borderId="0" xfId="2" applyNumberFormat="1" applyFont="1" applyFill="1" applyBorder="1" applyAlignment="1" applyProtection="1">
      <alignment horizontal="left" vertical="center"/>
    </xf>
    <xf numFmtId="0" fontId="40" fillId="0" borderId="3" xfId="0" quotePrefix="1" applyFont="1" applyFill="1" applyBorder="1" applyAlignment="1" applyProtection="1">
      <alignment horizontal="center"/>
      <protection hidden="1"/>
    </xf>
    <xf numFmtId="164" fontId="40" fillId="0" borderId="3" xfId="0" applyNumberFormat="1" applyFont="1" applyFill="1" applyBorder="1" applyAlignment="1">
      <alignment horizontal="right" vertical="center"/>
    </xf>
    <xf numFmtId="164" fontId="35" fillId="0" borderId="0" xfId="0" applyNumberFormat="1" applyFont="1" applyFill="1" applyBorder="1" applyAlignment="1">
      <alignment vertical="center"/>
    </xf>
    <xf numFmtId="3" fontId="40" fillId="0" borderId="3" xfId="0" applyNumberFormat="1" applyFont="1" applyFill="1" applyBorder="1" applyAlignment="1" applyProtection="1">
      <alignment horizontal="center"/>
      <protection hidden="1"/>
    </xf>
    <xf numFmtId="169" fontId="40" fillId="0" borderId="3" xfId="2" quotePrefix="1" applyNumberFormat="1" applyFont="1" applyFill="1" applyBorder="1" applyProtection="1"/>
    <xf numFmtId="0" fontId="49" fillId="0" borderId="23" xfId="0" applyFont="1" applyFill="1" applyBorder="1" applyAlignment="1" applyProtection="1">
      <alignment horizontal="left" vertical="justify"/>
      <protection hidden="1"/>
    </xf>
    <xf numFmtId="171" fontId="49" fillId="0" borderId="23" xfId="2" applyNumberFormat="1" applyFont="1" applyFill="1" applyBorder="1" applyAlignment="1" applyProtection="1">
      <alignment horizontal="right"/>
    </xf>
    <xf numFmtId="3" fontId="49" fillId="0" borderId="5" xfId="0" quotePrefix="1" applyNumberFormat="1" applyFont="1" applyFill="1" applyBorder="1" applyAlignment="1" applyProtection="1">
      <alignment horizontal="center"/>
    </xf>
    <xf numFmtId="0" fontId="49" fillId="0" borderId="5" xfId="0" applyNumberFormat="1" applyFont="1" applyFill="1" applyBorder="1" applyAlignment="1" applyProtection="1">
      <alignment horizontal="left" vertical="justify"/>
    </xf>
    <xf numFmtId="169" fontId="49" fillId="0" borderId="5" xfId="2" applyNumberFormat="1" applyFont="1" applyFill="1" applyBorder="1" applyAlignment="1" applyProtection="1"/>
    <xf numFmtId="0" fontId="35" fillId="0" borderId="0" xfId="0" applyFont="1" applyFill="1" applyAlignment="1">
      <alignment vertical="center"/>
    </xf>
    <xf numFmtId="0" fontId="49" fillId="0" borderId="5" xfId="0" applyNumberFormat="1" applyFont="1" applyFill="1" applyBorder="1" applyAlignment="1" applyProtection="1">
      <alignment horizontal="center"/>
    </xf>
    <xf numFmtId="3" fontId="49" fillId="0" borderId="5" xfId="15" quotePrefix="1" applyNumberFormat="1" applyFont="1" applyFill="1" applyBorder="1" applyAlignment="1">
      <alignment horizontal="center" vertical="center"/>
    </xf>
    <xf numFmtId="0" fontId="49" fillId="0" borderId="5" xfId="15" applyFont="1" applyFill="1" applyBorder="1" applyAlignment="1">
      <alignment horizontal="left" vertical="justify" wrapText="1"/>
    </xf>
    <xf numFmtId="169" fontId="49" fillId="0" borderId="5" xfId="2" applyNumberFormat="1" applyFont="1" applyFill="1" applyBorder="1" applyAlignment="1">
      <alignment horizontal="right" vertical="center"/>
    </xf>
    <xf numFmtId="171" fontId="49" fillId="0" borderId="5" xfId="2" applyNumberFormat="1" applyFont="1" applyFill="1" applyBorder="1" applyAlignment="1">
      <alignment horizontal="right" vertical="center"/>
    </xf>
    <xf numFmtId="171" fontId="49" fillId="0" borderId="5" xfId="2" applyNumberFormat="1" applyFont="1" applyFill="1" applyBorder="1" applyAlignment="1">
      <alignment vertical="center"/>
    </xf>
    <xf numFmtId="0" fontId="36" fillId="0" borderId="0" xfId="0" applyFont="1" applyFill="1" applyBorder="1" applyAlignment="1">
      <alignment horizontal="center" vertical="center"/>
    </xf>
    <xf numFmtId="169" fontId="49" fillId="10" borderId="9" xfId="2" applyNumberFormat="1" applyFont="1" applyFill="1" applyBorder="1" applyProtection="1"/>
    <xf numFmtId="174" fontId="49" fillId="10" borderId="5" xfId="2" applyNumberFormat="1" applyFont="1" applyFill="1" applyBorder="1" applyProtection="1"/>
    <xf numFmtId="3" fontId="36" fillId="0" borderId="8" xfId="14" applyNumberFormat="1" applyFont="1" applyFill="1" applyBorder="1" applyAlignment="1">
      <alignment horizontal="right" vertical="center"/>
    </xf>
    <xf numFmtId="171" fontId="36" fillId="0" borderId="0" xfId="2" applyNumberFormat="1" applyFont="1" applyFill="1" applyAlignment="1">
      <alignment horizontal="right" vertical="center"/>
    </xf>
    <xf numFmtId="165" fontId="36" fillId="0" borderId="0" xfId="14" applyNumberFormat="1" applyFont="1" applyFill="1" applyAlignment="1">
      <alignment horizontal="right" vertical="center"/>
    </xf>
    <xf numFmtId="185" fontId="36" fillId="0" borderId="5" xfId="14" applyNumberFormat="1" applyFont="1" applyFill="1" applyBorder="1" applyAlignment="1">
      <alignment horizontal="center" vertical="center"/>
    </xf>
    <xf numFmtId="170" fontId="36" fillId="0" borderId="8" xfId="14" applyNumberFormat="1" applyFont="1" applyFill="1" applyBorder="1" applyAlignment="1">
      <alignment horizontal="center" vertical="center"/>
    </xf>
    <xf numFmtId="0" fontId="36" fillId="11" borderId="0" xfId="14" applyNumberFormat="1" applyFont="1" applyFill="1" applyAlignment="1">
      <alignment vertical="center"/>
    </xf>
    <xf numFmtId="183" fontId="86" fillId="11" borderId="0" xfId="14" applyNumberFormat="1" applyFont="1" applyFill="1" applyAlignment="1">
      <alignment vertical="center"/>
    </xf>
    <xf numFmtId="3" fontId="86" fillId="0" borderId="5" xfId="14" applyNumberFormat="1" applyFont="1" applyFill="1" applyBorder="1" applyAlignment="1">
      <alignment horizontal="right" vertical="center"/>
    </xf>
    <xf numFmtId="0" fontId="86" fillId="11" borderId="0" xfId="14" applyNumberFormat="1" applyFont="1" applyFill="1" applyAlignment="1">
      <alignment vertical="center"/>
    </xf>
    <xf numFmtId="0" fontId="86" fillId="10" borderId="0" xfId="14" applyFont="1" applyFill="1" applyAlignment="1">
      <alignment horizontal="right" vertical="center"/>
    </xf>
    <xf numFmtId="183" fontId="86" fillId="10" borderId="0" xfId="14" applyNumberFormat="1" applyFont="1" applyFill="1" applyAlignment="1">
      <alignment vertical="center"/>
    </xf>
    <xf numFmtId="0" fontId="85" fillId="10" borderId="0" xfId="14" applyFont="1" applyFill="1" applyAlignment="1">
      <alignment vertical="center"/>
    </xf>
    <xf numFmtId="190" fontId="24" fillId="0" borderId="0" xfId="0" applyNumberFormat="1" applyFont="1" applyFill="1" applyProtection="1">
      <protection hidden="1"/>
    </xf>
    <xf numFmtId="188" fontId="36" fillId="0" borderId="0" xfId="0" applyNumberFormat="1" applyFont="1" applyFill="1" applyBorder="1" applyAlignment="1">
      <alignment vertical="center"/>
    </xf>
    <xf numFmtId="0" fontId="36" fillId="10" borderId="5" xfId="14" applyFont="1" applyFill="1" applyBorder="1" applyAlignment="1">
      <alignment horizontal="center" vertical="center" wrapText="1"/>
    </xf>
    <xf numFmtId="3" fontId="49" fillId="0" borderId="5" xfId="2" applyNumberFormat="1" applyFont="1" applyFill="1" applyBorder="1" applyProtection="1"/>
    <xf numFmtId="3" fontId="49" fillId="0" borderId="11" xfId="2" applyNumberFormat="1" applyFont="1" applyFill="1" applyBorder="1" applyProtection="1"/>
    <xf numFmtId="171" fontId="49" fillId="10" borderId="23" xfId="2" applyNumberFormat="1" applyFont="1" applyFill="1" applyBorder="1" applyProtection="1"/>
    <xf numFmtId="41" fontId="35" fillId="0" borderId="3" xfId="0" applyNumberFormat="1" applyFont="1" applyFill="1" applyBorder="1" applyAlignment="1">
      <alignment vertical="center"/>
    </xf>
    <xf numFmtId="168" fontId="24" fillId="0" borderId="0" xfId="2" applyFont="1" applyFill="1" applyAlignment="1" applyProtection="1">
      <alignment horizontal="left"/>
      <protection hidden="1"/>
    </xf>
    <xf numFmtId="49" fontId="97" fillId="0" borderId="22" xfId="2" applyNumberFormat="1" applyFont="1" applyFill="1" applyBorder="1" applyAlignment="1" applyProtection="1">
      <alignment horizontal="center" vertical="center"/>
    </xf>
    <xf numFmtId="0" fontId="97" fillId="0" borderId="22" xfId="2" applyNumberFormat="1" applyFont="1" applyFill="1" applyBorder="1" applyAlignment="1" applyProtection="1">
      <alignment horizontal="center" vertical="center"/>
    </xf>
    <xf numFmtId="0" fontId="97" fillId="0" borderId="22" xfId="2" applyNumberFormat="1" applyFont="1" applyFill="1" applyBorder="1" applyAlignment="1" applyProtection="1">
      <alignment horizontal="center"/>
    </xf>
    <xf numFmtId="1" fontId="97" fillId="0" borderId="22" xfId="2" applyNumberFormat="1" applyFont="1" applyFill="1" applyBorder="1" applyAlignment="1">
      <alignment horizontal="center" vertical="center"/>
    </xf>
    <xf numFmtId="1" fontId="97" fillId="0" borderId="22" xfId="13" applyNumberFormat="1" applyFont="1" applyFill="1" applyBorder="1" applyAlignment="1">
      <alignment horizontal="center"/>
    </xf>
    <xf numFmtId="0" fontId="97" fillId="0" borderId="22" xfId="2" applyNumberFormat="1" applyFont="1" applyFill="1" applyBorder="1" applyAlignment="1">
      <alignment horizontal="center"/>
    </xf>
    <xf numFmtId="0" fontId="97" fillId="0" borderId="5" xfId="13" applyNumberFormat="1" applyFont="1" applyFill="1" applyBorder="1" applyAlignment="1">
      <alignment horizontal="center" vertical="center"/>
    </xf>
    <xf numFmtId="0" fontId="97" fillId="0" borderId="5" xfId="2" applyNumberFormat="1" applyFont="1" applyFill="1" applyBorder="1" applyAlignment="1" applyProtection="1">
      <alignment horizontal="center" vertical="center"/>
    </xf>
    <xf numFmtId="0" fontId="97" fillId="0" borderId="22" xfId="0" applyFont="1" applyFill="1" applyBorder="1" applyAlignment="1">
      <alignment horizontal="center" vertical="center" wrapText="1"/>
    </xf>
    <xf numFmtId="174" fontId="97" fillId="0" borderId="22" xfId="2" applyNumberFormat="1" applyFont="1" applyFill="1" applyBorder="1" applyAlignment="1">
      <alignment horizontal="center"/>
    </xf>
    <xf numFmtId="0" fontId="97" fillId="0" borderId="22" xfId="0" applyFont="1" applyFill="1" applyBorder="1" applyAlignment="1">
      <alignment horizontal="center" vertical="center"/>
    </xf>
    <xf numFmtId="0" fontId="97" fillId="0" borderId="26" xfId="0" applyFont="1" applyFill="1" applyBorder="1" applyAlignment="1">
      <alignment horizontal="center" vertical="center"/>
    </xf>
    <xf numFmtId="0" fontId="97" fillId="0" borderId="26" xfId="0" applyFont="1" applyFill="1" applyBorder="1" applyAlignment="1">
      <alignment horizontal="center" vertical="center" wrapText="1"/>
    </xf>
    <xf numFmtId="0" fontId="97" fillId="0" borderId="22" xfId="2" applyNumberFormat="1" applyFont="1" applyFill="1" applyBorder="1" applyAlignment="1" applyProtection="1">
      <alignment horizontal="center" vertical="center" wrapText="1"/>
    </xf>
    <xf numFmtId="49" fontId="97" fillId="0" borderId="5" xfId="2" applyNumberFormat="1" applyFont="1" applyFill="1" applyBorder="1" applyAlignment="1" applyProtection="1">
      <alignment horizontal="center" vertical="center"/>
    </xf>
    <xf numFmtId="1" fontId="97" fillId="0" borderId="5" xfId="2" applyNumberFormat="1" applyFont="1" applyFill="1" applyBorder="1" applyAlignment="1">
      <alignment horizontal="center" vertical="center"/>
    </xf>
    <xf numFmtId="1" fontId="97" fillId="0" borderId="5" xfId="13" applyNumberFormat="1" applyFont="1" applyFill="1" applyBorder="1" applyAlignment="1">
      <alignment horizontal="center"/>
    </xf>
    <xf numFmtId="0" fontId="97" fillId="0" borderId="5" xfId="0" applyFont="1" applyFill="1" applyBorder="1" applyAlignment="1">
      <alignment horizontal="center" vertical="center" wrapText="1"/>
    </xf>
    <xf numFmtId="171" fontId="97" fillId="0" borderId="5" xfId="2" applyNumberFormat="1" applyFont="1" applyFill="1" applyBorder="1" applyAlignment="1">
      <alignment horizontal="center"/>
    </xf>
    <xf numFmtId="174" fontId="97" fillId="0" borderId="5" xfId="2" applyNumberFormat="1" applyFont="1" applyFill="1" applyBorder="1" applyAlignment="1">
      <alignment horizontal="center"/>
    </xf>
    <xf numFmtId="0" fontId="97" fillId="0" borderId="5" xfId="0" applyFont="1" applyFill="1" applyBorder="1" applyAlignment="1">
      <alignment horizontal="center" vertical="center"/>
    </xf>
    <xf numFmtId="174" fontId="97" fillId="0" borderId="5" xfId="0" applyNumberFormat="1" applyFont="1" applyFill="1" applyBorder="1" applyAlignment="1">
      <alignment horizontal="center" vertical="center"/>
    </xf>
    <xf numFmtId="0" fontId="97" fillId="0" borderId="5" xfId="2" applyNumberFormat="1" applyFont="1" applyFill="1" applyBorder="1" applyAlignment="1" applyProtection="1">
      <alignment horizontal="center" vertical="center" wrapText="1"/>
    </xf>
    <xf numFmtId="174" fontId="98" fillId="0" borderId="5" xfId="2" applyNumberFormat="1" applyFont="1" applyFill="1" applyBorder="1" applyAlignment="1" applyProtection="1">
      <alignment horizontal="center" vertical="center"/>
    </xf>
    <xf numFmtId="174" fontId="97" fillId="0" borderId="5" xfId="2" applyNumberFormat="1" applyFont="1" applyFill="1" applyBorder="1" applyAlignment="1" applyProtection="1">
      <alignment horizontal="center" vertical="center"/>
    </xf>
    <xf numFmtId="174" fontId="97" fillId="0" borderId="22" xfId="2" applyNumberFormat="1" applyFont="1" applyFill="1" applyBorder="1" applyAlignment="1">
      <alignment horizontal="center" vertical="center"/>
    </xf>
    <xf numFmtId="174" fontId="97" fillId="0" borderId="22" xfId="2" applyNumberFormat="1" applyFont="1" applyFill="1" applyBorder="1" applyAlignment="1" applyProtection="1">
      <alignment horizontal="center" vertical="center"/>
    </xf>
    <xf numFmtId="0" fontId="97" fillId="0" borderId="22" xfId="13" applyNumberFormat="1" applyFont="1" applyFill="1" applyBorder="1" applyAlignment="1">
      <alignment horizontal="center" vertical="center"/>
    </xf>
    <xf numFmtId="0" fontId="97" fillId="0" borderId="22" xfId="13" applyNumberFormat="1" applyFont="1" applyFill="1" applyBorder="1" applyAlignment="1">
      <alignment horizontal="center" vertical="center" wrapText="1"/>
    </xf>
    <xf numFmtId="0" fontId="97" fillId="0" borderId="9" xfId="2" applyNumberFormat="1" applyFont="1" applyFill="1" applyBorder="1" applyAlignment="1" applyProtection="1">
      <alignment horizontal="center" vertical="center"/>
    </xf>
    <xf numFmtId="0" fontId="97" fillId="0" borderId="0" xfId="13" applyNumberFormat="1" applyFont="1" applyFill="1" applyBorder="1" applyAlignment="1">
      <alignment horizontal="center" vertical="center"/>
    </xf>
    <xf numFmtId="174" fontId="97" fillId="0" borderId="5" xfId="2" applyNumberFormat="1" applyFont="1" applyFill="1" applyBorder="1" applyAlignment="1">
      <alignment horizontal="center" vertical="center"/>
    </xf>
    <xf numFmtId="0" fontId="97" fillId="0" borderId="5" xfId="13" applyNumberFormat="1" applyFont="1" applyFill="1" applyBorder="1" applyAlignment="1">
      <alignment horizontal="center" wrapText="1"/>
    </xf>
    <xf numFmtId="0" fontId="97" fillId="0" borderId="5" xfId="13" applyNumberFormat="1" applyFont="1" applyFill="1" applyBorder="1" applyAlignment="1">
      <alignment horizontal="center" vertical="center" wrapText="1"/>
    </xf>
    <xf numFmtId="0" fontId="97" fillId="0" borderId="5" xfId="2" applyNumberFormat="1" applyFont="1" applyFill="1" applyBorder="1" applyAlignment="1">
      <alignment horizontal="center"/>
    </xf>
    <xf numFmtId="0" fontId="97" fillId="0" borderId="0" xfId="2" applyNumberFormat="1" applyFont="1" applyFill="1" applyBorder="1" applyAlignment="1">
      <alignment horizontal="center"/>
    </xf>
    <xf numFmtId="171" fontId="99" fillId="0" borderId="0" xfId="2" applyNumberFormat="1" applyFont="1" applyFill="1" applyBorder="1" applyAlignment="1">
      <alignment horizontal="center"/>
    </xf>
    <xf numFmtId="171" fontId="99" fillId="0" borderId="0" xfId="2" applyNumberFormat="1" applyFont="1" applyFill="1" applyBorder="1" applyAlignment="1">
      <alignment horizontal="center" vertical="center"/>
    </xf>
    <xf numFmtId="49" fontId="97" fillId="0" borderId="9" xfId="2" applyNumberFormat="1" applyFont="1" applyFill="1" applyBorder="1" applyAlignment="1" applyProtection="1">
      <alignment horizontal="center" vertical="center"/>
    </xf>
    <xf numFmtId="174" fontId="97" fillId="0" borderId="9" xfId="2" applyNumberFormat="1" applyFont="1" applyFill="1" applyBorder="1" applyAlignment="1">
      <alignment horizontal="center" vertical="center"/>
    </xf>
    <xf numFmtId="174" fontId="97" fillId="0" borderId="9" xfId="2" applyNumberFormat="1" applyFont="1" applyFill="1" applyBorder="1" applyAlignment="1" applyProtection="1">
      <alignment horizontal="center" vertical="center"/>
    </xf>
    <xf numFmtId="1" fontId="97" fillId="0" borderId="9" xfId="2" applyNumberFormat="1" applyFont="1" applyFill="1" applyBorder="1" applyAlignment="1">
      <alignment horizontal="center" vertical="center"/>
    </xf>
    <xf numFmtId="1" fontId="97" fillId="0" borderId="9" xfId="13" applyNumberFormat="1" applyFont="1" applyFill="1" applyBorder="1" applyAlignment="1">
      <alignment horizontal="center"/>
    </xf>
    <xf numFmtId="0" fontId="97" fillId="0" borderId="9" xfId="13" applyNumberFormat="1" applyFont="1" applyFill="1" applyBorder="1" applyAlignment="1">
      <alignment horizontal="center"/>
    </xf>
    <xf numFmtId="0" fontId="97" fillId="0" borderId="9" xfId="13" applyNumberFormat="1" applyFont="1" applyFill="1" applyBorder="1" applyAlignment="1">
      <alignment horizontal="center" vertical="center"/>
    </xf>
    <xf numFmtId="0" fontId="97" fillId="0" borderId="9" xfId="13" applyNumberFormat="1" applyFont="1" applyFill="1" applyBorder="1" applyAlignment="1">
      <alignment horizontal="center" wrapText="1"/>
    </xf>
    <xf numFmtId="0" fontId="97" fillId="0" borderId="9" xfId="2" applyNumberFormat="1" applyFont="1" applyFill="1" applyBorder="1" applyAlignment="1">
      <alignment horizontal="center"/>
    </xf>
    <xf numFmtId="174" fontId="97" fillId="0" borderId="9" xfId="2" applyNumberFormat="1" applyFont="1" applyFill="1" applyBorder="1" applyAlignment="1">
      <alignment horizontal="center"/>
    </xf>
    <xf numFmtId="0" fontId="99" fillId="0" borderId="0" xfId="2" applyNumberFormat="1" applyFont="1" applyFill="1" applyBorder="1" applyAlignment="1">
      <alignment horizontal="center"/>
    </xf>
    <xf numFmtId="0" fontId="99" fillId="0" borderId="0" xfId="13" applyNumberFormat="1" applyFont="1" applyFill="1" applyBorder="1" applyAlignment="1">
      <alignment horizontal="center" vertical="center"/>
    </xf>
    <xf numFmtId="3" fontId="99" fillId="10" borderId="3" xfId="2" applyNumberFormat="1" applyFont="1" applyFill="1" applyBorder="1" applyAlignment="1" applyProtection="1">
      <alignment horizontal="left" vertical="center"/>
    </xf>
    <xf numFmtId="0" fontId="97" fillId="10" borderId="3" xfId="2" applyNumberFormat="1" applyFont="1" applyFill="1" applyBorder="1" applyAlignment="1" applyProtection="1">
      <alignment horizontal="center" vertical="center" textRotation="90"/>
    </xf>
    <xf numFmtId="0" fontId="97" fillId="10" borderId="3" xfId="0" applyFont="1" applyFill="1" applyBorder="1" applyAlignment="1">
      <alignment horizontal="center" vertical="center" textRotation="90" wrapText="1"/>
    </xf>
    <xf numFmtId="0" fontId="97" fillId="10" borderId="3" xfId="2" applyNumberFormat="1" applyFont="1" applyFill="1" applyBorder="1" applyAlignment="1" applyProtection="1">
      <alignment vertical="center" textRotation="90"/>
    </xf>
    <xf numFmtId="171" fontId="97" fillId="10" borderId="3" xfId="2" applyNumberFormat="1" applyFont="1" applyFill="1" applyBorder="1" applyAlignment="1">
      <alignment horizontal="center" vertical="center" textRotation="90" wrapText="1"/>
    </xf>
    <xf numFmtId="0" fontId="97" fillId="10" borderId="3" xfId="0" applyFont="1" applyFill="1" applyBorder="1" applyAlignment="1">
      <alignment horizontal="center" vertical="center" textRotation="90"/>
    </xf>
    <xf numFmtId="3" fontId="99" fillId="11" borderId="3" xfId="2" applyNumberFormat="1" applyFont="1" applyFill="1" applyBorder="1" applyAlignment="1" applyProtection="1">
      <alignment horizontal="center" vertical="center"/>
    </xf>
    <xf numFmtId="0" fontId="97" fillId="11" borderId="3" xfId="2" applyNumberFormat="1" applyFont="1" applyFill="1" applyBorder="1" applyAlignment="1" applyProtection="1">
      <alignment horizontal="center" vertical="center"/>
    </xf>
    <xf numFmtId="173" fontId="99" fillId="11" borderId="3" xfId="2" applyNumberFormat="1" applyFont="1" applyFill="1" applyBorder="1" applyAlignment="1">
      <alignment horizontal="center" vertical="center"/>
    </xf>
    <xf numFmtId="3" fontId="99" fillId="11" borderId="3" xfId="2" applyNumberFormat="1" applyFont="1" applyFill="1" applyBorder="1" applyAlignment="1">
      <alignment horizontal="center" vertical="center"/>
    </xf>
    <xf numFmtId="0" fontId="97" fillId="11" borderId="3" xfId="2" applyNumberFormat="1" applyFont="1" applyFill="1" applyBorder="1" applyAlignment="1" applyProtection="1">
      <alignment horizontal="center" vertical="center" wrapText="1"/>
    </xf>
    <xf numFmtId="3" fontId="99" fillId="10" borderId="11" xfId="2" applyNumberFormat="1" applyFont="1" applyFill="1" applyBorder="1" applyAlignment="1" applyProtection="1">
      <alignment vertical="center"/>
    </xf>
    <xf numFmtId="0" fontId="97" fillId="10" borderId="11" xfId="2" applyNumberFormat="1" applyFont="1" applyFill="1" applyBorder="1" applyAlignment="1" applyProtection="1">
      <alignment horizontal="center" vertical="center"/>
    </xf>
    <xf numFmtId="173" fontId="97" fillId="10" borderId="11" xfId="2" applyNumberFormat="1" applyFont="1" applyFill="1" applyBorder="1" applyAlignment="1" applyProtection="1">
      <alignment horizontal="center" vertical="center"/>
    </xf>
    <xf numFmtId="0" fontId="97" fillId="10" borderId="11" xfId="0" applyFont="1" applyFill="1" applyBorder="1" applyAlignment="1">
      <alignment horizontal="center" vertical="center" wrapText="1"/>
    </xf>
    <xf numFmtId="171" fontId="97" fillId="10" borderId="11" xfId="2" applyNumberFormat="1" applyFont="1" applyFill="1" applyBorder="1" applyAlignment="1">
      <alignment horizontal="center" vertical="center" wrapText="1"/>
    </xf>
    <xf numFmtId="0" fontId="97" fillId="10" borderId="11" xfId="0" applyFont="1" applyFill="1" applyBorder="1" applyAlignment="1">
      <alignment horizontal="center" vertical="center"/>
    </xf>
    <xf numFmtId="0" fontId="97" fillId="10" borderId="11" xfId="2" applyNumberFormat="1" applyFont="1" applyFill="1" applyBorder="1" applyAlignment="1" applyProtection="1">
      <alignment horizontal="center" vertical="center" wrapText="1"/>
    </xf>
    <xf numFmtId="49" fontId="99" fillId="10" borderId="3" xfId="13" applyNumberFormat="1" applyFont="1" applyFill="1" applyBorder="1" applyAlignment="1">
      <alignment vertical="center"/>
    </xf>
    <xf numFmtId="174" fontId="99" fillId="10" borderId="3" xfId="13" applyNumberFormat="1" applyFont="1" applyFill="1" applyBorder="1" applyAlignment="1">
      <alignment horizontal="center" vertical="center"/>
    </xf>
    <xf numFmtId="173" fontId="99" fillId="10" borderId="3" xfId="2" applyNumberFormat="1" applyFont="1" applyFill="1" applyBorder="1" applyAlignment="1">
      <alignment horizontal="center" vertical="center"/>
    </xf>
    <xf numFmtId="3" fontId="99" fillId="10" borderId="3" xfId="2" applyNumberFormat="1" applyFont="1" applyFill="1" applyBorder="1" applyAlignment="1">
      <alignment horizontal="center" vertical="center"/>
    </xf>
    <xf numFmtId="3" fontId="99" fillId="10" borderId="3" xfId="13" applyNumberFormat="1" applyFont="1" applyFill="1" applyBorder="1" applyAlignment="1">
      <alignment horizontal="center" vertical="center"/>
    </xf>
    <xf numFmtId="49" fontId="99" fillId="11" borderId="3" xfId="13" applyNumberFormat="1" applyFont="1" applyFill="1" applyBorder="1" applyAlignment="1">
      <alignment horizontal="center" vertical="center"/>
    </xf>
    <xf numFmtId="174" fontId="99" fillId="11" borderId="3" xfId="13" applyNumberFormat="1" applyFont="1" applyFill="1" applyBorder="1" applyAlignment="1">
      <alignment horizontal="center" vertical="center"/>
    </xf>
    <xf numFmtId="3" fontId="99" fillId="11" borderId="3" xfId="13" applyNumberFormat="1" applyFont="1" applyFill="1" applyBorder="1" applyAlignment="1">
      <alignment horizontal="center" vertical="center"/>
    </xf>
    <xf numFmtId="49" fontId="99" fillId="10" borderId="3" xfId="2" applyNumberFormat="1" applyFont="1" applyFill="1" applyBorder="1" applyAlignment="1" applyProtection="1">
      <alignment vertical="center"/>
    </xf>
    <xf numFmtId="174" fontId="97" fillId="10" borderId="3" xfId="2" applyNumberFormat="1" applyFont="1" applyFill="1" applyBorder="1" applyAlignment="1">
      <alignment horizontal="center" vertical="center"/>
    </xf>
    <xf numFmtId="174" fontId="97" fillId="10" borderId="3" xfId="2" applyNumberFormat="1" applyFont="1" applyFill="1" applyBorder="1" applyAlignment="1" applyProtection="1">
      <alignment horizontal="center" vertical="center"/>
    </xf>
    <xf numFmtId="0" fontId="97" fillId="10" borderId="3" xfId="2" applyNumberFormat="1" applyFont="1" applyFill="1" applyBorder="1" applyAlignment="1" applyProtection="1">
      <alignment horizontal="center" vertical="center"/>
    </xf>
    <xf numFmtId="1" fontId="97" fillId="10" borderId="3" xfId="2" applyNumberFormat="1" applyFont="1" applyFill="1" applyBorder="1" applyAlignment="1">
      <alignment horizontal="center" vertical="center"/>
    </xf>
    <xf numFmtId="1" fontId="97" fillId="10" borderId="3" xfId="13" applyNumberFormat="1" applyFont="1" applyFill="1" applyBorder="1" applyAlignment="1">
      <alignment horizontal="center"/>
    </xf>
    <xf numFmtId="0" fontId="97" fillId="10" borderId="3" xfId="13" applyNumberFormat="1" applyFont="1" applyFill="1" applyBorder="1" applyAlignment="1">
      <alignment horizontal="center"/>
    </xf>
    <xf numFmtId="0" fontId="97" fillId="10" borderId="3" xfId="13" applyNumberFormat="1" applyFont="1" applyFill="1" applyBorder="1" applyAlignment="1">
      <alignment horizontal="center" vertical="center"/>
    </xf>
    <xf numFmtId="0" fontId="97" fillId="10" borderId="3" xfId="13" applyNumberFormat="1" applyFont="1" applyFill="1" applyBorder="1" applyAlignment="1">
      <alignment horizontal="center" wrapText="1"/>
    </xf>
    <xf numFmtId="0" fontId="97" fillId="10" borderId="3" xfId="2" applyNumberFormat="1" applyFont="1" applyFill="1" applyBorder="1" applyAlignment="1">
      <alignment horizontal="center"/>
    </xf>
    <xf numFmtId="174" fontId="97" fillId="10" borderId="3" xfId="2" applyNumberFormat="1" applyFont="1" applyFill="1" applyBorder="1" applyAlignment="1">
      <alignment horizontal="center"/>
    </xf>
    <xf numFmtId="49" fontId="99" fillId="11" borderId="3" xfId="2" applyNumberFormat="1" applyFont="1" applyFill="1" applyBorder="1" applyAlignment="1" applyProtection="1">
      <alignment horizontal="center" vertical="center"/>
    </xf>
    <xf numFmtId="174" fontId="99" fillId="11" borderId="3" xfId="2" applyNumberFormat="1" applyFont="1" applyFill="1" applyBorder="1" applyAlignment="1">
      <alignment horizontal="center" vertical="center"/>
    </xf>
    <xf numFmtId="174" fontId="99" fillId="11" borderId="3" xfId="2" applyNumberFormat="1" applyFont="1" applyFill="1" applyBorder="1" applyAlignment="1" applyProtection="1">
      <alignment horizontal="center" vertical="center"/>
    </xf>
    <xf numFmtId="1" fontId="99" fillId="11" borderId="3" xfId="2" applyNumberFormat="1" applyFont="1" applyFill="1" applyBorder="1" applyAlignment="1" applyProtection="1">
      <alignment horizontal="center" vertical="center"/>
    </xf>
    <xf numFmtId="0" fontId="99" fillId="11" borderId="3" xfId="2" applyNumberFormat="1" applyFont="1" applyFill="1" applyBorder="1" applyAlignment="1">
      <alignment horizontal="center"/>
    </xf>
    <xf numFmtId="0" fontId="99" fillId="11" borderId="0" xfId="13" applyNumberFormat="1" applyFont="1" applyFill="1" applyBorder="1" applyAlignment="1">
      <alignment horizontal="center" vertical="center"/>
    </xf>
    <xf numFmtId="0" fontId="99" fillId="11" borderId="0" xfId="13" applyNumberFormat="1" applyFont="1" applyFill="1" applyBorder="1" applyAlignment="1">
      <alignment horizontal="center"/>
    </xf>
    <xf numFmtId="0" fontId="99" fillId="10" borderId="0" xfId="2" applyNumberFormat="1" applyFont="1" applyFill="1" applyBorder="1" applyAlignment="1">
      <alignment horizontal="center"/>
    </xf>
    <xf numFmtId="0" fontId="99" fillId="10" borderId="0" xfId="13" applyNumberFormat="1" applyFont="1" applyFill="1" applyBorder="1" applyAlignment="1">
      <alignment horizontal="center" vertical="center"/>
    </xf>
    <xf numFmtId="0" fontId="99" fillId="10" borderId="0" xfId="13" applyNumberFormat="1" applyFont="1" applyFill="1" applyBorder="1" applyAlignment="1">
      <alignment horizontal="center"/>
    </xf>
    <xf numFmtId="174" fontId="99" fillId="10" borderId="3" xfId="2" applyNumberFormat="1" applyFont="1" applyFill="1" applyBorder="1" applyAlignment="1">
      <alignment horizontal="center" vertical="center"/>
    </xf>
    <xf numFmtId="174" fontId="99" fillId="10" borderId="3" xfId="2" applyNumberFormat="1" applyFont="1" applyFill="1" applyBorder="1" applyAlignment="1" applyProtection="1">
      <alignment horizontal="center" vertical="center"/>
    </xf>
    <xf numFmtId="1" fontId="99" fillId="10" borderId="3" xfId="2" applyNumberFormat="1" applyFont="1" applyFill="1" applyBorder="1" applyAlignment="1" applyProtection="1">
      <alignment horizontal="center" vertical="center"/>
    </xf>
    <xf numFmtId="3" fontId="99" fillId="10" borderId="3" xfId="2" applyNumberFormat="1" applyFont="1" applyFill="1" applyBorder="1" applyAlignment="1" applyProtection="1">
      <alignment horizontal="center" vertical="center"/>
    </xf>
    <xf numFmtId="0" fontId="99" fillId="10" borderId="3" xfId="2" applyNumberFormat="1" applyFont="1" applyFill="1" applyBorder="1" applyAlignment="1">
      <alignment horizontal="center"/>
    </xf>
    <xf numFmtId="49" fontId="97" fillId="0" borderId="8" xfId="2" applyNumberFormat="1" applyFont="1" applyFill="1" applyBorder="1" applyAlignment="1" applyProtection="1">
      <alignment horizontal="center" vertical="center"/>
    </xf>
    <xf numFmtId="174" fontId="97" fillId="0" borderId="8" xfId="2" applyNumberFormat="1" applyFont="1" applyFill="1" applyBorder="1" applyAlignment="1">
      <alignment horizontal="center" vertical="center"/>
    </xf>
    <xf numFmtId="174" fontId="97" fillId="0" borderId="8" xfId="2" applyNumberFormat="1" applyFont="1" applyFill="1" applyBorder="1" applyAlignment="1" applyProtection="1">
      <alignment horizontal="center" vertical="center"/>
    </xf>
    <xf numFmtId="174" fontId="97" fillId="0" borderId="23" xfId="2" applyNumberFormat="1" applyFont="1" applyFill="1" applyBorder="1" applyAlignment="1" applyProtection="1">
      <alignment horizontal="center" vertical="center"/>
    </xf>
    <xf numFmtId="0" fontId="97" fillId="0" borderId="8" xfId="2" applyNumberFormat="1" applyFont="1" applyFill="1" applyBorder="1" applyAlignment="1" applyProtection="1">
      <alignment horizontal="center" vertical="center"/>
    </xf>
    <xf numFmtId="1" fontId="97" fillId="0" borderId="8" xfId="2" applyNumberFormat="1" applyFont="1" applyFill="1" applyBorder="1" applyAlignment="1">
      <alignment horizontal="center" vertical="center"/>
    </xf>
    <xf numFmtId="1" fontId="97" fillId="0" borderId="8" xfId="13" applyNumberFormat="1" applyFont="1" applyFill="1" applyBorder="1" applyAlignment="1">
      <alignment horizontal="center"/>
    </xf>
    <xf numFmtId="0" fontId="97" fillId="0" borderId="8" xfId="13" applyNumberFormat="1" applyFont="1" applyFill="1" applyBorder="1" applyAlignment="1">
      <alignment horizontal="center"/>
    </xf>
    <xf numFmtId="0" fontId="97" fillId="0" borderId="8" xfId="13" applyNumberFormat="1" applyFont="1" applyFill="1" applyBorder="1" applyAlignment="1">
      <alignment horizontal="center" vertical="center"/>
    </xf>
    <xf numFmtId="0" fontId="97" fillId="0" borderId="8" xfId="13" applyNumberFormat="1" applyFont="1" applyFill="1" applyBorder="1" applyAlignment="1">
      <alignment horizontal="center" wrapText="1"/>
    </xf>
    <xf numFmtId="0" fontId="97" fillId="0" borderId="8" xfId="2" applyNumberFormat="1" applyFont="1" applyFill="1" applyBorder="1" applyAlignment="1">
      <alignment horizontal="center"/>
    </xf>
    <xf numFmtId="0" fontId="97" fillId="10" borderId="0" xfId="13" applyNumberFormat="1" applyFont="1" applyFill="1" applyBorder="1" applyAlignment="1">
      <alignment horizontal="center"/>
    </xf>
    <xf numFmtId="0" fontId="97" fillId="10" borderId="0" xfId="13" applyNumberFormat="1" applyFont="1" applyFill="1" applyBorder="1" applyAlignment="1">
      <alignment horizontal="center" vertical="center"/>
    </xf>
    <xf numFmtId="0" fontId="99" fillId="11" borderId="3" xfId="13" applyNumberFormat="1" applyFont="1" applyFill="1" applyBorder="1" applyAlignment="1">
      <alignment horizontal="center"/>
    </xf>
    <xf numFmtId="0" fontId="99" fillId="10" borderId="3" xfId="2" applyNumberFormat="1" applyFont="1" applyFill="1" applyBorder="1" applyAlignment="1" applyProtection="1">
      <alignment horizontal="center" vertical="center"/>
    </xf>
    <xf numFmtId="1" fontId="99" fillId="10" borderId="3" xfId="2" applyNumberFormat="1" applyFont="1" applyFill="1" applyBorder="1" applyAlignment="1">
      <alignment horizontal="center" vertical="center"/>
    </xf>
    <xf numFmtId="1" fontId="99" fillId="10" borderId="3" xfId="13" applyNumberFormat="1" applyFont="1" applyFill="1" applyBorder="1" applyAlignment="1">
      <alignment horizontal="center"/>
    </xf>
    <xf numFmtId="0" fontId="99" fillId="10" borderId="3" xfId="13" applyNumberFormat="1" applyFont="1" applyFill="1" applyBorder="1" applyAlignment="1">
      <alignment horizontal="center"/>
    </xf>
    <xf numFmtId="0" fontId="99" fillId="10" borderId="3" xfId="13" applyNumberFormat="1" applyFont="1" applyFill="1" applyBorder="1" applyAlignment="1">
      <alignment horizontal="center" vertical="center"/>
    </xf>
    <xf numFmtId="0" fontId="99" fillId="10" borderId="3" xfId="13" applyNumberFormat="1" applyFont="1" applyFill="1" applyBorder="1" applyAlignment="1">
      <alignment horizontal="center" wrapText="1"/>
    </xf>
    <xf numFmtId="174" fontId="99" fillId="10" borderId="3" xfId="2" applyNumberFormat="1" applyFont="1" applyFill="1" applyBorder="1" applyAlignment="1">
      <alignment horizontal="center"/>
    </xf>
    <xf numFmtId="0" fontId="49" fillId="0" borderId="3" xfId="0" applyFont="1" applyFill="1" applyBorder="1" applyAlignment="1" applyProtection="1">
      <alignment horizontal="center"/>
      <protection hidden="1"/>
    </xf>
    <xf numFmtId="0" fontId="49" fillId="0" borderId="3" xfId="0" applyNumberFormat="1" applyFont="1" applyFill="1" applyBorder="1" applyAlignment="1" applyProtection="1">
      <alignment horizontal="left" vertical="justify"/>
      <protection hidden="1"/>
    </xf>
    <xf numFmtId="169" fontId="49" fillId="0" borderId="3" xfId="2" applyNumberFormat="1" applyFont="1" applyFill="1" applyBorder="1" applyAlignment="1" applyProtection="1">
      <protection hidden="1"/>
    </xf>
    <xf numFmtId="171" fontId="49" fillId="0" borderId="22" xfId="2" applyNumberFormat="1" applyFont="1" applyFill="1" applyBorder="1" applyProtection="1"/>
    <xf numFmtId="0" fontId="49" fillId="0" borderId="22" xfId="0" applyFont="1" applyFill="1" applyBorder="1" applyAlignment="1" applyProtection="1">
      <alignment horizontal="left" vertical="justify"/>
      <protection hidden="1"/>
    </xf>
    <xf numFmtId="0" fontId="92" fillId="0" borderId="9" xfId="2" applyNumberFormat="1" applyFont="1" applyFill="1" applyBorder="1" applyProtection="1"/>
    <xf numFmtId="0" fontId="92" fillId="0" borderId="5" xfId="2" applyNumberFormat="1" applyFont="1" applyFill="1" applyBorder="1" applyProtection="1"/>
    <xf numFmtId="0" fontId="92" fillId="0" borderId="22" xfId="2" applyNumberFormat="1" applyFont="1" applyFill="1" applyBorder="1" applyProtection="1"/>
    <xf numFmtId="0" fontId="97" fillId="0" borderId="2" xfId="2" applyNumberFormat="1" applyFont="1" applyFill="1" applyBorder="1" applyAlignment="1" applyProtection="1">
      <alignment horizontal="center" vertical="center" textRotation="90"/>
    </xf>
    <xf numFmtId="0" fontId="99" fillId="10" borderId="3" xfId="2" applyNumberFormat="1" applyFont="1" applyFill="1" applyBorder="1" applyAlignment="1" applyProtection="1">
      <alignment horizontal="center" vertical="center" textRotation="90"/>
    </xf>
    <xf numFmtId="3" fontId="94" fillId="8" borderId="0" xfId="2" applyNumberFormat="1" applyFont="1" applyFill="1" applyBorder="1" applyAlignment="1">
      <alignment horizontal="centerContinuous" vertical="center"/>
    </xf>
    <xf numFmtId="0" fontId="98" fillId="8" borderId="3" xfId="2" applyNumberFormat="1" applyFont="1" applyFill="1" applyBorder="1" applyAlignment="1" applyProtection="1">
      <alignment horizontal="center" vertical="center" textRotation="90"/>
    </xf>
    <xf numFmtId="1" fontId="98" fillId="8" borderId="22" xfId="2" applyNumberFormat="1" applyFont="1" applyFill="1" applyBorder="1" applyAlignment="1">
      <alignment horizontal="center" vertical="center"/>
    </xf>
    <xf numFmtId="1" fontId="98" fillId="8" borderId="5" xfId="2" applyNumberFormat="1" applyFont="1" applyFill="1" applyBorder="1" applyAlignment="1">
      <alignment horizontal="center" vertical="center"/>
    </xf>
    <xf numFmtId="173" fontId="100" fillId="8" borderId="3" xfId="2" applyNumberFormat="1" applyFont="1" applyFill="1" applyBorder="1" applyAlignment="1">
      <alignment horizontal="center" vertical="center"/>
    </xf>
    <xf numFmtId="0" fontId="98" fillId="8" borderId="11" xfId="2" applyNumberFormat="1" applyFont="1" applyFill="1" applyBorder="1" applyAlignment="1" applyProtection="1">
      <alignment horizontal="center" vertical="center"/>
    </xf>
    <xf numFmtId="3" fontId="100" fillId="8" borderId="3" xfId="2" applyNumberFormat="1" applyFont="1" applyFill="1" applyBorder="1" applyAlignment="1">
      <alignment horizontal="center" vertical="center"/>
    </xf>
    <xf numFmtId="1" fontId="98" fillId="8" borderId="9" xfId="2" applyNumberFormat="1" applyFont="1" applyFill="1" applyBorder="1" applyAlignment="1">
      <alignment horizontal="center" vertical="center"/>
    </xf>
    <xf numFmtId="1" fontId="98" fillId="8" borderId="3" xfId="2" applyNumberFormat="1" applyFont="1" applyFill="1" applyBorder="1" applyAlignment="1">
      <alignment horizontal="center" vertical="center"/>
    </xf>
    <xf numFmtId="1" fontId="100" fillId="8" borderId="3" xfId="2" applyNumberFormat="1" applyFont="1" applyFill="1" applyBorder="1" applyAlignment="1" applyProtection="1">
      <alignment horizontal="center" vertical="center"/>
    </xf>
    <xf numFmtId="1" fontId="98" fillId="8" borderId="8" xfId="2" applyNumberFormat="1" applyFont="1" applyFill="1" applyBorder="1" applyAlignment="1">
      <alignment horizontal="center" vertical="center"/>
    </xf>
    <xf numFmtId="1" fontId="100" fillId="8" borderId="3" xfId="2" applyNumberFormat="1" applyFont="1" applyFill="1" applyBorder="1" applyAlignment="1">
      <alignment horizontal="center" vertical="center"/>
    </xf>
    <xf numFmtId="0" fontId="98" fillId="8" borderId="0" xfId="13" applyNumberFormat="1" applyFont="1" applyFill="1" applyBorder="1" applyAlignment="1">
      <alignment horizontal="center"/>
    </xf>
    <xf numFmtId="0" fontId="92" fillId="8" borderId="0" xfId="13" applyNumberFormat="1" applyFont="1" applyFill="1" applyBorder="1" applyAlignment="1">
      <alignment horizontal="center"/>
    </xf>
    <xf numFmtId="49" fontId="98" fillId="8" borderId="5" xfId="2" applyNumberFormat="1" applyFont="1" applyFill="1" applyBorder="1" applyAlignment="1" applyProtection="1">
      <alignment horizontal="center" vertical="center"/>
    </xf>
    <xf numFmtId="174" fontId="98" fillId="8" borderId="5" xfId="2" applyNumberFormat="1" applyFont="1" applyFill="1" applyBorder="1" applyAlignment="1">
      <alignment horizontal="center" vertical="center"/>
    </xf>
    <xf numFmtId="174" fontId="98" fillId="8" borderId="5" xfId="2" applyNumberFormat="1" applyFont="1" applyFill="1" applyBorder="1" applyAlignment="1" applyProtection="1">
      <alignment horizontal="center" vertical="center"/>
    </xf>
    <xf numFmtId="174" fontId="97" fillId="8" borderId="9" xfId="2" applyNumberFormat="1" applyFont="1" applyFill="1" applyBorder="1" applyAlignment="1" applyProtection="1">
      <alignment horizontal="center" vertical="center"/>
    </xf>
    <xf numFmtId="0" fontId="98" fillId="8" borderId="5" xfId="2" applyNumberFormat="1" applyFont="1" applyFill="1" applyBorder="1" applyAlignment="1" applyProtection="1">
      <alignment horizontal="center" vertical="center"/>
    </xf>
    <xf numFmtId="1" fontId="98" fillId="8" borderId="5" xfId="13" applyNumberFormat="1" applyFont="1" applyFill="1" applyBorder="1" applyAlignment="1">
      <alignment horizontal="center"/>
    </xf>
    <xf numFmtId="0" fontId="98" fillId="8" borderId="5" xfId="13" applyNumberFormat="1" applyFont="1" applyFill="1" applyBorder="1" applyAlignment="1">
      <alignment horizontal="center"/>
    </xf>
    <xf numFmtId="0" fontId="98" fillId="8" borderId="5" xfId="13" applyNumberFormat="1" applyFont="1" applyFill="1" applyBorder="1" applyAlignment="1">
      <alignment horizontal="center" vertical="center"/>
    </xf>
    <xf numFmtId="0" fontId="98" fillId="8" borderId="5" xfId="13" applyNumberFormat="1" applyFont="1" applyFill="1" applyBorder="1" applyAlignment="1">
      <alignment horizontal="center" wrapText="1"/>
    </xf>
    <xf numFmtId="0" fontId="98" fillId="8" borderId="5" xfId="2" applyNumberFormat="1" applyFont="1" applyFill="1" applyBorder="1" applyAlignment="1">
      <alignment horizontal="center"/>
    </xf>
    <xf numFmtId="174" fontId="98" fillId="8" borderId="5" xfId="2" applyNumberFormat="1" applyFont="1" applyFill="1" applyBorder="1" applyAlignment="1">
      <alignment horizontal="center"/>
    </xf>
    <xf numFmtId="0" fontId="98" fillId="8" borderId="0" xfId="13" applyNumberFormat="1" applyFont="1" applyFill="1" applyBorder="1" applyAlignment="1">
      <alignment horizontal="center" vertical="center"/>
    </xf>
    <xf numFmtId="174" fontId="97" fillId="8" borderId="5" xfId="2" applyNumberFormat="1" applyFont="1" applyFill="1" applyBorder="1" applyAlignment="1" applyProtection="1">
      <alignment horizontal="center" vertical="center"/>
    </xf>
    <xf numFmtId="0" fontId="98" fillId="8" borderId="0" xfId="2" applyNumberFormat="1" applyFont="1" applyFill="1" applyBorder="1" applyAlignment="1">
      <alignment horizontal="center"/>
    </xf>
    <xf numFmtId="1" fontId="97" fillId="8" borderId="5" xfId="2" applyNumberFormat="1" applyFont="1" applyFill="1" applyBorder="1" applyAlignment="1">
      <alignment horizontal="center" vertical="center"/>
    </xf>
    <xf numFmtId="174" fontId="98" fillId="8" borderId="9" xfId="2" applyNumberFormat="1" applyFont="1" applyFill="1" applyBorder="1" applyAlignment="1" applyProtection="1">
      <alignment horizontal="center" vertical="center"/>
    </xf>
    <xf numFmtId="1" fontId="97" fillId="8" borderId="5" xfId="13" applyNumberFormat="1" applyFont="1" applyFill="1" applyBorder="1" applyAlignment="1">
      <alignment horizontal="center"/>
    </xf>
    <xf numFmtId="49" fontId="98" fillId="8" borderId="9" xfId="2" applyNumberFormat="1" applyFont="1" applyFill="1" applyBorder="1" applyAlignment="1" applyProtection="1">
      <alignment horizontal="center" vertical="center"/>
    </xf>
    <xf numFmtId="174" fontId="98" fillId="8" borderId="9" xfId="2" applyNumberFormat="1" applyFont="1" applyFill="1" applyBorder="1" applyAlignment="1">
      <alignment horizontal="center" vertical="center"/>
    </xf>
    <xf numFmtId="0" fontId="98" fillId="8" borderId="9" xfId="2" applyNumberFormat="1" applyFont="1" applyFill="1" applyBorder="1" applyAlignment="1" applyProtection="1">
      <alignment horizontal="center" vertical="center"/>
    </xf>
    <xf numFmtId="1" fontId="98" fillId="8" borderId="9" xfId="13" applyNumberFormat="1" applyFont="1" applyFill="1" applyBorder="1" applyAlignment="1">
      <alignment horizontal="center"/>
    </xf>
    <xf numFmtId="0" fontId="98" fillId="8" borderId="9" xfId="13" applyNumberFormat="1" applyFont="1" applyFill="1" applyBorder="1" applyAlignment="1">
      <alignment horizontal="center"/>
    </xf>
    <xf numFmtId="0" fontId="98" fillId="8" borderId="9" xfId="13" applyNumberFormat="1" applyFont="1" applyFill="1" applyBorder="1" applyAlignment="1">
      <alignment horizontal="center" vertical="center"/>
    </xf>
    <xf numFmtId="0" fontId="98" fillId="8" borderId="9" xfId="13" applyNumberFormat="1" applyFont="1" applyFill="1" applyBorder="1" applyAlignment="1">
      <alignment horizontal="center" wrapText="1"/>
    </xf>
    <xf numFmtId="0" fontId="98" fillId="8" borderId="0" xfId="13" applyNumberFormat="1" applyFont="1" applyFill="1" applyBorder="1" applyAlignment="1">
      <alignment horizontal="center" wrapText="1"/>
    </xf>
    <xf numFmtId="4" fontId="99" fillId="10" borderId="3" xfId="2" applyNumberFormat="1" applyFont="1" applyFill="1" applyBorder="1" applyAlignment="1" applyProtection="1">
      <alignment horizontal="left" vertical="center"/>
    </xf>
    <xf numFmtId="0" fontId="97" fillId="0" borderId="3" xfId="2" applyNumberFormat="1" applyFont="1" applyFill="1" applyBorder="1" applyAlignment="1" applyProtection="1">
      <alignment horizontal="center" vertical="center" textRotation="90"/>
    </xf>
    <xf numFmtId="0" fontId="97" fillId="0" borderId="3" xfId="0" applyFont="1" applyFill="1" applyBorder="1" applyAlignment="1">
      <alignment horizontal="center"/>
    </xf>
    <xf numFmtId="0" fontId="99" fillId="0" borderId="3" xfId="2" applyNumberFormat="1" applyFont="1" applyFill="1" applyBorder="1" applyAlignment="1" applyProtection="1">
      <alignment horizontal="center" vertical="center" textRotation="90"/>
    </xf>
    <xf numFmtId="0" fontId="97" fillId="11" borderId="3" xfId="0" applyFont="1" applyFill="1" applyBorder="1" applyAlignment="1">
      <alignment horizontal="center" vertical="center" textRotation="90" wrapText="1"/>
    </xf>
    <xf numFmtId="171" fontId="97" fillId="11" borderId="3" xfId="2" applyNumberFormat="1" applyFont="1" applyFill="1" applyBorder="1" applyAlignment="1">
      <alignment horizontal="center" vertical="center" textRotation="90" wrapText="1"/>
    </xf>
    <xf numFmtId="0" fontId="97" fillId="11" borderId="3" xfId="0" applyFont="1" applyFill="1" applyBorder="1" applyAlignment="1">
      <alignment horizontal="center" vertical="center" textRotation="90"/>
    </xf>
    <xf numFmtId="0" fontId="97" fillId="0" borderId="11" xfId="2" applyNumberFormat="1" applyFont="1" applyFill="1" applyBorder="1" applyAlignment="1" applyProtection="1">
      <alignment horizontal="center" vertical="center"/>
    </xf>
    <xf numFmtId="0" fontId="97" fillId="0" borderId="26" xfId="2" applyNumberFormat="1" applyFont="1" applyFill="1" applyBorder="1" applyAlignment="1" applyProtection="1">
      <alignment horizontal="center" vertical="center"/>
    </xf>
    <xf numFmtId="0" fontId="97" fillId="12" borderId="5" xfId="13" applyNumberFormat="1" applyFont="1" applyFill="1" applyBorder="1" applyAlignment="1">
      <alignment horizontal="center" vertical="center" wrapText="1"/>
    </xf>
    <xf numFmtId="190" fontId="97" fillId="0" borderId="0" xfId="13" applyNumberFormat="1" applyFont="1" applyFill="1" applyBorder="1" applyAlignment="1">
      <alignment horizontal="center" vertical="center"/>
    </xf>
    <xf numFmtId="190" fontId="97" fillId="0" borderId="0" xfId="13" applyNumberFormat="1" applyFont="1" applyFill="1" applyBorder="1" applyAlignment="1">
      <alignment horizontal="center"/>
    </xf>
    <xf numFmtId="168" fontId="97" fillId="0" borderId="0" xfId="2" applyFont="1" applyFill="1" applyBorder="1" applyAlignment="1">
      <alignment horizontal="center"/>
    </xf>
    <xf numFmtId="168" fontId="97" fillId="0" borderId="5" xfId="2" applyFont="1" applyFill="1" applyBorder="1" applyAlignment="1">
      <alignment horizontal="center"/>
    </xf>
    <xf numFmtId="169" fontId="97" fillId="0" borderId="0" xfId="2" applyNumberFormat="1" applyFont="1" applyFill="1" applyBorder="1" applyAlignment="1">
      <alignment horizontal="center"/>
    </xf>
    <xf numFmtId="0" fontId="40" fillId="0" borderId="0" xfId="0" applyFont="1" applyFill="1" applyAlignment="1" applyProtection="1">
      <alignment horizontal="center" vertical="center"/>
      <protection hidden="1"/>
    </xf>
    <xf numFmtId="0" fontId="40" fillId="0" borderId="3" xfId="0" applyFont="1" applyFill="1" applyBorder="1" applyAlignment="1" applyProtection="1">
      <alignment horizontal="center"/>
      <protection hidden="1"/>
    </xf>
    <xf numFmtId="0" fontId="97" fillId="0" borderId="3" xfId="2" applyNumberFormat="1" applyFont="1" applyFill="1" applyBorder="1" applyAlignment="1" applyProtection="1">
      <alignment horizontal="center" vertical="center" textRotation="90"/>
    </xf>
    <xf numFmtId="0" fontId="101" fillId="0" borderId="0" xfId="13" applyNumberFormat="1" applyFont="1" applyFill="1" applyBorder="1" applyAlignment="1">
      <alignment horizontal="center"/>
    </xf>
    <xf numFmtId="3" fontId="101" fillId="0" borderId="0" xfId="13" applyNumberFormat="1" applyFont="1" applyFill="1" applyBorder="1" applyAlignment="1">
      <alignment horizontal="center"/>
    </xf>
    <xf numFmtId="173" fontId="101" fillId="0" borderId="0" xfId="13" applyNumberFormat="1" applyFont="1" applyFill="1" applyBorder="1" applyAlignment="1">
      <alignment horizontal="center"/>
    </xf>
    <xf numFmtId="169" fontId="101" fillId="0" borderId="0" xfId="2" applyNumberFormat="1" applyFont="1" applyFill="1" applyBorder="1" applyAlignment="1">
      <alignment horizontal="center"/>
    </xf>
    <xf numFmtId="0" fontId="97" fillId="0" borderId="9" xfId="13" quotePrefix="1" applyNumberFormat="1" applyFont="1" applyFill="1" applyBorder="1" applyAlignment="1">
      <alignment horizontal="center"/>
    </xf>
    <xf numFmtId="1" fontId="97" fillId="0" borderId="9" xfId="13" applyNumberFormat="1" applyFont="1" applyFill="1" applyBorder="1" applyAlignment="1">
      <alignment horizontal="center" vertical="center"/>
    </xf>
    <xf numFmtId="0" fontId="97" fillId="0" borderId="9" xfId="13" applyNumberFormat="1" applyFont="1" applyFill="1" applyBorder="1" applyAlignment="1">
      <alignment horizontal="center" vertical="center" wrapText="1"/>
    </xf>
    <xf numFmtId="49" fontId="99" fillId="0" borderId="3" xfId="2" applyNumberFormat="1" applyFont="1" applyFill="1" applyBorder="1" applyAlignment="1" applyProtection="1">
      <alignment horizontal="center" vertical="center"/>
    </xf>
    <xf numFmtId="174" fontId="99" fillId="0" borderId="3" xfId="2" applyNumberFormat="1" applyFont="1" applyFill="1" applyBorder="1" applyAlignment="1">
      <alignment horizontal="center" vertical="center"/>
    </xf>
    <xf numFmtId="173" fontId="99" fillId="0" borderId="3" xfId="2" applyNumberFormat="1" applyFont="1" applyFill="1" applyBorder="1" applyAlignment="1">
      <alignment horizontal="center" vertical="center"/>
    </xf>
    <xf numFmtId="3" fontId="99" fillId="0" borderId="3" xfId="2" applyNumberFormat="1" applyFont="1" applyFill="1" applyBorder="1" applyAlignment="1">
      <alignment horizontal="center" vertical="center"/>
    </xf>
    <xf numFmtId="1" fontId="99" fillId="0" borderId="3" xfId="2" applyNumberFormat="1" applyFont="1" applyFill="1" applyBorder="1" applyAlignment="1" applyProtection="1">
      <alignment horizontal="center" vertical="center"/>
    </xf>
    <xf numFmtId="0" fontId="99" fillId="0" borderId="3" xfId="2" applyNumberFormat="1" applyFont="1" applyFill="1" applyBorder="1" applyAlignment="1">
      <alignment horizontal="center"/>
    </xf>
    <xf numFmtId="49" fontId="99" fillId="0" borderId="3" xfId="13" applyNumberFormat="1" applyFont="1" applyFill="1" applyBorder="1" applyAlignment="1">
      <alignment horizontal="center" vertical="center"/>
    </xf>
    <xf numFmtId="174" fontId="99" fillId="0" borderId="3" xfId="13" applyNumberFormat="1" applyFont="1" applyFill="1" applyBorder="1" applyAlignment="1">
      <alignment horizontal="center" vertical="center"/>
    </xf>
    <xf numFmtId="3" fontId="99" fillId="0" borderId="3" xfId="13" applyNumberFormat="1" applyFont="1" applyFill="1" applyBorder="1" applyAlignment="1">
      <alignment horizontal="center" vertical="center"/>
    </xf>
    <xf numFmtId="0" fontId="40" fillId="0" borderId="3" xfId="0" quotePrefix="1" applyFont="1" applyFill="1" applyBorder="1" applyAlignment="1" applyProtection="1">
      <protection hidden="1"/>
    </xf>
    <xf numFmtId="0" fontId="78" fillId="0" borderId="0" xfId="0" applyFont="1" applyFill="1" applyProtection="1"/>
    <xf numFmtId="0" fontId="77" fillId="0" borderId="0" xfId="0" applyFont="1" applyFill="1" applyProtection="1"/>
    <xf numFmtId="0" fontId="29" fillId="0" borderId="0" xfId="0" applyFont="1" applyFill="1" applyAlignment="1">
      <alignment vertical="center"/>
    </xf>
    <xf numFmtId="3" fontId="40" fillId="10" borderId="3" xfId="2" applyNumberFormat="1" applyFont="1" applyFill="1" applyBorder="1" applyProtection="1"/>
    <xf numFmtId="169" fontId="40" fillId="10" borderId="3" xfId="2" applyNumberFormat="1" applyFont="1" applyFill="1" applyBorder="1" applyAlignment="1" applyProtection="1">
      <alignment horizontal="center"/>
    </xf>
    <xf numFmtId="171" fontId="49" fillId="10" borderId="9" xfId="2" applyNumberFormat="1" applyFont="1" applyFill="1" applyBorder="1" applyProtection="1"/>
    <xf numFmtId="0" fontId="40" fillId="0" borderId="3" xfId="0" applyNumberFormat="1" applyFont="1" applyFill="1" applyBorder="1" applyAlignment="1">
      <alignment horizontal="left" vertical="justify" wrapText="1"/>
    </xf>
    <xf numFmtId="3" fontId="49" fillId="0" borderId="9" xfId="2" applyNumberFormat="1" applyFont="1" applyFill="1" applyBorder="1" applyProtection="1"/>
    <xf numFmtId="3" fontId="49" fillId="10" borderId="5" xfId="2" applyNumberFormat="1" applyFont="1" applyFill="1" applyBorder="1" applyAlignment="1" applyProtection="1">
      <alignment vertical="center"/>
    </xf>
    <xf numFmtId="169" fontId="49" fillId="10" borderId="5" xfId="2" applyNumberFormat="1" applyFont="1" applyFill="1" applyBorder="1" applyAlignment="1">
      <alignment vertical="center"/>
    </xf>
    <xf numFmtId="169" fontId="49" fillId="10" borderId="23" xfId="2" applyNumberFormat="1" applyFont="1" applyFill="1" applyBorder="1" applyProtection="1"/>
    <xf numFmtId="164" fontId="49" fillId="10" borderId="8" xfId="0" applyNumberFormat="1" applyFont="1" applyFill="1" applyBorder="1" applyAlignment="1">
      <alignment horizontal="right" vertical="center"/>
    </xf>
    <xf numFmtId="164" fontId="49" fillId="10" borderId="9" xfId="0" applyNumberFormat="1" applyFont="1" applyFill="1" applyBorder="1" applyAlignment="1">
      <alignment horizontal="right" vertical="center"/>
    </xf>
    <xf numFmtId="164" fontId="49" fillId="10" borderId="5" xfId="0" applyNumberFormat="1" applyFont="1" applyFill="1" applyBorder="1" applyAlignment="1">
      <alignment horizontal="right" vertical="center"/>
    </xf>
    <xf numFmtId="41" fontId="49" fillId="10" borderId="8" xfId="0" applyNumberFormat="1" applyFont="1" applyFill="1" applyBorder="1" applyAlignment="1">
      <alignment horizontal="right" vertical="center"/>
    </xf>
    <xf numFmtId="0" fontId="36" fillId="0" borderId="0" xfId="0" applyFont="1" applyFill="1" applyBorder="1" applyAlignment="1" applyProtection="1"/>
    <xf numFmtId="0" fontId="49" fillId="0" borderId="5" xfId="0" applyFont="1" applyFill="1" applyBorder="1" applyAlignment="1" applyProtection="1">
      <protection hidden="1"/>
    </xf>
    <xf numFmtId="0" fontId="49" fillId="0" borderId="5" xfId="0" applyFont="1" applyFill="1" applyBorder="1" applyAlignment="1" applyProtection="1">
      <alignment vertical="justify"/>
      <protection hidden="1"/>
    </xf>
    <xf numFmtId="0" fontId="92" fillId="0" borderId="5" xfId="2" applyNumberFormat="1" applyFont="1" applyFill="1" applyBorder="1" applyAlignment="1" applyProtection="1"/>
    <xf numFmtId="164" fontId="49" fillId="10" borderId="5" xfId="0" applyNumberFormat="1" applyFont="1" applyFill="1" applyBorder="1" applyAlignment="1">
      <alignment vertical="center"/>
    </xf>
    <xf numFmtId="0" fontId="36" fillId="0" borderId="0" xfId="0" applyFont="1" applyFill="1" applyAlignment="1" applyProtection="1"/>
    <xf numFmtId="0" fontId="11" fillId="0" borderId="0" xfId="0" applyFont="1" applyFill="1" applyAlignment="1" applyProtection="1"/>
    <xf numFmtId="169" fontId="49" fillId="10" borderId="9" xfId="2" applyNumberFormat="1" applyFont="1" applyFill="1" applyBorder="1" applyAlignment="1">
      <alignment vertical="center"/>
    </xf>
    <xf numFmtId="164" fontId="49" fillId="10" borderId="23" xfId="0" applyNumberFormat="1" applyFont="1" applyFill="1" applyBorder="1" applyAlignment="1">
      <alignment horizontal="right" vertical="center"/>
    </xf>
    <xf numFmtId="41" fontId="49" fillId="10" borderId="9" xfId="0" applyNumberFormat="1" applyFont="1" applyFill="1" applyBorder="1" applyAlignment="1">
      <alignment horizontal="right" vertical="center"/>
    </xf>
    <xf numFmtId="41" fontId="49" fillId="10" borderId="11" xfId="0" applyNumberFormat="1" applyFont="1" applyFill="1" applyBorder="1" applyAlignment="1">
      <alignment horizontal="right" vertical="center"/>
    </xf>
    <xf numFmtId="41" fontId="49" fillId="10" borderId="5" xfId="0" applyNumberFormat="1" applyFont="1" applyFill="1" applyBorder="1" applyAlignment="1">
      <alignment horizontal="right" vertical="center"/>
    </xf>
    <xf numFmtId="164" fontId="49" fillId="10" borderId="11" xfId="0" applyNumberFormat="1" applyFont="1" applyFill="1" applyBorder="1" applyAlignment="1">
      <alignment horizontal="right" vertical="center"/>
    </xf>
    <xf numFmtId="169" fontId="49" fillId="10" borderId="5" xfId="2" applyNumberFormat="1" applyFont="1" applyFill="1" applyBorder="1" applyAlignment="1" applyProtection="1">
      <alignment horizontal="center"/>
      <protection hidden="1"/>
    </xf>
    <xf numFmtId="169" fontId="49" fillId="0" borderId="5" xfId="2" applyNumberFormat="1" applyFont="1" applyFill="1" applyBorder="1" applyAlignment="1" applyProtection="1">
      <alignment vertical="center"/>
    </xf>
    <xf numFmtId="164" fontId="49" fillId="10" borderId="3" xfId="0" applyNumberFormat="1" applyFont="1" applyFill="1" applyBorder="1" applyAlignment="1">
      <alignment horizontal="right" vertical="center"/>
    </xf>
    <xf numFmtId="164" fontId="49" fillId="10" borderId="5" xfId="0" applyNumberFormat="1" applyFont="1" applyFill="1" applyBorder="1" applyAlignment="1">
      <alignment horizontal="center" vertical="center"/>
    </xf>
    <xf numFmtId="169" fontId="49" fillId="10" borderId="22" xfId="2" applyNumberFormat="1" applyFont="1" applyFill="1" applyBorder="1" applyProtection="1"/>
    <xf numFmtId="188" fontId="40" fillId="0" borderId="3" xfId="0" applyNumberFormat="1" applyFont="1" applyFill="1" applyBorder="1" applyAlignment="1">
      <alignment vertical="center"/>
    </xf>
    <xf numFmtId="186" fontId="36" fillId="10" borderId="0" xfId="14" applyNumberFormat="1" applyFont="1" applyFill="1" applyAlignment="1">
      <alignment vertical="center"/>
    </xf>
    <xf numFmtId="1" fontId="36" fillId="8" borderId="5" xfId="0" applyNumberFormat="1" applyFont="1" applyFill="1" applyBorder="1" applyAlignment="1">
      <alignment horizontal="center" vertical="center"/>
    </xf>
    <xf numFmtId="174" fontId="36" fillId="8" borderId="5" xfId="0" applyNumberFormat="1" applyFont="1" applyFill="1" applyBorder="1" applyAlignment="1">
      <alignment horizontal="center" vertical="center"/>
    </xf>
    <xf numFmtId="3" fontId="99" fillId="8" borderId="3" xfId="2" applyNumberFormat="1" applyFont="1" applyFill="1" applyBorder="1" applyAlignment="1">
      <alignment horizontal="center" vertical="center"/>
    </xf>
    <xf numFmtId="3" fontId="36" fillId="8" borderId="5" xfId="0" applyNumberFormat="1" applyFont="1" applyFill="1" applyBorder="1" applyAlignment="1">
      <alignment horizontal="center" vertical="center"/>
    </xf>
    <xf numFmtId="3" fontId="86" fillId="8" borderId="5" xfId="0" applyNumberFormat="1" applyFont="1" applyFill="1" applyBorder="1" applyAlignment="1">
      <alignment horizontal="center" vertical="center"/>
    </xf>
    <xf numFmtId="175" fontId="36" fillId="8" borderId="5" xfId="0" applyNumberFormat="1" applyFont="1" applyFill="1" applyBorder="1" applyAlignment="1">
      <alignment horizontal="center" vertical="center"/>
    </xf>
    <xf numFmtId="173" fontId="36" fillId="10" borderId="5" xfId="14" applyNumberFormat="1" applyFont="1" applyFill="1" applyBorder="1" applyAlignment="1">
      <alignment vertical="center"/>
    </xf>
    <xf numFmtId="173" fontId="36" fillId="0" borderId="5" xfId="14" applyNumberFormat="1" applyFont="1" applyFill="1" applyBorder="1" applyAlignment="1">
      <alignment vertical="center"/>
    </xf>
    <xf numFmtId="3" fontId="36" fillId="8" borderId="5" xfId="14" applyNumberFormat="1" applyFont="1" applyFill="1" applyBorder="1" applyAlignment="1">
      <alignment horizontal="right" vertical="center"/>
    </xf>
    <xf numFmtId="3" fontId="84" fillId="0" borderId="5" xfId="14" applyNumberFormat="1" applyFont="1" applyFill="1" applyBorder="1" applyAlignment="1">
      <alignment horizontal="center" vertical="center"/>
    </xf>
    <xf numFmtId="0" fontId="40" fillId="0" borderId="3" xfId="0" applyFont="1" applyFill="1" applyBorder="1" applyAlignment="1" applyProtection="1">
      <alignment horizontal="center"/>
      <protection hidden="1"/>
    </xf>
    <xf numFmtId="3" fontId="84" fillId="0" borderId="0" xfId="14" applyNumberFormat="1" applyFont="1" applyFill="1" applyBorder="1" applyAlignment="1">
      <alignment horizontal="center" vertical="center"/>
    </xf>
    <xf numFmtId="0" fontId="84" fillId="0" borderId="0" xfId="14" applyFont="1" applyFill="1" applyAlignment="1">
      <alignment vertical="center"/>
    </xf>
    <xf numFmtId="164" fontId="84" fillId="0" borderId="0" xfId="14" applyNumberFormat="1" applyFont="1" applyFill="1" applyBorder="1" applyAlignment="1">
      <alignment horizontal="center" vertical="center"/>
    </xf>
    <xf numFmtId="166" fontId="84" fillId="0" borderId="0" xfId="14" applyNumberFormat="1" applyFont="1" applyFill="1" applyBorder="1" applyAlignment="1">
      <alignment vertical="center"/>
    </xf>
    <xf numFmtId="0" fontId="84" fillId="0" borderId="0" xfId="14" applyFont="1" applyFill="1" applyBorder="1" applyAlignment="1">
      <alignment vertical="center"/>
    </xf>
    <xf numFmtId="173" fontId="99" fillId="8" borderId="3" xfId="2" applyNumberFormat="1" applyFont="1" applyFill="1" applyBorder="1" applyAlignment="1">
      <alignment horizontal="center" vertical="center"/>
    </xf>
    <xf numFmtId="164" fontId="84" fillId="8" borderId="5" xfId="14" applyNumberFormat="1" applyFont="1" applyFill="1" applyBorder="1" applyAlignment="1">
      <alignment horizontal="center" vertical="center"/>
    </xf>
    <xf numFmtId="169" fontId="49" fillId="10" borderId="23" xfId="2" applyNumberFormat="1" applyFont="1" applyFill="1" applyBorder="1" applyAlignment="1" applyProtection="1">
      <alignment horizontal="right"/>
    </xf>
    <xf numFmtId="0" fontId="36" fillId="8" borderId="0" xfId="0" applyFont="1" applyFill="1"/>
    <xf numFmtId="0" fontId="36" fillId="10" borderId="0" xfId="0" applyFont="1" applyFill="1"/>
    <xf numFmtId="0" fontId="36" fillId="8" borderId="3" xfId="0" applyFont="1" applyFill="1" applyBorder="1"/>
    <xf numFmtId="0" fontId="49" fillId="8" borderId="3" xfId="0" applyFont="1" applyFill="1" applyBorder="1"/>
    <xf numFmtId="0" fontId="49" fillId="10" borderId="3" xfId="0" applyFont="1" applyFill="1" applyBorder="1"/>
    <xf numFmtId="0" fontId="36" fillId="8" borderId="26" xfId="0" applyFont="1" applyFill="1" applyBorder="1" applyAlignment="1"/>
    <xf numFmtId="0" fontId="36" fillId="8" borderId="23" xfId="0" applyFont="1" applyFill="1" applyBorder="1" applyAlignment="1"/>
    <xf numFmtId="0" fontId="36" fillId="8" borderId="21" xfId="0" applyFont="1" applyFill="1" applyBorder="1" applyAlignment="1"/>
    <xf numFmtId="0" fontId="36" fillId="8" borderId="3" xfId="0" applyFont="1" applyFill="1" applyBorder="1" applyAlignment="1"/>
    <xf numFmtId="0" fontId="36" fillId="10" borderId="26" xfId="0" applyFont="1" applyFill="1" applyBorder="1" applyAlignment="1"/>
    <xf numFmtId="0" fontId="49" fillId="8" borderId="21" xfId="0" applyFont="1" applyFill="1" applyBorder="1"/>
    <xf numFmtId="0" fontId="36" fillId="8" borderId="21" xfId="0" applyFont="1" applyFill="1" applyBorder="1"/>
    <xf numFmtId="0" fontId="35" fillId="0" borderId="3" xfId="0" applyFont="1" applyBorder="1" applyAlignment="1">
      <alignment horizontal="center"/>
    </xf>
    <xf numFmtId="0" fontId="49" fillId="0" borderId="0" xfId="0" applyFont="1"/>
    <xf numFmtId="0" fontId="40" fillId="0" borderId="3" xfId="0" applyFont="1" applyFill="1" applyBorder="1" applyAlignment="1" applyProtection="1">
      <alignment horizontal="center"/>
      <protection hidden="1"/>
    </xf>
    <xf numFmtId="189" fontId="35" fillId="0" borderId="26" xfId="17" applyNumberFormat="1" applyFont="1" applyBorder="1" applyAlignment="1">
      <alignment horizontal="right" vertical="center" wrapText="1"/>
    </xf>
    <xf numFmtId="189" fontId="54" fillId="0" borderId="22" xfId="17" applyNumberFormat="1" applyFont="1" applyBorder="1" applyAlignment="1">
      <alignment horizontal="right" vertical="center"/>
    </xf>
    <xf numFmtId="189" fontId="54" fillId="0" borderId="9" xfId="17" applyNumberFormat="1" applyFont="1" applyBorder="1" applyAlignment="1">
      <alignment horizontal="right" vertical="center"/>
    </xf>
    <xf numFmtId="189" fontId="54" fillId="0" borderId="5" xfId="17" applyNumberFormat="1" applyFont="1" applyFill="1" applyBorder="1" applyAlignment="1">
      <alignment horizontal="right" vertical="center"/>
    </xf>
    <xf numFmtId="189" fontId="54" fillId="0" borderId="8" xfId="17" applyNumberFormat="1" applyFont="1" applyFill="1" applyBorder="1" applyAlignment="1">
      <alignment horizontal="right" vertical="center"/>
    </xf>
    <xf numFmtId="189" fontId="52" fillId="0" borderId="3" xfId="17" applyNumberFormat="1" applyFont="1" applyBorder="1" applyAlignment="1">
      <alignment horizontal="right" vertical="center"/>
    </xf>
    <xf numFmtId="173" fontId="52" fillId="0" borderId="21" xfId="17" applyNumberFormat="1" applyFont="1" applyBorder="1" applyAlignment="1">
      <alignment horizontal="right" vertical="center"/>
    </xf>
    <xf numFmtId="0" fontId="64" fillId="0" borderId="16" xfId="16" applyFont="1" applyFill="1" applyBorder="1" applyAlignment="1">
      <alignment horizontal="centerContinuous" vertical="center" wrapText="1"/>
    </xf>
    <xf numFmtId="174" fontId="49" fillId="10" borderId="5" xfId="2" applyNumberFormat="1" applyFont="1" applyFill="1" applyBorder="1" applyAlignment="1" applyProtection="1">
      <alignment vertical="center"/>
    </xf>
    <xf numFmtId="0" fontId="36" fillId="0" borderId="8" xfId="14" applyFont="1" applyFill="1" applyBorder="1" applyAlignment="1">
      <alignment horizontal="center" vertical="center"/>
    </xf>
    <xf numFmtId="164" fontId="84" fillId="0" borderId="8" xfId="14" applyNumberFormat="1" applyFont="1" applyFill="1" applyBorder="1" applyAlignment="1">
      <alignment horizontal="left" vertical="center"/>
    </xf>
    <xf numFmtId="164" fontId="84" fillId="0" borderId="8" xfId="14" applyNumberFormat="1" applyFont="1" applyFill="1" applyBorder="1" applyAlignment="1">
      <alignment horizontal="center" vertical="center"/>
    </xf>
    <xf numFmtId="164" fontId="84" fillId="8" borderId="8" xfId="14" applyNumberFormat="1" applyFont="1" applyFill="1" applyBorder="1" applyAlignment="1">
      <alignment horizontal="center" vertical="center"/>
    </xf>
    <xf numFmtId="181" fontId="84" fillId="0" borderId="8" xfId="14" applyNumberFormat="1" applyFont="1" applyFill="1" applyBorder="1" applyAlignment="1">
      <alignment horizontal="center" vertical="center"/>
    </xf>
    <xf numFmtId="164" fontId="36" fillId="0" borderId="8" xfId="14" applyNumberFormat="1" applyFont="1" applyFill="1" applyBorder="1" applyAlignment="1">
      <alignment horizontal="right" vertical="center"/>
    </xf>
    <xf numFmtId="3" fontId="36" fillId="0" borderId="8" xfId="14" applyNumberFormat="1" applyFont="1" applyFill="1" applyBorder="1" applyAlignment="1">
      <alignment horizontal="center" vertical="center"/>
    </xf>
    <xf numFmtId="0" fontId="36" fillId="0" borderId="9" xfId="14" applyFont="1" applyFill="1" applyBorder="1" applyAlignment="1">
      <alignment horizontal="center" vertical="center"/>
    </xf>
    <xf numFmtId="164" fontId="84" fillId="0" borderId="9" xfId="14" applyNumberFormat="1" applyFont="1" applyFill="1" applyBorder="1" applyAlignment="1">
      <alignment horizontal="left" vertical="center"/>
    </xf>
    <xf numFmtId="164" fontId="84" fillId="0" borderId="9" xfId="14" applyNumberFormat="1" applyFont="1" applyFill="1" applyBorder="1" applyAlignment="1">
      <alignment horizontal="center" vertical="center"/>
    </xf>
    <xf numFmtId="164" fontId="36" fillId="8" borderId="9" xfId="14" applyNumberFormat="1" applyFont="1" applyFill="1" applyBorder="1" applyAlignment="1">
      <alignment horizontal="center" vertical="center"/>
    </xf>
    <xf numFmtId="164" fontId="36" fillId="0" borderId="9" xfId="14" applyNumberFormat="1" applyFont="1" applyFill="1" applyBorder="1" applyAlignment="1">
      <alignment horizontal="center" vertical="center"/>
    </xf>
    <xf numFmtId="181" fontId="36" fillId="0" borderId="9" xfId="14" applyNumberFormat="1" applyFont="1" applyFill="1" applyBorder="1" applyAlignment="1">
      <alignment horizontal="center" vertical="center"/>
    </xf>
    <xf numFmtId="164" fontId="36" fillId="0" borderId="9" xfId="14" applyNumberFormat="1" applyFont="1" applyFill="1" applyBorder="1" applyAlignment="1">
      <alignment horizontal="right" vertical="center"/>
    </xf>
    <xf numFmtId="3" fontId="36" fillId="0" borderId="9" xfId="14" applyNumberFormat="1" applyFont="1" applyFill="1" applyBorder="1" applyAlignment="1">
      <alignment horizontal="center" vertical="center"/>
    </xf>
    <xf numFmtId="0" fontId="36" fillId="0" borderId="3" xfId="14" applyFont="1" applyFill="1" applyBorder="1" applyAlignment="1">
      <alignment horizontal="center" vertical="center"/>
    </xf>
    <xf numFmtId="164" fontId="36" fillId="0" borderId="3" xfId="14" applyNumberFormat="1" applyFont="1" applyFill="1" applyBorder="1" applyAlignment="1">
      <alignment horizontal="left" vertical="center"/>
    </xf>
    <xf numFmtId="164" fontId="36" fillId="0" borderId="3" xfId="14" applyNumberFormat="1" applyFont="1" applyFill="1" applyBorder="1" applyAlignment="1">
      <alignment horizontal="center" vertical="center"/>
    </xf>
    <xf numFmtId="164" fontId="36" fillId="8" borderId="3" xfId="14" applyNumberFormat="1" applyFont="1" applyFill="1" applyBorder="1" applyAlignment="1">
      <alignment horizontal="center" vertical="center"/>
    </xf>
    <xf numFmtId="181" fontId="36" fillId="0" borderId="3" xfId="14" applyNumberFormat="1" applyFont="1" applyFill="1" applyBorder="1" applyAlignment="1">
      <alignment horizontal="center" vertical="center"/>
    </xf>
    <xf numFmtId="164" fontId="36" fillId="0" borderId="3" xfId="14" applyNumberFormat="1" applyFont="1" applyFill="1" applyBorder="1" applyAlignment="1">
      <alignment horizontal="right" vertical="center"/>
    </xf>
    <xf numFmtId="3" fontId="36" fillId="0" borderId="3" xfId="14" applyNumberFormat="1" applyFont="1" applyFill="1" applyBorder="1" applyAlignment="1">
      <alignment horizontal="center" vertical="center"/>
    </xf>
    <xf numFmtId="164" fontId="84" fillId="8" borderId="9" xfId="14" applyNumberFormat="1" applyFont="1" applyFill="1" applyBorder="1" applyAlignment="1">
      <alignment horizontal="center" vertical="center"/>
    </xf>
    <xf numFmtId="181" fontId="84" fillId="0" borderId="9" xfId="14" applyNumberFormat="1" applyFont="1" applyFill="1" applyBorder="1" applyAlignment="1">
      <alignment horizontal="center" vertical="center"/>
    </xf>
    <xf numFmtId="188" fontId="36" fillId="8" borderId="3" xfId="14" applyNumberFormat="1" applyFont="1" applyFill="1" applyBorder="1" applyAlignment="1">
      <alignment horizontal="center" vertical="center"/>
    </xf>
    <xf numFmtId="164" fontId="36" fillId="0" borderId="3" xfId="14" applyNumberFormat="1" applyFont="1" applyFill="1" applyBorder="1" applyAlignment="1">
      <alignment horizontal="left" vertical="center" wrapText="1"/>
    </xf>
    <xf numFmtId="0" fontId="35" fillId="0" borderId="9" xfId="14" applyFont="1" applyFill="1" applyBorder="1" applyAlignment="1">
      <alignment horizontal="center" vertical="center"/>
    </xf>
    <xf numFmtId="0" fontId="84" fillId="0" borderId="8" xfId="14" applyFont="1" applyFill="1" applyBorder="1" applyAlignment="1">
      <alignment horizontal="center" vertical="center"/>
    </xf>
    <xf numFmtId="164" fontId="84" fillId="0" borderId="8" xfId="14" applyNumberFormat="1" applyFont="1" applyFill="1" applyBorder="1" applyAlignment="1">
      <alignment horizontal="left" vertical="center" wrapText="1"/>
    </xf>
    <xf numFmtId="3" fontId="84" fillId="0" borderId="8" xfId="14" applyNumberFormat="1" applyFont="1" applyFill="1" applyBorder="1" applyAlignment="1">
      <alignment horizontal="center" vertical="center"/>
    </xf>
    <xf numFmtId="3" fontId="35" fillId="0" borderId="9" xfId="14" applyNumberFormat="1" applyFont="1" applyFill="1" applyBorder="1" applyAlignment="1">
      <alignment horizontal="center" vertical="center"/>
    </xf>
    <xf numFmtId="164" fontId="36" fillId="8" borderId="3" xfId="14" applyNumberFormat="1" applyFont="1" applyFill="1" applyBorder="1" applyAlignment="1">
      <alignment vertical="center"/>
    </xf>
    <xf numFmtId="0" fontId="84" fillId="0" borderId="9" xfId="14" applyFont="1" applyFill="1" applyBorder="1" applyAlignment="1">
      <alignment horizontal="center" vertical="center"/>
    </xf>
    <xf numFmtId="164" fontId="84" fillId="0" borderId="9" xfId="14" applyNumberFormat="1" applyFont="1" applyFill="1" applyBorder="1" applyAlignment="1">
      <alignment horizontal="left" vertical="center" wrapText="1"/>
    </xf>
    <xf numFmtId="3" fontId="84" fillId="0" borderId="9" xfId="14" applyNumberFormat="1" applyFont="1" applyFill="1" applyBorder="1" applyAlignment="1">
      <alignment horizontal="center" vertical="center"/>
    </xf>
    <xf numFmtId="184" fontId="36" fillId="8" borderId="3" xfId="14" applyNumberFormat="1" applyFont="1" applyFill="1" applyBorder="1" applyAlignment="1">
      <alignment horizontal="center" vertical="center"/>
    </xf>
    <xf numFmtId="1" fontId="36" fillId="0" borderId="11" xfId="14" applyNumberFormat="1" applyFont="1" applyFill="1" applyBorder="1" applyAlignment="1">
      <alignment horizontal="center" vertical="center"/>
    </xf>
    <xf numFmtId="0" fontId="36" fillId="10" borderId="11" xfId="14" applyFont="1" applyFill="1" applyBorder="1" applyAlignment="1">
      <alignment horizontal="center" vertical="center" wrapText="1"/>
    </xf>
    <xf numFmtId="0" fontId="36" fillId="10" borderId="11" xfId="0" applyFont="1" applyFill="1" applyBorder="1" applyAlignment="1">
      <alignment vertical="center"/>
    </xf>
    <xf numFmtId="0" fontId="36" fillId="10" borderId="11" xfId="0" applyFont="1" applyFill="1" applyBorder="1" applyAlignment="1">
      <alignment horizontal="center" vertical="center"/>
    </xf>
    <xf numFmtId="49" fontId="36" fillId="10" borderId="11" xfId="14" quotePrefix="1" applyNumberFormat="1" applyFont="1" applyFill="1" applyBorder="1" applyAlignment="1">
      <alignment horizontal="center" vertical="center"/>
    </xf>
    <xf numFmtId="4" fontId="36" fillId="10" borderId="11" xfId="14" applyNumberFormat="1" applyFont="1" applyFill="1" applyBorder="1" applyAlignment="1">
      <alignment horizontal="center" vertical="center"/>
    </xf>
    <xf numFmtId="170" fontId="36" fillId="10" borderId="11" xfId="14" applyNumberFormat="1" applyFont="1" applyFill="1" applyBorder="1" applyAlignment="1">
      <alignment horizontal="center" vertical="center"/>
    </xf>
    <xf numFmtId="4" fontId="36" fillId="10" borderId="11" xfId="14" applyNumberFormat="1" applyFont="1" applyFill="1" applyBorder="1" applyAlignment="1">
      <alignment vertical="center"/>
    </xf>
    <xf numFmtId="3" fontId="36" fillId="10" borderId="11" xfId="14" applyNumberFormat="1" applyFont="1" applyFill="1" applyBorder="1" applyAlignment="1">
      <alignment horizontal="right" vertical="center"/>
    </xf>
    <xf numFmtId="0" fontId="97" fillId="0" borderId="26" xfId="13" applyNumberFormat="1" applyFont="1" applyFill="1" applyBorder="1" applyAlignment="1">
      <alignment horizontal="center"/>
    </xf>
    <xf numFmtId="0" fontId="97" fillId="0" borderId="23" xfId="13" applyNumberFormat="1" applyFont="1" applyFill="1" applyBorder="1" applyAlignment="1">
      <alignment horizontal="center"/>
    </xf>
    <xf numFmtId="0" fontId="63" fillId="0" borderId="16" xfId="16" applyFont="1" applyFill="1" applyBorder="1" applyAlignment="1">
      <alignment horizontal="center" vertical="center"/>
    </xf>
    <xf numFmtId="0" fontId="63" fillId="0" borderId="0" xfId="16" applyFont="1" applyFill="1" applyBorder="1" applyAlignment="1">
      <alignment horizontal="center" vertical="center"/>
    </xf>
    <xf numFmtId="0" fontId="63" fillId="0" borderId="17" xfId="16" applyFont="1" applyFill="1" applyBorder="1" applyAlignment="1">
      <alignment horizontal="center" vertical="center"/>
    </xf>
    <xf numFmtId="0" fontId="59" fillId="0" borderId="0" xfId="15" applyFont="1" applyBorder="1" applyAlignment="1">
      <alignment horizontal="center"/>
    </xf>
    <xf numFmtId="0" fontId="63" fillId="0" borderId="16" xfId="16" applyFont="1" applyFill="1" applyBorder="1" applyAlignment="1">
      <alignment horizontal="center" vertical="center" wrapText="1"/>
    </xf>
    <xf numFmtId="0" fontId="40" fillId="0" borderId="16" xfId="16" applyFont="1" applyFill="1" applyBorder="1" applyAlignment="1">
      <alignment horizontal="center" wrapText="1"/>
    </xf>
    <xf numFmtId="0" fontId="40" fillId="0" borderId="0" xfId="16" applyFont="1" applyFill="1" applyBorder="1" applyAlignment="1">
      <alignment horizontal="center"/>
    </xf>
    <xf numFmtId="0" fontId="40" fillId="0" borderId="17" xfId="16" applyFont="1" applyFill="1" applyBorder="1" applyAlignment="1">
      <alignment horizontal="center"/>
    </xf>
    <xf numFmtId="0" fontId="40" fillId="0" borderId="16" xfId="16" applyFont="1" applyFill="1" applyBorder="1" applyAlignment="1">
      <alignment horizontal="left" vertical="center" wrapText="1"/>
    </xf>
    <xf numFmtId="0" fontId="40" fillId="0" borderId="0" xfId="16" applyFont="1" applyFill="1" applyBorder="1" applyAlignment="1">
      <alignment horizontal="left" vertical="center" wrapText="1"/>
    </xf>
    <xf numFmtId="0" fontId="40" fillId="0" borderId="17" xfId="16" applyFont="1" applyFill="1" applyBorder="1" applyAlignment="1">
      <alignment horizontal="left" vertical="center" wrapText="1"/>
    </xf>
    <xf numFmtId="0" fontId="40" fillId="0" borderId="16" xfId="16" applyFont="1" applyFill="1" applyBorder="1" applyAlignment="1">
      <alignment horizontal="center"/>
    </xf>
    <xf numFmtId="0" fontId="49" fillId="0" borderId="31" xfId="0" applyFont="1" applyBorder="1" applyAlignment="1">
      <alignment horizontal="center" vertical="center"/>
    </xf>
    <xf numFmtId="0" fontId="49" fillId="0" borderId="32" xfId="0" applyFont="1" applyBorder="1" applyAlignment="1">
      <alignment horizontal="center" vertical="center"/>
    </xf>
    <xf numFmtId="0" fontId="49" fillId="0" borderId="33" xfId="0" applyFont="1" applyBorder="1" applyAlignment="1">
      <alignment horizontal="center" vertical="center"/>
    </xf>
    <xf numFmtId="0" fontId="93" fillId="0" borderId="16" xfId="16" applyFont="1" applyFill="1" applyBorder="1" applyAlignment="1">
      <alignment horizontal="center" wrapText="1"/>
    </xf>
    <xf numFmtId="0" fontId="93" fillId="0" borderId="0" xfId="16" applyFont="1" applyFill="1" applyBorder="1" applyAlignment="1">
      <alignment horizontal="center"/>
    </xf>
    <xf numFmtId="0" fontId="93" fillId="0" borderId="17" xfId="16" applyFont="1" applyFill="1" applyBorder="1" applyAlignment="1">
      <alignment horizontal="center"/>
    </xf>
    <xf numFmtId="0" fontId="40" fillId="0" borderId="16" xfId="16" applyFont="1" applyFill="1" applyBorder="1" applyAlignment="1">
      <alignment vertical="center" wrapText="1"/>
    </xf>
    <xf numFmtId="0" fontId="40" fillId="0" borderId="0" xfId="16" applyFont="1" applyFill="1" applyBorder="1" applyAlignment="1">
      <alignment vertical="center" wrapText="1"/>
    </xf>
    <xf numFmtId="0" fontId="40" fillId="0" borderId="17" xfId="16" applyFont="1" applyFill="1" applyBorder="1" applyAlignment="1">
      <alignment vertical="center" wrapText="1"/>
    </xf>
    <xf numFmtId="0" fontId="40" fillId="0" borderId="0" xfId="0" applyFont="1" applyAlignment="1">
      <alignment horizontal="center"/>
    </xf>
    <xf numFmtId="38" fontId="35" fillId="0" borderId="3" xfId="17" applyNumberFormat="1" applyFont="1" applyBorder="1" applyAlignment="1">
      <alignment horizontal="center" vertical="center"/>
    </xf>
    <xf numFmtId="38" fontId="35" fillId="0" borderId="3" xfId="17" applyNumberFormat="1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38" fontId="52" fillId="0" borderId="0" xfId="17" applyNumberFormat="1" applyFont="1" applyFill="1" applyBorder="1" applyAlignment="1">
      <alignment horizontal="center" vertical="center" wrapText="1"/>
    </xf>
    <xf numFmtId="38" fontId="52" fillId="0" borderId="5" xfId="17" applyNumberFormat="1" applyFont="1" applyFill="1" applyBorder="1" applyAlignment="1">
      <alignment horizontal="center" vertical="center" wrapText="1"/>
    </xf>
    <xf numFmtId="38" fontId="52" fillId="0" borderId="8" xfId="17" applyNumberFormat="1" applyFont="1" applyFill="1" applyBorder="1" applyAlignment="1">
      <alignment horizontal="center" vertical="center" wrapText="1"/>
    </xf>
    <xf numFmtId="38" fontId="52" fillId="0" borderId="3" xfId="17" applyNumberFormat="1" applyFont="1" applyBorder="1" applyAlignment="1">
      <alignment horizontal="center" vertical="center" wrapText="1"/>
    </xf>
    <xf numFmtId="38" fontId="52" fillId="10" borderId="27" xfId="17" applyNumberFormat="1" applyFont="1" applyFill="1" applyBorder="1" applyAlignment="1">
      <alignment horizontal="center" vertical="center"/>
    </xf>
    <xf numFmtId="38" fontId="52" fillId="10" borderId="2" xfId="17" applyNumberFormat="1" applyFont="1" applyFill="1" applyBorder="1" applyAlignment="1">
      <alignment horizontal="center" vertical="center"/>
    </xf>
    <xf numFmtId="38" fontId="52" fillId="10" borderId="24" xfId="17" applyNumberFormat="1" applyFont="1" applyFill="1" applyBorder="1" applyAlignment="1">
      <alignment horizontal="center" vertical="center"/>
    </xf>
    <xf numFmtId="38" fontId="52" fillId="0" borderId="21" xfId="17" applyNumberFormat="1" applyFont="1" applyBorder="1" applyAlignment="1">
      <alignment horizontal="center" vertical="center" wrapText="1"/>
    </xf>
    <xf numFmtId="0" fontId="52" fillId="5" borderId="30" xfId="0" applyFont="1" applyFill="1" applyBorder="1" applyAlignment="1">
      <alignment horizontal="center" vertical="center" wrapText="1"/>
    </xf>
    <xf numFmtId="0" fontId="52" fillId="5" borderId="7" xfId="0" applyFont="1" applyFill="1" applyBorder="1" applyAlignment="1">
      <alignment horizontal="center" vertical="center" wrapText="1"/>
    </xf>
    <xf numFmtId="0" fontId="52" fillId="5" borderId="34" xfId="0" applyFont="1" applyFill="1" applyBorder="1" applyAlignment="1">
      <alignment horizontal="center" vertical="center" wrapText="1"/>
    </xf>
    <xf numFmtId="38" fontId="52" fillId="0" borderId="3" xfId="17" applyNumberFormat="1" applyFont="1" applyFill="1" applyBorder="1" applyAlignment="1">
      <alignment horizontal="center" vertical="center" wrapText="1"/>
    </xf>
    <xf numFmtId="38" fontId="52" fillId="0" borderId="23" xfId="17" applyNumberFormat="1" applyFont="1" applyBorder="1" applyAlignment="1">
      <alignment horizontal="center" vertical="center" wrapText="1"/>
    </xf>
    <xf numFmtId="0" fontId="52" fillId="5" borderId="27" xfId="0" applyFont="1" applyFill="1" applyBorder="1" applyAlignment="1">
      <alignment horizontal="center" vertical="center" wrapText="1"/>
    </xf>
    <xf numFmtId="0" fontId="52" fillId="5" borderId="2" xfId="0" applyFont="1" applyFill="1" applyBorder="1" applyAlignment="1">
      <alignment horizontal="center" vertical="center" wrapText="1"/>
    </xf>
    <xf numFmtId="0" fontId="52" fillId="5" borderId="24" xfId="0" applyFont="1" applyFill="1" applyBorder="1" applyAlignment="1">
      <alignment horizontal="center" vertical="center" wrapText="1"/>
    </xf>
    <xf numFmtId="38" fontId="52" fillId="0" borderId="26" xfId="17" applyNumberFormat="1" applyFont="1" applyBorder="1" applyAlignment="1">
      <alignment horizontal="center" vertical="center"/>
    </xf>
    <xf numFmtId="38" fontId="52" fillId="0" borderId="21" xfId="17" applyNumberFormat="1" applyFont="1" applyBorder="1" applyAlignment="1">
      <alignment horizontal="center" vertical="center"/>
    </xf>
    <xf numFmtId="38" fontId="52" fillId="0" borderId="27" xfId="17" applyNumberFormat="1" applyFont="1" applyBorder="1" applyAlignment="1">
      <alignment horizontal="center" vertical="center"/>
    </xf>
    <xf numFmtId="38" fontId="52" fillId="0" borderId="2" xfId="17" applyNumberFormat="1" applyFont="1" applyBorder="1" applyAlignment="1">
      <alignment horizontal="center" vertical="center"/>
    </xf>
    <xf numFmtId="38" fontId="52" fillId="0" borderId="24" xfId="17" applyNumberFormat="1" applyFont="1" applyBorder="1" applyAlignment="1">
      <alignment horizontal="center" vertical="center"/>
    </xf>
    <xf numFmtId="0" fontId="40" fillId="0" borderId="0" xfId="0" applyFont="1" applyAlignment="1">
      <alignment horizontal="center" wrapText="1"/>
    </xf>
    <xf numFmtId="38" fontId="35" fillId="0" borderId="3" xfId="0" applyNumberFormat="1" applyFont="1" applyFill="1" applyBorder="1" applyAlignment="1">
      <alignment horizontal="center" vertical="center" wrapText="1"/>
    </xf>
    <xf numFmtId="38" fontId="35" fillId="0" borderId="26" xfId="0" applyNumberFormat="1" applyFont="1" applyFill="1" applyBorder="1" applyAlignment="1">
      <alignment horizontal="center" vertical="center" wrapText="1"/>
    </xf>
    <xf numFmtId="38" fontId="35" fillId="0" borderId="21" xfId="0" applyNumberFormat="1" applyFont="1" applyFill="1" applyBorder="1" applyAlignment="1">
      <alignment horizontal="center" vertical="center" wrapText="1"/>
    </xf>
    <xf numFmtId="0" fontId="26" fillId="9" borderId="27" xfId="0" applyFont="1" applyFill="1" applyBorder="1" applyAlignment="1" applyProtection="1">
      <alignment horizontal="center"/>
      <protection hidden="1"/>
    </xf>
    <xf numFmtId="0" fontId="26" fillId="9" borderId="2" xfId="0" applyFont="1" applyFill="1" applyBorder="1" applyAlignment="1" applyProtection="1">
      <alignment horizontal="center"/>
      <protection hidden="1"/>
    </xf>
    <xf numFmtId="0" fontId="26" fillId="9" borderId="24" xfId="0" applyFont="1" applyFill="1" applyBorder="1" applyAlignment="1" applyProtection="1">
      <alignment horizontal="center"/>
      <protection hidden="1"/>
    </xf>
    <xf numFmtId="0" fontId="40" fillId="0" borderId="0" xfId="0" applyFont="1" applyFill="1" applyAlignment="1" applyProtection="1">
      <alignment horizontal="center" vertical="center"/>
      <protection hidden="1"/>
    </xf>
    <xf numFmtId="0" fontId="35" fillId="9" borderId="26" xfId="0" applyFont="1" applyFill="1" applyBorder="1" applyAlignment="1" applyProtection="1">
      <alignment horizontal="center" vertical="center"/>
      <protection hidden="1"/>
    </xf>
    <xf numFmtId="0" fontId="35" fillId="9" borderId="21" xfId="0" applyFont="1" applyFill="1" applyBorder="1" applyAlignment="1" applyProtection="1">
      <alignment horizontal="center" vertical="center"/>
      <protection hidden="1"/>
    </xf>
    <xf numFmtId="0" fontId="35" fillId="9" borderId="26" xfId="0" applyNumberFormat="1" applyFont="1" applyFill="1" applyBorder="1" applyAlignment="1" applyProtection="1">
      <alignment horizontal="center" vertical="center"/>
    </xf>
    <xf numFmtId="0" fontId="35" fillId="9" borderId="21" xfId="0" applyNumberFormat="1" applyFont="1" applyFill="1" applyBorder="1" applyAlignment="1" applyProtection="1">
      <alignment horizontal="center" vertical="center"/>
    </xf>
    <xf numFmtId="0" fontId="35" fillId="9" borderId="27" xfId="0" applyFont="1" applyFill="1" applyBorder="1" applyAlignment="1" applyProtection="1">
      <alignment horizontal="center"/>
      <protection hidden="1"/>
    </xf>
    <xf numFmtId="0" fontId="35" fillId="9" borderId="2" xfId="0" applyFont="1" applyFill="1" applyBorder="1" applyAlignment="1" applyProtection="1">
      <alignment horizontal="center"/>
      <protection hidden="1"/>
    </xf>
    <xf numFmtId="0" fontId="35" fillId="9" borderId="24" xfId="0" applyFont="1" applyFill="1" applyBorder="1" applyAlignment="1" applyProtection="1">
      <alignment horizontal="center"/>
      <protection hidden="1"/>
    </xf>
    <xf numFmtId="0" fontId="40" fillId="0" borderId="3" xfId="0" applyFont="1" applyFill="1" applyBorder="1" applyAlignment="1" applyProtection="1">
      <alignment horizontal="center"/>
      <protection hidden="1"/>
    </xf>
    <xf numFmtId="0" fontId="40" fillId="0" borderId="26" xfId="0" applyFont="1" applyFill="1" applyBorder="1" applyAlignment="1" applyProtection="1">
      <alignment horizontal="center" vertical="center"/>
      <protection hidden="1"/>
    </xf>
    <xf numFmtId="0" fontId="40" fillId="0" borderId="21" xfId="0" applyFont="1" applyFill="1" applyBorder="1" applyAlignment="1" applyProtection="1">
      <alignment horizontal="center" vertical="center"/>
      <protection hidden="1"/>
    </xf>
    <xf numFmtId="171" fontId="40" fillId="0" borderId="26" xfId="2" applyNumberFormat="1" applyFont="1" applyFill="1" applyBorder="1" applyAlignment="1" applyProtection="1">
      <alignment horizontal="center" vertical="center" wrapText="1"/>
    </xf>
    <xf numFmtId="171" fontId="40" fillId="0" borderId="21" xfId="2" applyNumberFormat="1" applyFont="1" applyFill="1" applyBorder="1" applyAlignment="1" applyProtection="1">
      <alignment horizontal="center" vertical="center" wrapText="1"/>
    </xf>
    <xf numFmtId="0" fontId="40" fillId="0" borderId="27" xfId="0" applyFont="1" applyFill="1" applyBorder="1" applyAlignment="1" applyProtection="1">
      <alignment horizontal="center"/>
      <protection hidden="1"/>
    </xf>
    <xf numFmtId="0" fontId="40" fillId="0" borderId="2" xfId="0" applyFont="1" applyFill="1" applyBorder="1" applyAlignment="1" applyProtection="1">
      <alignment horizontal="center"/>
      <protection hidden="1"/>
    </xf>
    <xf numFmtId="0" fontId="40" fillId="0" borderId="24" xfId="0" applyFont="1" applyFill="1" applyBorder="1" applyAlignment="1" applyProtection="1">
      <alignment horizontal="center"/>
      <protection hidden="1"/>
    </xf>
    <xf numFmtId="0" fontId="40" fillId="0" borderId="0" xfId="12" applyFont="1" applyFill="1" applyBorder="1" applyAlignment="1">
      <alignment horizontal="center"/>
    </xf>
    <xf numFmtId="0" fontId="40" fillId="0" borderId="0" xfId="12" applyFont="1" applyFill="1" applyBorder="1" applyAlignment="1">
      <alignment horizontal="center" wrapText="1"/>
    </xf>
    <xf numFmtId="0" fontId="35" fillId="0" borderId="3" xfId="0" quotePrefix="1" applyFont="1" applyFill="1" applyBorder="1" applyAlignment="1">
      <alignment horizontal="center" vertical="center" wrapText="1"/>
    </xf>
    <xf numFmtId="1" fontId="35" fillId="0" borderId="3" xfId="14" applyNumberFormat="1" applyFont="1" applyFill="1" applyBorder="1" applyAlignment="1">
      <alignment horizontal="center" vertical="center"/>
    </xf>
    <xf numFmtId="0" fontId="86" fillId="0" borderId="47" xfId="0" applyFont="1" applyBorder="1" applyAlignment="1">
      <alignment horizontal="center" vertical="center" wrapText="1"/>
    </xf>
    <xf numFmtId="0" fontId="86" fillId="0" borderId="0" xfId="0" applyFont="1" applyAlignment="1">
      <alignment horizontal="center" vertical="center" wrapText="1"/>
    </xf>
    <xf numFmtId="0" fontId="86" fillId="0" borderId="8" xfId="0" applyFont="1" applyFill="1" applyBorder="1" applyAlignment="1">
      <alignment horizontal="center" vertical="center"/>
    </xf>
    <xf numFmtId="0" fontId="86" fillId="0" borderId="23" xfId="0" applyFont="1" applyFill="1" applyBorder="1" applyAlignment="1">
      <alignment horizontal="center" vertical="center"/>
    </xf>
    <xf numFmtId="0" fontId="86" fillId="0" borderId="9" xfId="0" applyFont="1" applyFill="1" applyBorder="1" applyAlignment="1">
      <alignment horizontal="center" vertical="center"/>
    </xf>
    <xf numFmtId="1" fontId="89" fillId="0" borderId="8" xfId="3" applyNumberFormat="1" applyFont="1" applyBorder="1" applyAlignment="1" applyProtection="1">
      <alignment horizontal="center" vertical="center"/>
      <protection hidden="1"/>
    </xf>
    <xf numFmtId="1" fontId="89" fillId="0" borderId="23" xfId="3" applyNumberFormat="1" applyFont="1" applyBorder="1" applyAlignment="1" applyProtection="1">
      <alignment horizontal="center" vertical="center"/>
      <protection hidden="1"/>
    </xf>
    <xf numFmtId="1" fontId="89" fillId="0" borderId="9" xfId="3" applyNumberFormat="1" applyFont="1" applyBorder="1" applyAlignment="1" applyProtection="1">
      <alignment horizontal="center" vertical="center"/>
      <protection hidden="1"/>
    </xf>
    <xf numFmtId="0" fontId="86" fillId="0" borderId="42" xfId="14" applyFont="1" applyFill="1" applyBorder="1" applyAlignment="1">
      <alignment horizontal="center" vertical="center" wrapText="1"/>
    </xf>
    <xf numFmtId="0" fontId="86" fillId="0" borderId="43" xfId="14" applyFont="1" applyFill="1" applyBorder="1" applyAlignment="1">
      <alignment horizontal="center" vertical="center" wrapText="1"/>
    </xf>
    <xf numFmtId="0" fontId="86" fillId="0" borderId="44" xfId="14" applyFont="1" applyFill="1" applyBorder="1" applyAlignment="1">
      <alignment horizontal="center" vertical="center" wrapText="1"/>
    </xf>
    <xf numFmtId="0" fontId="86" fillId="0" borderId="42" xfId="0" applyFont="1" applyFill="1" applyBorder="1" applyAlignment="1">
      <alignment horizontal="center" vertical="center"/>
    </xf>
    <xf numFmtId="0" fontId="86" fillId="0" borderId="43" xfId="0" applyFont="1" applyFill="1" applyBorder="1" applyAlignment="1">
      <alignment horizontal="center" vertical="center"/>
    </xf>
    <xf numFmtId="0" fontId="86" fillId="0" borderId="44" xfId="0" applyFont="1" applyFill="1" applyBorder="1" applyAlignment="1">
      <alignment horizontal="center" vertical="center"/>
    </xf>
    <xf numFmtId="0" fontId="40" fillId="0" borderId="0" xfId="12" applyFont="1" applyBorder="1" applyAlignment="1">
      <alignment horizontal="center" wrapText="1"/>
    </xf>
    <xf numFmtId="0" fontId="40" fillId="0" borderId="0" xfId="12" applyFont="1" applyBorder="1" applyAlignment="1">
      <alignment horizontal="center"/>
    </xf>
    <xf numFmtId="0" fontId="86" fillId="0" borderId="45" xfId="14" applyFont="1" applyFill="1" applyBorder="1" applyAlignment="1">
      <alignment horizontal="center" vertical="center" wrapText="1"/>
    </xf>
    <xf numFmtId="0" fontId="86" fillId="0" borderId="45" xfId="0" applyFont="1" applyFill="1" applyBorder="1" applyAlignment="1">
      <alignment horizontal="center" vertical="center"/>
    </xf>
    <xf numFmtId="1" fontId="89" fillId="0" borderId="8" xfId="3" applyNumberFormat="1" applyFont="1" applyFill="1" applyBorder="1" applyAlignment="1" applyProtection="1">
      <alignment horizontal="center" vertical="center"/>
      <protection hidden="1"/>
    </xf>
    <xf numFmtId="1" fontId="89" fillId="0" borderId="23" xfId="3" applyNumberFormat="1" applyFont="1" applyFill="1" applyBorder="1" applyAlignment="1" applyProtection="1">
      <alignment horizontal="center" vertical="center"/>
      <protection hidden="1"/>
    </xf>
    <xf numFmtId="1" fontId="89" fillId="0" borderId="9" xfId="3" applyNumberFormat="1" applyFont="1" applyFill="1" applyBorder="1" applyAlignment="1" applyProtection="1">
      <alignment horizontal="center" vertical="center"/>
      <protection hidden="1"/>
    </xf>
    <xf numFmtId="1" fontId="89" fillId="0" borderId="21" xfId="3" applyNumberFormat="1" applyFont="1" applyFill="1" applyBorder="1" applyAlignment="1" applyProtection="1">
      <alignment horizontal="center" vertical="center"/>
      <protection hidden="1"/>
    </xf>
    <xf numFmtId="0" fontId="86" fillId="0" borderId="8" xfId="14" applyFont="1" applyFill="1" applyBorder="1" applyAlignment="1">
      <alignment horizontal="center" vertical="center" wrapText="1"/>
    </xf>
    <xf numFmtId="0" fontId="86" fillId="0" borderId="23" xfId="14" applyFont="1" applyFill="1" applyBorder="1" applyAlignment="1">
      <alignment horizontal="center" vertical="center" wrapText="1"/>
    </xf>
    <xf numFmtId="0" fontId="86" fillId="0" borderId="9" xfId="14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0" xfId="0" applyFont="1" applyFill="1" applyAlignment="1">
      <alignment horizontal="center" wrapText="1"/>
    </xf>
    <xf numFmtId="0" fontId="35" fillId="0" borderId="0" xfId="0" applyFont="1" applyAlignment="1">
      <alignment horizontal="center" vertical="top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horizontal="center"/>
    </xf>
    <xf numFmtId="0" fontId="41" fillId="0" borderId="0" xfId="0" applyFont="1" applyAlignment="1">
      <alignment horizontal="center" vertical="top" wrapText="1"/>
    </xf>
    <xf numFmtId="0" fontId="40" fillId="0" borderId="0" xfId="2" applyNumberFormat="1" applyFont="1" applyFill="1" applyBorder="1" applyAlignment="1" applyProtection="1">
      <alignment horizontal="center"/>
    </xf>
    <xf numFmtId="0" fontId="97" fillId="0" borderId="3" xfId="2" applyNumberFormat="1" applyFont="1" applyFill="1" applyBorder="1" applyAlignment="1" applyProtection="1">
      <alignment horizontal="center" vertical="center" textRotation="90"/>
    </xf>
    <xf numFmtId="0" fontId="97" fillId="0" borderId="27" xfId="0" applyFont="1" applyFill="1" applyBorder="1" applyAlignment="1">
      <alignment horizontal="center"/>
    </xf>
    <xf numFmtId="0" fontId="97" fillId="0" borderId="24" xfId="0" applyFont="1" applyFill="1" applyBorder="1" applyAlignment="1">
      <alignment horizontal="center"/>
    </xf>
    <xf numFmtId="0" fontId="99" fillId="0" borderId="3" xfId="2" applyNumberFormat="1" applyFont="1" applyFill="1" applyBorder="1" applyAlignment="1" applyProtection="1">
      <alignment horizontal="center" vertical="center" textRotation="90" wrapText="1"/>
    </xf>
    <xf numFmtId="0" fontId="97" fillId="11" borderId="3" xfId="2" applyNumberFormat="1" applyFont="1" applyFill="1" applyBorder="1" applyAlignment="1" applyProtection="1">
      <alignment horizontal="center" vertical="center" textRotation="90"/>
    </xf>
    <xf numFmtId="0" fontId="99" fillId="0" borderId="3" xfId="2" applyNumberFormat="1" applyFont="1" applyFill="1" applyBorder="1" applyAlignment="1" applyProtection="1">
      <alignment horizontal="center" vertical="center" textRotation="90"/>
    </xf>
    <xf numFmtId="3" fontId="97" fillId="0" borderId="3" xfId="2" applyNumberFormat="1" applyFont="1" applyFill="1" applyBorder="1" applyAlignment="1" applyProtection="1">
      <alignment horizontal="center" vertical="center" textRotation="90" wrapText="1"/>
    </xf>
    <xf numFmtId="0" fontId="97" fillId="11" borderId="27" xfId="0" applyFont="1" applyFill="1" applyBorder="1" applyAlignment="1">
      <alignment horizontal="center" vertical="center" wrapText="1"/>
    </xf>
    <xf numFmtId="0" fontId="97" fillId="11" borderId="2" xfId="0" applyFont="1" applyFill="1" applyBorder="1" applyAlignment="1">
      <alignment horizontal="center" vertical="center" wrapText="1"/>
    </xf>
    <xf numFmtId="0" fontId="97" fillId="11" borderId="24" xfId="0" applyFont="1" applyFill="1" applyBorder="1" applyAlignment="1">
      <alignment horizontal="center" vertical="center" wrapText="1"/>
    </xf>
    <xf numFmtId="0" fontId="97" fillId="0" borderId="26" xfId="2" applyNumberFormat="1" applyFont="1" applyFill="1" applyBorder="1" applyAlignment="1" applyProtection="1">
      <alignment horizontal="center" vertical="center" textRotation="90"/>
    </xf>
    <xf numFmtId="0" fontId="97" fillId="0" borderId="21" xfId="2" applyNumberFormat="1" applyFont="1" applyFill="1" applyBorder="1" applyAlignment="1" applyProtection="1">
      <alignment horizontal="center" vertical="center" textRotation="90"/>
    </xf>
    <xf numFmtId="0" fontId="35" fillId="10" borderId="27" xfId="0" quotePrefix="1" applyFont="1" applyFill="1" applyBorder="1" applyAlignment="1"/>
    <xf numFmtId="0" fontId="35" fillId="10" borderId="2" xfId="0" quotePrefix="1" applyFont="1" applyFill="1" applyBorder="1" applyAlignment="1"/>
    <xf numFmtId="0" fontId="35" fillId="10" borderId="24" xfId="0" quotePrefix="1" applyFont="1" applyFill="1" applyBorder="1" applyAlignment="1"/>
    <xf numFmtId="0" fontId="35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168" fontId="35" fillId="0" borderId="3" xfId="2" applyFont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 wrapText="1"/>
    </xf>
    <xf numFmtId="168" fontId="35" fillId="0" borderId="3" xfId="2" applyFont="1" applyFill="1" applyBorder="1" applyAlignment="1">
      <alignment horizontal="center" vertical="center" wrapText="1"/>
    </xf>
    <xf numFmtId="0" fontId="36" fillId="8" borderId="3" xfId="0" applyFont="1" applyFill="1" applyBorder="1" applyAlignment="1">
      <alignment horizontal="center"/>
    </xf>
    <xf numFmtId="0" fontId="36" fillId="10" borderId="26" xfId="0" applyFont="1" applyFill="1" applyBorder="1" applyAlignment="1">
      <alignment horizontal="center"/>
    </xf>
    <xf numFmtId="0" fontId="36" fillId="10" borderId="23" xfId="0" applyFont="1" applyFill="1" applyBorder="1" applyAlignment="1">
      <alignment horizontal="center"/>
    </xf>
    <xf numFmtId="0" fontId="36" fillId="10" borderId="21" xfId="0" applyFont="1" applyFill="1" applyBorder="1" applyAlignment="1">
      <alignment horizontal="center"/>
    </xf>
  </cellXfs>
  <cellStyles count="24">
    <cellStyle name="category" xfId="1" xr:uid="{00000000-0005-0000-0000-000000000000}"/>
    <cellStyle name="Comma" xfId="2" builtinId="3"/>
    <cellStyle name="Comma 2" xfId="3" xr:uid="{00000000-0005-0000-0000-000002000000}"/>
    <cellStyle name="Comma 3" xfId="4" xr:uid="{00000000-0005-0000-0000-000003000000}"/>
    <cellStyle name="Grey" xfId="5" xr:uid="{00000000-0005-0000-0000-000004000000}"/>
    <cellStyle name="HEADER" xfId="6" xr:uid="{00000000-0005-0000-0000-000005000000}"/>
    <cellStyle name="Header1" xfId="7" xr:uid="{00000000-0005-0000-0000-000006000000}"/>
    <cellStyle name="Header2" xfId="8" xr:uid="{00000000-0005-0000-0000-000007000000}"/>
    <cellStyle name="Input [yellow]" xfId="9" xr:uid="{00000000-0005-0000-0000-000008000000}"/>
    <cellStyle name="Model" xfId="10" xr:uid="{00000000-0005-0000-0000-000009000000}"/>
    <cellStyle name="Normal" xfId="0" builtinId="0"/>
    <cellStyle name="Normal - Style1" xfId="11" xr:uid="{00000000-0005-0000-0000-00000B000000}"/>
    <cellStyle name="Normal 2" xfId="23" xr:uid="{00000000-0005-0000-0000-00000C000000}"/>
    <cellStyle name="Normal_DT_LR-CHUNG SU" xfId="12" xr:uid="{00000000-0005-0000-0000-00000D000000}"/>
    <cellStyle name="Normal_DTOAN_Tan Thanh" xfId="13" xr:uid="{00000000-0005-0000-0000-00000E000000}"/>
    <cellStyle name="Normal_Du toan T2 Ap 2" xfId="14" xr:uid="{00000000-0005-0000-0000-00000F000000}"/>
    <cellStyle name="Normal_HANUL" xfId="15" xr:uid="{00000000-0005-0000-0000-000010000000}"/>
    <cellStyle name="Normal_LT" xfId="16" xr:uid="{00000000-0005-0000-0000-000011000000}"/>
    <cellStyle name="Normal_THPDMoi " xfId="17" xr:uid="{00000000-0005-0000-0000-000012000000}"/>
    <cellStyle name="Normal_Vinh Trach Dong(hc)" xfId="18" xr:uid="{00000000-0005-0000-0000-000013000000}"/>
    <cellStyle name="Percent" xfId="19" builtinId="5"/>
    <cellStyle name="Percent [2]" xfId="20" xr:uid="{00000000-0005-0000-0000-000015000000}"/>
    <cellStyle name="S¬" xfId="21" xr:uid="{00000000-0005-0000-0000-000016000000}"/>
    <cellStyle name="subhead" xfId="22" xr:uid="{00000000-0005-0000-0000-00001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6.%20DTXD/2018/BCKTKT/Tap%203%20du%20toan/2.%20T02-2018%20DT%20XB-BB%20Tham%20d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KQTD"/>
      <sheetName val="1.TONG HOP"/>
      <sheetName val="2.TCP-XD"/>
      <sheetName val="3.XL-DD"/>
      <sheetName val="4.LD-TB dd"/>
      <sheetName val="5.GT"/>
      <sheetName val="6.CT-DD"/>
      <sheetName val="DG"/>
      <sheetName val="7.XL-TR"/>
      <sheetName val="8.LD-TB tba"/>
      <sheetName val="9.CT-TBA"/>
      <sheetName val="10.CPTN"/>
      <sheetName val="11.TNTB"/>
      <sheetName val="12.CP-VTTH"/>
      <sheetName val="13.VTTH"/>
      <sheetName val="14.VCDD"/>
      <sheetName val="15.CP-TK"/>
      <sheetName val="16.CP-KS"/>
      <sheetName val="16.CTKS"/>
      <sheetName val="16. ks"/>
      <sheetName val="17. KS"/>
      <sheetName val="18. KS"/>
      <sheetName val="19. KS"/>
      <sheetName val="20.TH-HOTLINE"/>
      <sheetName val="21.CT-HOTLINE"/>
      <sheetName val="22. LAI VAY"/>
      <sheetName val="PP3P"/>
      <sheetName val="PPHT"/>
      <sheetName val="PP1P"/>
      <sheetName val="VCTC"/>
    </sheetNames>
    <sheetDataSet>
      <sheetData sheetId="0">
        <row r="5">
          <cell r="C5" t="str">
            <v>Cải tạo lưới điện trung hạ thế và TBA khu vực xã Xuân Quế, Sông Nhạn, Thừa Đức, Xuân Bảo, Bảo Bình, Long Giao và Xuân Mỹ -huyện Cẩm Mỹ năm 2018</v>
          </cell>
        </row>
        <row r="16">
          <cell r="M16">
            <v>0.93400000000000005</v>
          </cell>
        </row>
      </sheetData>
      <sheetData sheetId="1"/>
      <sheetData sheetId="2"/>
      <sheetData sheetId="3"/>
      <sheetData sheetId="4">
        <row r="8">
          <cell r="B8" t="str">
            <v>T1</v>
          </cell>
          <cell r="C8" t="str">
            <v>A</v>
          </cell>
          <cell r="D8" t="str">
            <v>Đường dây trung thế</v>
          </cell>
        </row>
        <row r="9">
          <cell r="C9" t="str">
            <v>I</v>
          </cell>
          <cell r="D9" t="str">
            <v>CHI PHÍ TRỰC TIẾP</v>
          </cell>
          <cell r="E9" t="str">
            <v>T</v>
          </cell>
          <cell r="F9" t="str">
            <v>A+B+C</v>
          </cell>
          <cell r="G9">
            <v>250353827.17280003</v>
          </cell>
          <cell r="H9" t="str">
            <v>A+B+C</v>
          </cell>
          <cell r="I9">
            <v>222717672.86265808</v>
          </cell>
        </row>
        <row r="10">
          <cell r="C10">
            <v>1</v>
          </cell>
          <cell r="D10" t="str">
            <v xml:space="preserve"> Chi phí vật liệu </v>
          </cell>
          <cell r="E10" t="str">
            <v>A</v>
          </cell>
          <cell r="F10" t="str">
            <v>a1+a2</v>
          </cell>
          <cell r="G10">
            <v>0</v>
          </cell>
          <cell r="H10" t="str">
            <v>a1+a2</v>
          </cell>
          <cell r="I10">
            <v>85571465</v>
          </cell>
        </row>
        <row r="11">
          <cell r="D11" t="str">
            <v xml:space="preserve">     - Vật liệu phục vụ lắp đặt</v>
          </cell>
          <cell r="E11" t="str">
            <v>a1</v>
          </cell>
          <cell r="F11" t="str">
            <v>VL</v>
          </cell>
          <cell r="H11" t="str">
            <v>VL</v>
          </cell>
          <cell r="I11">
            <v>85571465</v>
          </cell>
        </row>
        <row r="12">
          <cell r="C12">
            <v>2</v>
          </cell>
          <cell r="D12" t="str">
            <v xml:space="preserve"> Chi phí nhân công</v>
          </cell>
          <cell r="E12" t="str">
            <v>B</v>
          </cell>
          <cell r="F12" t="str">
            <v>b1+b2</v>
          </cell>
          <cell r="G12">
            <v>204398501.50080004</v>
          </cell>
          <cell r="H12" t="str">
            <v>b1+b2</v>
          </cell>
          <cell r="I12">
            <v>133515771.44665806</v>
          </cell>
        </row>
        <row r="13">
          <cell r="D13" t="str">
            <v xml:space="preserve">     - Nhân công lắp </v>
          </cell>
          <cell r="E13" t="str">
            <v>b1</v>
          </cell>
          <cell r="F13" t="str">
            <v>NCXDM×0,9</v>
          </cell>
          <cell r="G13">
            <v>203512157.20080003</v>
          </cell>
          <cell r="H13" t="str">
            <v>NCXDM</v>
          </cell>
          <cell r="I13">
            <v>133515771.44665806</v>
          </cell>
        </row>
        <row r="14">
          <cell r="D14" t="str">
            <v xml:space="preserve">     - Nhân công tháo, lắp vật tư hiện hữu</v>
          </cell>
          <cell r="E14" t="str">
            <v>b2</v>
          </cell>
          <cell r="F14" t="str">
            <v>NCTL×0,9</v>
          </cell>
          <cell r="G14">
            <v>886344.3</v>
          </cell>
          <cell r="H14" t="str">
            <v>NCTL</v>
          </cell>
        </row>
        <row r="15">
          <cell r="C15">
            <v>3</v>
          </cell>
          <cell r="D15" t="str">
            <v xml:space="preserve"> Chi phí máy thi công</v>
          </cell>
          <cell r="E15" t="str">
            <v>C</v>
          </cell>
          <cell r="F15" t="str">
            <v>c1+c2</v>
          </cell>
          <cell r="G15">
            <v>45955325.671999998</v>
          </cell>
          <cell r="H15" t="str">
            <v>c1+c2</v>
          </cell>
          <cell r="I15">
            <v>3630436.4160000002</v>
          </cell>
        </row>
        <row r="16">
          <cell r="D16" t="str">
            <v xml:space="preserve">     - Máy thi công lắp</v>
          </cell>
          <cell r="E16" t="str">
            <v>c1</v>
          </cell>
          <cell r="F16" t="str">
            <v>MTCXDM</v>
          </cell>
          <cell r="G16">
            <v>45769827.667999998</v>
          </cell>
          <cell r="H16" t="str">
            <v>MTCXDM</v>
          </cell>
          <cell r="I16">
            <v>3630436.4160000002</v>
          </cell>
        </row>
        <row r="17">
          <cell r="D17" t="str">
            <v xml:space="preserve">     - Máy thi công tháo, lắp vật tư hiện hữu</v>
          </cell>
          <cell r="E17" t="str">
            <v>c2</v>
          </cell>
          <cell r="F17" t="str">
            <v>MTCTL</v>
          </cell>
          <cell r="G17">
            <v>185498.00400000002</v>
          </cell>
          <cell r="H17" t="str">
            <v>MTCTL</v>
          </cell>
        </row>
        <row r="18">
          <cell r="C18" t="str">
            <v>II</v>
          </cell>
          <cell r="D18" t="str">
            <v>CHI PHÍ CHUNG</v>
          </cell>
          <cell r="E18" t="str">
            <v>D</v>
          </cell>
          <cell r="F18" t="str">
            <v>65%B</v>
          </cell>
          <cell r="G18">
            <v>132859026</v>
          </cell>
          <cell r="H18" t="str">
            <v>5,5%T</v>
          </cell>
          <cell r="I18">
            <v>12249472</v>
          </cell>
        </row>
        <row r="19">
          <cell r="D19" t="str">
            <v>GIÁ THÀNH DỰ TOÁN XÂY DỰNG</v>
          </cell>
          <cell r="E19" t="str">
            <v>Z0</v>
          </cell>
          <cell r="F19" t="str">
            <v>T+D</v>
          </cell>
          <cell r="G19">
            <v>383212853.17280006</v>
          </cell>
          <cell r="H19" t="str">
            <v>T+D</v>
          </cell>
          <cell r="I19">
            <v>234967144.86265808</v>
          </cell>
        </row>
        <row r="20">
          <cell r="C20" t="str">
            <v>III</v>
          </cell>
          <cell r="D20" t="str">
            <v>THU NHẬP CHỊU THUẾ TÍNH TRƯỚC</v>
          </cell>
          <cell r="E20" t="str">
            <v>TL</v>
          </cell>
          <cell r="F20" t="str">
            <v>6%Z0</v>
          </cell>
          <cell r="G20">
            <v>22992771</v>
          </cell>
          <cell r="H20" t="str">
            <v>6%Z0</v>
          </cell>
          <cell r="I20">
            <v>14098029</v>
          </cell>
        </row>
        <row r="21">
          <cell r="B21" t="str">
            <v>TT1</v>
          </cell>
          <cell r="D21" t="str">
            <v>Giá trị dự toán xây lắp trước thuế</v>
          </cell>
          <cell r="E21" t="str">
            <v>Z</v>
          </cell>
          <cell r="F21" t="str">
            <v>Z0+TL</v>
          </cell>
          <cell r="G21">
            <v>406205624.17280006</v>
          </cell>
          <cell r="H21" t="str">
            <v>Z0+TL</v>
          </cell>
          <cell r="I21">
            <v>249065173.86265808</v>
          </cell>
        </row>
        <row r="22">
          <cell r="C22" t="str">
            <v>IV</v>
          </cell>
          <cell r="D22" t="str">
            <v>THUẾ GIÁ TRỊ GIA TĂNG ĐẦU RA</v>
          </cell>
          <cell r="E22" t="str">
            <v>VAT</v>
          </cell>
          <cell r="F22" t="str">
            <v>10%Z</v>
          </cell>
          <cell r="G22">
            <v>40620562</v>
          </cell>
          <cell r="H22" t="str">
            <v>10%Z</v>
          </cell>
          <cell r="I22">
            <v>24906517</v>
          </cell>
        </row>
        <row r="23">
          <cell r="C23" t="str">
            <v>V</v>
          </cell>
          <cell r="D23" t="str">
            <v xml:space="preserve">  GIÁ TRỊ DỰ TOÁN XÂY LẮP SAU THUẾ</v>
          </cell>
          <cell r="E23" t="str">
            <v>Gxl</v>
          </cell>
          <cell r="F23" t="str">
            <v>Z+VAT</v>
          </cell>
          <cell r="G23">
            <v>446826186.17280006</v>
          </cell>
          <cell r="H23" t="str">
            <v>Z+VAT</v>
          </cell>
          <cell r="I23">
            <v>273971690.86265808</v>
          </cell>
        </row>
        <row r="25">
          <cell r="B25" t="str">
            <v>T3</v>
          </cell>
          <cell r="C25" t="str">
            <v>B</v>
          </cell>
          <cell r="D25" t="str">
            <v>Đường dây hạ thế</v>
          </cell>
        </row>
        <row r="26">
          <cell r="C26" t="str">
            <v>I</v>
          </cell>
          <cell r="D26" t="str">
            <v>CHI PHÍ TRỰC TIẾP</v>
          </cell>
          <cell r="E26" t="str">
            <v>T</v>
          </cell>
          <cell r="F26" t="str">
            <v>A+B+C</v>
          </cell>
          <cell r="G26">
            <v>328191852.94300002</v>
          </cell>
          <cell r="H26" t="str">
            <v>A+B+C</v>
          </cell>
          <cell r="I26">
            <v>91006384.410000011</v>
          </cell>
        </row>
        <row r="27">
          <cell r="C27">
            <v>1</v>
          </cell>
          <cell r="D27" t="str">
            <v xml:space="preserve"> Chi phí vật liệu </v>
          </cell>
          <cell r="E27" t="str">
            <v>A</v>
          </cell>
          <cell r="F27" t="str">
            <v>a1+a2</v>
          </cell>
          <cell r="G27">
            <v>0</v>
          </cell>
          <cell r="H27" t="str">
            <v>a1+a2</v>
          </cell>
          <cell r="I27">
            <v>34679964</v>
          </cell>
        </row>
        <row r="28">
          <cell r="D28" t="str">
            <v xml:space="preserve">     - Vật liệu phục vụ lắp đặt</v>
          </cell>
          <cell r="E28" t="str">
            <v>a1</v>
          </cell>
          <cell r="F28" t="str">
            <v>VL</v>
          </cell>
          <cell r="H28" t="str">
            <v>VL</v>
          </cell>
          <cell r="I28">
            <v>34679964</v>
          </cell>
        </row>
        <row r="29">
          <cell r="C29">
            <v>2</v>
          </cell>
          <cell r="D29" t="str">
            <v xml:space="preserve"> Chi phí nhân công</v>
          </cell>
          <cell r="E29" t="str">
            <v>B</v>
          </cell>
          <cell r="F29" t="str">
            <v>b1+b2</v>
          </cell>
          <cell r="G29">
            <v>304575645.77100003</v>
          </cell>
          <cell r="H29" t="str">
            <v>b1+b2</v>
          </cell>
          <cell r="I29">
            <v>54855757.510000005</v>
          </cell>
        </row>
        <row r="30">
          <cell r="D30" t="str">
            <v xml:space="preserve">     - Nhân công lắp </v>
          </cell>
          <cell r="E30" t="str">
            <v>b1</v>
          </cell>
          <cell r="F30" t="str">
            <v>NCXDM×0,9</v>
          </cell>
          <cell r="G30">
            <v>218294128.97100002</v>
          </cell>
          <cell r="H30" t="str">
            <v>NCXDM</v>
          </cell>
          <cell r="I30">
            <v>54855757.510000005</v>
          </cell>
        </row>
        <row r="31">
          <cell r="D31" t="str">
            <v xml:space="preserve">     - Nhân công tháo, lắp vật tư hiện hữu</v>
          </cell>
          <cell r="E31" t="str">
            <v>b2</v>
          </cell>
          <cell r="F31" t="str">
            <v>NCTL×0,9</v>
          </cell>
          <cell r="G31">
            <v>86281516.799999997</v>
          </cell>
          <cell r="H31" t="str">
            <v>NCTL</v>
          </cell>
        </row>
        <row r="32">
          <cell r="C32">
            <v>3</v>
          </cell>
          <cell r="D32" t="str">
            <v xml:space="preserve"> Chi phí máy thi công</v>
          </cell>
          <cell r="E32" t="str">
            <v>C</v>
          </cell>
          <cell r="F32" t="str">
            <v>c1+c2</v>
          </cell>
          <cell r="G32">
            <v>23616207.171999998</v>
          </cell>
          <cell r="H32" t="str">
            <v>c1+c2</v>
          </cell>
          <cell r="I32">
            <v>1470662.9</v>
          </cell>
        </row>
        <row r="33">
          <cell r="D33" t="str">
            <v xml:space="preserve">     - Máy thi công lắp</v>
          </cell>
          <cell r="E33" t="str">
            <v>c1</v>
          </cell>
          <cell r="F33" t="str">
            <v>MTCXDM</v>
          </cell>
          <cell r="G33">
            <v>19822712</v>
          </cell>
          <cell r="H33" t="str">
            <v>MTCXDM</v>
          </cell>
          <cell r="I33">
            <v>1470662.9</v>
          </cell>
        </row>
        <row r="34">
          <cell r="D34" t="str">
            <v xml:space="preserve">     - Máy thi công tháo, lắp vật tư hiện hữu</v>
          </cell>
          <cell r="E34" t="str">
            <v>c2</v>
          </cell>
          <cell r="F34" t="str">
            <v>MTCTL</v>
          </cell>
          <cell r="G34">
            <v>3793495.1720000003</v>
          </cell>
          <cell r="H34" t="str">
            <v>MTCTL</v>
          </cell>
        </row>
        <row r="35">
          <cell r="C35" t="str">
            <v>II</v>
          </cell>
          <cell r="D35" t="str">
            <v>CHI PHÍ CHUNG</v>
          </cell>
          <cell r="E35" t="str">
            <v>D</v>
          </cell>
          <cell r="F35" t="str">
            <v>65%B</v>
          </cell>
          <cell r="G35">
            <v>197974170</v>
          </cell>
          <cell r="H35" t="str">
            <v>5,5%T</v>
          </cell>
          <cell r="I35">
            <v>5005351</v>
          </cell>
        </row>
        <row r="36">
          <cell r="D36" t="str">
            <v>GIÁ THÀNH DỰ TOÁN XÂY DỰNG</v>
          </cell>
          <cell r="E36" t="str">
            <v>Z0</v>
          </cell>
          <cell r="F36" t="str">
            <v>T+D</v>
          </cell>
          <cell r="G36">
            <v>526166022.94300002</v>
          </cell>
          <cell r="H36" t="str">
            <v>T+D</v>
          </cell>
          <cell r="I36">
            <v>96011735.410000011</v>
          </cell>
        </row>
        <row r="37">
          <cell r="C37" t="str">
            <v>III</v>
          </cell>
          <cell r="D37" t="str">
            <v>THU NHẬP CHỊU THUẾ TÍNH TRƯỚC</v>
          </cell>
          <cell r="E37" t="str">
            <v>TL</v>
          </cell>
          <cell r="F37" t="str">
            <v>6%Z0</v>
          </cell>
          <cell r="G37">
            <v>31569961</v>
          </cell>
          <cell r="H37" t="str">
            <v>6%Z0</v>
          </cell>
          <cell r="I37">
            <v>5760704</v>
          </cell>
        </row>
        <row r="38">
          <cell r="B38" t="str">
            <v>TT3</v>
          </cell>
          <cell r="D38" t="str">
            <v>Giá trị dự toán xây lắp trước thuế</v>
          </cell>
          <cell r="E38" t="str">
            <v>Z</v>
          </cell>
          <cell r="F38" t="str">
            <v>Z0+TL</v>
          </cell>
          <cell r="G38">
            <v>557735983.94300008</v>
          </cell>
          <cell r="H38" t="str">
            <v>Z0+TL</v>
          </cell>
          <cell r="I38">
            <v>101772439.41000001</v>
          </cell>
        </row>
        <row r="39">
          <cell r="C39" t="str">
            <v>IV</v>
          </cell>
          <cell r="D39" t="str">
            <v>THUẾ GIÁ TRỊ GIA TĂNG ĐẦU RA</v>
          </cell>
          <cell r="E39" t="str">
            <v>VAT</v>
          </cell>
          <cell r="F39" t="str">
            <v>10%Z</v>
          </cell>
          <cell r="G39">
            <v>55773598</v>
          </cell>
          <cell r="H39" t="str">
            <v>10%Z</v>
          </cell>
          <cell r="I39">
            <v>10177244</v>
          </cell>
        </row>
        <row r="40">
          <cell r="C40" t="str">
            <v>V</v>
          </cell>
          <cell r="D40" t="str">
            <v xml:space="preserve">  GIÁ TRỊ DỰ TOÁN XÂY LẮP SAU THUẾ</v>
          </cell>
          <cell r="E40" t="str">
            <v>Gxlđđ</v>
          </cell>
          <cell r="F40" t="str">
            <v>Z+VAT</v>
          </cell>
          <cell r="G40">
            <v>613509581.94300008</v>
          </cell>
          <cell r="H40" t="str">
            <v>Z+VAT</v>
          </cell>
          <cell r="I40">
            <v>111949683.41000001</v>
          </cell>
        </row>
      </sheetData>
      <sheetData sheetId="5"/>
      <sheetData sheetId="6"/>
      <sheetData sheetId="7">
        <row r="4">
          <cell r="B4" t="str">
            <v>MÃ</v>
          </cell>
          <cell r="C4" t="str">
            <v>x</v>
          </cell>
          <cell r="D4" t="str">
            <v>MÃ ĐƠN GIÁ</v>
          </cell>
          <cell r="E4" t="str">
            <v>DANH MỤC</v>
          </cell>
          <cell r="F4" t="str">
            <v>ĐƠN VỊ</v>
          </cell>
          <cell r="G4" t="str">
            <v>KHỐI LƯỢNG</v>
          </cell>
          <cell r="H4" t="str">
            <v>ĐƠN GIÁ</v>
          </cell>
          <cell r="N4" t="str">
            <v>THÀNH TIỀN</v>
          </cell>
        </row>
        <row r="5">
          <cell r="C5" t="str">
            <v>x</v>
          </cell>
          <cell r="H5" t="str">
            <v>VL-NĐM</v>
          </cell>
          <cell r="I5" t="str">
            <v>VL-ĐM</v>
          </cell>
          <cell r="J5" t="str">
            <v>NC1776</v>
          </cell>
          <cell r="K5" t="str">
            <v>NC4970</v>
          </cell>
          <cell r="L5" t="str">
            <v>MTC1776</v>
          </cell>
          <cell r="M5" t="str">
            <v>MTC4970</v>
          </cell>
          <cell r="N5" t="str">
            <v>VL-NĐM</v>
          </cell>
          <cell r="O5" t="str">
            <v>VL-ĐM</v>
          </cell>
          <cell r="P5" t="str">
            <v>NC1776</v>
          </cell>
          <cell r="Q5" t="str">
            <v>NC4970</v>
          </cell>
          <cell r="R5" t="str">
            <v>MTC1776</v>
          </cell>
          <cell r="S5" t="str">
            <v>MTC4970</v>
          </cell>
          <cell r="U5" t="str">
            <v>TỔNG</v>
          </cell>
          <cell r="V5" t="str">
            <v>TT3P</v>
          </cell>
          <cell r="W5" t="str">
            <v>TT3P-2</v>
          </cell>
          <cell r="X5" t="str">
            <v>TT3P-3</v>
          </cell>
          <cell r="Y5" t="str">
            <v>TT1P</v>
          </cell>
          <cell r="Z5" t="str">
            <v>TT1P-2</v>
          </cell>
          <cell r="AA5" t="str">
            <v>TT1P-3</v>
          </cell>
          <cell r="AB5" t="str">
            <v>HT</v>
          </cell>
          <cell r="AE5" t="str">
            <v>TỔNG</v>
          </cell>
          <cell r="AF5" t="str">
            <v>TT3P</v>
          </cell>
          <cell r="AG5" t="str">
            <v>TT3P-2</v>
          </cell>
          <cell r="AH5" t="str">
            <v>TT3P-3</v>
          </cell>
          <cell r="AI5" t="str">
            <v>TT1P</v>
          </cell>
          <cell r="AJ5" t="str">
            <v>TT1P-2</v>
          </cell>
          <cell r="AK5" t="str">
            <v>TT1P-3</v>
          </cell>
          <cell r="AL5" t="str">
            <v>HT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  <cell r="Y6">
            <v>25</v>
          </cell>
          <cell r="Z6">
            <v>26</v>
          </cell>
          <cell r="AA6">
            <v>27</v>
          </cell>
          <cell r="AB6">
            <v>28</v>
          </cell>
          <cell r="AE6">
            <v>27</v>
          </cell>
          <cell r="AF6">
            <v>28</v>
          </cell>
          <cell r="AG6">
            <v>28</v>
          </cell>
          <cell r="AH6">
            <v>28</v>
          </cell>
          <cell r="AI6">
            <v>29</v>
          </cell>
          <cell r="AJ6">
            <v>29</v>
          </cell>
          <cell r="AK6">
            <v>29</v>
          </cell>
          <cell r="AL6">
            <v>30</v>
          </cell>
        </row>
        <row r="7">
          <cell r="D7" t="str">
            <v>A</v>
          </cell>
          <cell r="E7" t="str">
            <v>Phần đường dây trung thế</v>
          </cell>
        </row>
        <row r="8">
          <cell r="C8">
            <v>1</v>
          </cell>
          <cell r="D8" t="str">
            <v>I</v>
          </cell>
          <cell r="E8" t="str">
            <v>Phần móng và tiếp địa</v>
          </cell>
          <cell r="AE8">
            <v>283411.85000000009</v>
          </cell>
          <cell r="AF8">
            <v>210987.21000000002</v>
          </cell>
          <cell r="AG8">
            <v>3100.2799999999997</v>
          </cell>
          <cell r="AH8">
            <v>62.059999999999718</v>
          </cell>
          <cell r="AI8">
            <v>0</v>
          </cell>
          <cell r="AJ8">
            <v>0</v>
          </cell>
          <cell r="AK8">
            <v>0</v>
          </cell>
          <cell r="AL8">
            <v>110449.29599999997</v>
          </cell>
        </row>
        <row r="9">
          <cell r="A9" t="str">
            <v>M8</v>
          </cell>
          <cell r="C9">
            <v>1</v>
          </cell>
          <cell r="E9" t="str">
            <v>Móng M8</v>
          </cell>
          <cell r="F9" t="str">
            <v>Móng</v>
          </cell>
          <cell r="G9">
            <v>76</v>
          </cell>
          <cell r="N9">
            <v>0</v>
          </cell>
          <cell r="O9">
            <v>0</v>
          </cell>
          <cell r="P9">
            <v>57664.212</v>
          </cell>
          <cell r="Q9">
            <v>0</v>
          </cell>
          <cell r="R9">
            <v>0</v>
          </cell>
          <cell r="S9">
            <v>0</v>
          </cell>
          <cell r="U9">
            <v>76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76</v>
          </cell>
          <cell r="AE9">
            <v>381370</v>
          </cell>
          <cell r="AF9">
            <v>275420</v>
          </cell>
          <cell r="AG9">
            <v>2500</v>
          </cell>
          <cell r="AH9">
            <v>1250</v>
          </cell>
          <cell r="AI9">
            <v>0</v>
          </cell>
          <cell r="AJ9">
            <v>0</v>
          </cell>
          <cell r="AK9">
            <v>0</v>
          </cell>
          <cell r="AL9">
            <v>102200</v>
          </cell>
        </row>
        <row r="10">
          <cell r="C10">
            <v>1</v>
          </cell>
          <cell r="E10" t="str">
            <v>Mỗi móng gồm:</v>
          </cell>
        </row>
        <row r="11">
          <cell r="B11" t="str">
            <v>MDD3</v>
          </cell>
          <cell r="C11">
            <v>1</v>
          </cell>
          <cell r="D11" t="str">
            <v>AB.11423</v>
          </cell>
          <cell r="E11" t="str">
            <v>Đào hố móng đất cấp 3 sâu &gt;1m</v>
          </cell>
          <cell r="F11" t="str">
            <v>m3</v>
          </cell>
          <cell r="G11">
            <v>0.106</v>
          </cell>
          <cell r="J11">
            <v>418738</v>
          </cell>
          <cell r="L11">
            <v>0</v>
          </cell>
          <cell r="N11">
            <v>0</v>
          </cell>
          <cell r="O11">
            <v>0</v>
          </cell>
          <cell r="P11">
            <v>44386.227999999996</v>
          </cell>
          <cell r="Q11">
            <v>0</v>
          </cell>
          <cell r="R11">
            <v>0</v>
          </cell>
          <cell r="S11">
            <v>0</v>
          </cell>
          <cell r="U11">
            <v>8.0559999999999992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8.0559999999999992</v>
          </cell>
        </row>
        <row r="12">
          <cell r="B12" t="str">
            <v>MDAP3</v>
          </cell>
          <cell r="C12">
            <v>1</v>
          </cell>
          <cell r="D12" t="str">
            <v>AB.13113</v>
          </cell>
          <cell r="E12" t="str">
            <v>Đắp đất hố móng (K=0,95)</v>
          </cell>
          <cell r="F12" t="str">
            <v>m3</v>
          </cell>
          <cell r="G12">
            <v>0.106</v>
          </cell>
          <cell r="J12">
            <v>125264</v>
          </cell>
          <cell r="L12">
            <v>0</v>
          </cell>
          <cell r="N12">
            <v>0</v>
          </cell>
          <cell r="O12">
            <v>0</v>
          </cell>
          <cell r="P12">
            <v>13277.984</v>
          </cell>
          <cell r="Q12">
            <v>0</v>
          </cell>
          <cell r="R12">
            <v>0</v>
          </cell>
          <cell r="S12">
            <v>0</v>
          </cell>
          <cell r="U12">
            <v>8.0559999999999992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8.0559999999999992</v>
          </cell>
        </row>
        <row r="13">
          <cell r="A13" t="str">
            <v>M8BT</v>
          </cell>
          <cell r="C13">
            <v>1</v>
          </cell>
          <cell r="E13" t="str">
            <v>Móng bê tông trụ đơn 8,5m</v>
          </cell>
          <cell r="F13" t="str">
            <v>Móng</v>
          </cell>
          <cell r="G13">
            <v>8</v>
          </cell>
          <cell r="N13">
            <v>0</v>
          </cell>
          <cell r="O13">
            <v>737188</v>
          </cell>
          <cell r="P13">
            <v>536235.52000000002</v>
          </cell>
          <cell r="Q13">
            <v>0</v>
          </cell>
          <cell r="R13">
            <v>31290.699999999997</v>
          </cell>
          <cell r="S13">
            <v>0</v>
          </cell>
          <cell r="U13">
            <v>8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8</v>
          </cell>
        </row>
        <row r="14">
          <cell r="C14">
            <v>1</v>
          </cell>
          <cell r="E14" t="str">
            <v>Mỗi móng gồm:</v>
          </cell>
          <cell r="G14">
            <v>1</v>
          </cell>
        </row>
        <row r="15">
          <cell r="B15" t="str">
            <v>XM</v>
          </cell>
          <cell r="C15">
            <v>1</v>
          </cell>
          <cell r="D15">
            <v>0</v>
          </cell>
          <cell r="E15" t="str">
            <v>Xi măng</v>
          </cell>
          <cell r="F15" t="str">
            <v>kg</v>
          </cell>
          <cell r="G15">
            <v>207.2</v>
          </cell>
          <cell r="I15">
            <v>1740</v>
          </cell>
          <cell r="J15">
            <v>0</v>
          </cell>
          <cell r="L15">
            <v>0</v>
          </cell>
          <cell r="N15">
            <v>0</v>
          </cell>
          <cell r="O15">
            <v>360528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U15">
            <v>1657.6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1657.6</v>
          </cell>
        </row>
        <row r="16">
          <cell r="B16" t="str">
            <v>CV</v>
          </cell>
          <cell r="C16">
            <v>1</v>
          </cell>
          <cell r="D16">
            <v>0</v>
          </cell>
          <cell r="E16" t="str">
            <v>Cát vàng</v>
          </cell>
          <cell r="F16" t="str">
            <v>m3</v>
          </cell>
          <cell r="G16">
            <v>0.33</v>
          </cell>
          <cell r="I16">
            <v>512000</v>
          </cell>
          <cell r="J16">
            <v>0</v>
          </cell>
          <cell r="L16">
            <v>0</v>
          </cell>
          <cell r="N16">
            <v>0</v>
          </cell>
          <cell r="O16">
            <v>168960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2.64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2.64</v>
          </cell>
        </row>
        <row r="17">
          <cell r="A17" t="str">
            <v xml:space="preserve"> </v>
          </cell>
          <cell r="B17" t="str">
            <v>D1X2</v>
          </cell>
          <cell r="C17">
            <v>1</v>
          </cell>
          <cell r="D17">
            <v>0</v>
          </cell>
          <cell r="E17" t="str">
            <v>Đá 1x2</v>
          </cell>
          <cell r="F17" t="str">
            <v>m3</v>
          </cell>
          <cell r="G17">
            <v>0.62</v>
          </cell>
          <cell r="I17">
            <v>335000</v>
          </cell>
          <cell r="J17">
            <v>0</v>
          </cell>
          <cell r="L17">
            <v>0</v>
          </cell>
          <cell r="N17">
            <v>0</v>
          </cell>
          <cell r="O17">
            <v>207700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U17">
            <v>4.96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4.96</v>
          </cell>
        </row>
        <row r="18">
          <cell r="B18" t="str">
            <v>MDD3</v>
          </cell>
          <cell r="C18">
            <v>1</v>
          </cell>
          <cell r="D18" t="str">
            <v>AB.11423</v>
          </cell>
          <cell r="E18" t="str">
            <v>Đào hố móng đất cấp 3 sâu &gt;1m</v>
          </cell>
          <cell r="F18" t="str">
            <v>m3</v>
          </cell>
          <cell r="G18">
            <v>0.79</v>
          </cell>
          <cell r="J18">
            <v>418738</v>
          </cell>
          <cell r="L18">
            <v>0</v>
          </cell>
          <cell r="N18">
            <v>0</v>
          </cell>
          <cell r="O18">
            <v>0</v>
          </cell>
          <cell r="P18">
            <v>330803.02</v>
          </cell>
          <cell r="Q18">
            <v>0</v>
          </cell>
          <cell r="R18">
            <v>0</v>
          </cell>
          <cell r="S18">
            <v>0</v>
          </cell>
          <cell r="U18">
            <v>6.32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6.32</v>
          </cell>
        </row>
        <row r="19">
          <cell r="B19" t="str">
            <v>DBT20012</v>
          </cell>
          <cell r="C19">
            <v>1</v>
          </cell>
          <cell r="D19" t="str">
            <v>AF.11210</v>
          </cell>
          <cell r="E19" t="str">
            <v>Đổ bê tông mác M200 đá 1x2</v>
          </cell>
          <cell r="F19" t="str">
            <v>m3</v>
          </cell>
          <cell r="G19">
            <v>0.7</v>
          </cell>
          <cell r="J19">
            <v>293475</v>
          </cell>
          <cell r="L19">
            <v>44701</v>
          </cell>
          <cell r="N19">
            <v>0</v>
          </cell>
          <cell r="O19">
            <v>0</v>
          </cell>
          <cell r="P19">
            <v>205432.5</v>
          </cell>
          <cell r="Q19">
            <v>0</v>
          </cell>
          <cell r="R19">
            <v>31290.699999999997</v>
          </cell>
          <cell r="S19">
            <v>0</v>
          </cell>
          <cell r="U19">
            <v>5.6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5.6</v>
          </cell>
        </row>
        <row r="20">
          <cell r="A20" t="str">
            <v>M8BTD</v>
          </cell>
          <cell r="C20">
            <v>1</v>
          </cell>
          <cell r="E20" t="str">
            <v>Móng bê tông trụ đôi 8,5m</v>
          </cell>
          <cell r="F20" t="str">
            <v>Móng</v>
          </cell>
          <cell r="G20">
            <v>35</v>
          </cell>
          <cell r="N20">
            <v>86000.61205625</v>
          </cell>
          <cell r="O20">
            <v>822356</v>
          </cell>
          <cell r="P20">
            <v>660210.64</v>
          </cell>
          <cell r="Q20">
            <v>0</v>
          </cell>
          <cell r="R20">
            <v>34866.78</v>
          </cell>
          <cell r="S20">
            <v>0</v>
          </cell>
          <cell r="U20">
            <v>35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35</v>
          </cell>
        </row>
        <row r="21">
          <cell r="C21">
            <v>1</v>
          </cell>
          <cell r="E21" t="str">
            <v>Mỗi móng gồm:</v>
          </cell>
          <cell r="G21">
            <v>1</v>
          </cell>
        </row>
        <row r="22">
          <cell r="B22" t="str">
            <v>XM</v>
          </cell>
          <cell r="C22">
            <v>1</v>
          </cell>
          <cell r="D22">
            <v>0</v>
          </cell>
          <cell r="E22" t="str">
            <v>Xi măng</v>
          </cell>
          <cell r="F22" t="str">
            <v>kg</v>
          </cell>
          <cell r="G22">
            <v>230.9</v>
          </cell>
          <cell r="I22">
            <v>1740</v>
          </cell>
          <cell r="J22">
            <v>0</v>
          </cell>
          <cell r="L22">
            <v>0</v>
          </cell>
          <cell r="N22">
            <v>0</v>
          </cell>
          <cell r="O22">
            <v>401766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8081.5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8081.5</v>
          </cell>
        </row>
        <row r="23">
          <cell r="B23" t="str">
            <v>CV</v>
          </cell>
          <cell r="C23">
            <v>1</v>
          </cell>
          <cell r="D23">
            <v>0</v>
          </cell>
          <cell r="E23" t="str">
            <v>Cát vàng</v>
          </cell>
          <cell r="F23" t="str">
            <v>m3</v>
          </cell>
          <cell r="G23">
            <v>0.37</v>
          </cell>
          <cell r="I23">
            <v>512000</v>
          </cell>
          <cell r="J23">
            <v>0</v>
          </cell>
          <cell r="L23">
            <v>0</v>
          </cell>
          <cell r="N23">
            <v>0</v>
          </cell>
          <cell r="O23">
            <v>189440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U23">
            <v>12.95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12.95</v>
          </cell>
        </row>
        <row r="24">
          <cell r="A24" t="str">
            <v xml:space="preserve"> </v>
          </cell>
          <cell r="B24" t="str">
            <v>D1X2</v>
          </cell>
          <cell r="C24">
            <v>1</v>
          </cell>
          <cell r="D24">
            <v>0</v>
          </cell>
          <cell r="E24" t="str">
            <v>Đá 1x2</v>
          </cell>
          <cell r="F24" t="str">
            <v>m3</v>
          </cell>
          <cell r="G24">
            <v>0.69</v>
          </cell>
          <cell r="I24">
            <v>335000</v>
          </cell>
          <cell r="J24">
            <v>0</v>
          </cell>
          <cell r="L24">
            <v>0</v>
          </cell>
          <cell r="N24">
            <v>0</v>
          </cell>
          <cell r="O24">
            <v>231149.99999999997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U24">
            <v>24.15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24.15</v>
          </cell>
        </row>
        <row r="25">
          <cell r="B25" t="str">
            <v>B16400VR</v>
          </cell>
          <cell r="C25">
            <v>1</v>
          </cell>
          <cell r="D25">
            <v>0</v>
          </cell>
          <cell r="E25" t="str">
            <v>Boulon 16x400VRS + 2 long đền vuông D18-50x50x3/Zn</v>
          </cell>
          <cell r="F25" t="str">
            <v>bộ</v>
          </cell>
          <cell r="G25">
            <v>1</v>
          </cell>
          <cell r="H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U25">
            <v>35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35</v>
          </cell>
        </row>
        <row r="26">
          <cell r="B26" t="str">
            <v>B16500VR</v>
          </cell>
          <cell r="C26">
            <v>1</v>
          </cell>
          <cell r="D26">
            <v>0</v>
          </cell>
          <cell r="E26" t="str">
            <v>Boulon 16x500VRS + 2 long đền vuông D18-50x50x3/Zn</v>
          </cell>
          <cell r="F26" t="str">
            <v>bộ</v>
          </cell>
          <cell r="G26">
            <v>1</v>
          </cell>
          <cell r="H26">
            <v>41000</v>
          </cell>
          <cell r="K26">
            <v>0</v>
          </cell>
          <cell r="M26">
            <v>0</v>
          </cell>
          <cell r="N26">
            <v>41000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U26">
            <v>35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35</v>
          </cell>
        </row>
        <row r="27">
          <cell r="A27" t="str">
            <v xml:space="preserve"> </v>
          </cell>
          <cell r="B27" t="str">
            <v>B16550VR</v>
          </cell>
          <cell r="C27">
            <v>1</v>
          </cell>
          <cell r="D27">
            <v>0</v>
          </cell>
          <cell r="E27" t="str">
            <v>Boulon 16x550VRS + 2 long đền vuông D18-50x50x3/Zn</v>
          </cell>
          <cell r="F27" t="str">
            <v>bộ</v>
          </cell>
          <cell r="G27">
            <v>1</v>
          </cell>
          <cell r="H27">
            <v>45000</v>
          </cell>
          <cell r="K27">
            <v>0</v>
          </cell>
          <cell r="M27">
            <v>0</v>
          </cell>
          <cell r="N27">
            <v>45000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U27">
            <v>35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35</v>
          </cell>
        </row>
        <row r="28">
          <cell r="B28" t="str">
            <v>MDD3</v>
          </cell>
          <cell r="C28">
            <v>1</v>
          </cell>
          <cell r="D28" t="str">
            <v>AB.11423</v>
          </cell>
          <cell r="E28" t="str">
            <v>Đào hố móng đất cấp 3 sâu &gt;1m</v>
          </cell>
          <cell r="F28" t="str">
            <v>m3</v>
          </cell>
          <cell r="G28">
            <v>1.03</v>
          </cell>
          <cell r="J28">
            <v>418738</v>
          </cell>
          <cell r="L28">
            <v>0</v>
          </cell>
          <cell r="N28">
            <v>0</v>
          </cell>
          <cell r="O28">
            <v>0</v>
          </cell>
          <cell r="P28">
            <v>431300.14</v>
          </cell>
          <cell r="Q28">
            <v>0</v>
          </cell>
          <cell r="R28">
            <v>0</v>
          </cell>
          <cell r="S28">
            <v>0</v>
          </cell>
          <cell r="U28">
            <v>36.050000000000004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36.050000000000004</v>
          </cell>
        </row>
        <row r="29">
          <cell r="B29" t="str">
            <v>DBT20012</v>
          </cell>
          <cell r="C29">
            <v>1</v>
          </cell>
          <cell r="D29" t="str">
            <v>AF.11210</v>
          </cell>
          <cell r="E29" t="str">
            <v>Đổ bê tông mác M200 đá 1x2</v>
          </cell>
          <cell r="F29" t="str">
            <v>m3</v>
          </cell>
          <cell r="G29">
            <v>0.78</v>
          </cell>
          <cell r="H29">
            <v>0.78468749999999987</v>
          </cell>
          <cell r="J29">
            <v>293475</v>
          </cell>
          <cell r="L29">
            <v>44701</v>
          </cell>
          <cell r="N29">
            <v>0.61205624999999997</v>
          </cell>
          <cell r="O29">
            <v>0</v>
          </cell>
          <cell r="P29">
            <v>228910.5</v>
          </cell>
          <cell r="Q29">
            <v>0</v>
          </cell>
          <cell r="R29">
            <v>34866.78</v>
          </cell>
          <cell r="S29">
            <v>0</v>
          </cell>
          <cell r="U29">
            <v>27.3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27.3</v>
          </cell>
        </row>
        <row r="30">
          <cell r="A30" t="str">
            <v>M10</v>
          </cell>
          <cell r="C30">
            <v>0</v>
          </cell>
          <cell r="E30" t="str">
            <v>Móng M10</v>
          </cell>
          <cell r="F30" t="str">
            <v>Móng</v>
          </cell>
          <cell r="G30">
            <v>0</v>
          </cell>
          <cell r="N30">
            <v>0</v>
          </cell>
          <cell r="O30">
            <v>0</v>
          </cell>
          <cell r="P30">
            <v>116416.428</v>
          </cell>
          <cell r="Q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C31">
            <v>0</v>
          </cell>
          <cell r="E31" t="str">
            <v>Mỗi móng gồm:</v>
          </cell>
        </row>
        <row r="32">
          <cell r="B32" t="str">
            <v>MDD3</v>
          </cell>
          <cell r="C32">
            <v>0</v>
          </cell>
          <cell r="D32" t="str">
            <v>AB.11423</v>
          </cell>
          <cell r="E32" t="str">
            <v>Đào hố móng đất cấp 3 sâu &gt;1m</v>
          </cell>
          <cell r="F32" t="str">
            <v>m3</v>
          </cell>
          <cell r="G32">
            <v>0.214</v>
          </cell>
          <cell r="J32">
            <v>418738</v>
          </cell>
          <cell r="L32">
            <v>0</v>
          </cell>
          <cell r="N32">
            <v>0</v>
          </cell>
          <cell r="O32">
            <v>0</v>
          </cell>
          <cell r="P32">
            <v>89609.932000000001</v>
          </cell>
          <cell r="Q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B33" t="str">
            <v>MDAP3</v>
          </cell>
          <cell r="C33">
            <v>0</v>
          </cell>
          <cell r="D33" t="str">
            <v>AB.13113</v>
          </cell>
          <cell r="E33" t="str">
            <v>Đắp đất hố móng (K=0,95)</v>
          </cell>
          <cell r="F33" t="str">
            <v>m3</v>
          </cell>
          <cell r="G33">
            <v>0.214</v>
          </cell>
          <cell r="J33">
            <v>125264</v>
          </cell>
          <cell r="L33">
            <v>0</v>
          </cell>
          <cell r="N33">
            <v>0</v>
          </cell>
          <cell r="O33">
            <v>0</v>
          </cell>
          <cell r="P33">
            <v>26806.495999999999</v>
          </cell>
          <cell r="Q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M10a</v>
          </cell>
          <cell r="C34">
            <v>0</v>
          </cell>
          <cell r="E34" t="str">
            <v xml:space="preserve">Móng M10a </v>
          </cell>
          <cell r="F34" t="str">
            <v>Móng</v>
          </cell>
          <cell r="G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  <row r="35">
          <cell r="C35">
            <v>0</v>
          </cell>
          <cell r="E35" t="str">
            <v>Mỗi móng gồm:</v>
          </cell>
        </row>
        <row r="36">
          <cell r="B36" t="str">
            <v>d12</v>
          </cell>
          <cell r="C36">
            <v>0</v>
          </cell>
          <cell r="D36" t="str">
            <v>AG.42111</v>
          </cell>
          <cell r="E36" t="str">
            <v>Đà cản BTCT 1,2m</v>
          </cell>
          <cell r="F36" t="str">
            <v>cái</v>
          </cell>
          <cell r="H36">
            <v>318000</v>
          </cell>
          <cell r="K36">
            <v>161119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B37" t="str">
            <v>b22550V</v>
          </cell>
          <cell r="C37">
            <v>0</v>
          </cell>
          <cell r="D37">
            <v>0</v>
          </cell>
          <cell r="E37" t="str">
            <v>Boulon 22x550VRS + 2 long đền vuông D24-60x60x6/Zn</v>
          </cell>
          <cell r="F37" t="str">
            <v>bộ</v>
          </cell>
          <cell r="H37">
            <v>90000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  <row r="38">
          <cell r="B38" t="str">
            <v>MDD3</v>
          </cell>
          <cell r="C38">
            <v>0</v>
          </cell>
          <cell r="D38" t="str">
            <v>AB.11423</v>
          </cell>
          <cell r="E38" t="str">
            <v>Đào hố móng đất cấp 3 sâu &gt;1m</v>
          </cell>
          <cell r="F38" t="str">
            <v>m3</v>
          </cell>
          <cell r="J38">
            <v>418738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</row>
        <row r="39">
          <cell r="B39" t="str">
            <v>MDAP3</v>
          </cell>
          <cell r="C39">
            <v>0</v>
          </cell>
          <cell r="D39" t="str">
            <v>AB.13113</v>
          </cell>
          <cell r="E39" t="str">
            <v>Đắp đất hố móng (K=0,95)</v>
          </cell>
          <cell r="F39" t="str">
            <v>m3</v>
          </cell>
          <cell r="J39">
            <v>125264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>M10BT</v>
          </cell>
          <cell r="C40">
            <v>0</v>
          </cell>
          <cell r="E40" t="str">
            <v>Móng bê tông trụ đơn 10.5m</v>
          </cell>
          <cell r="F40" t="str">
            <v>Móng</v>
          </cell>
          <cell r="G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C41">
            <v>0</v>
          </cell>
          <cell r="E41" t="str">
            <v>Mỗi móng gồm:</v>
          </cell>
        </row>
        <row r="42">
          <cell r="B42" t="str">
            <v>XM</v>
          </cell>
          <cell r="C42">
            <v>0</v>
          </cell>
          <cell r="D42">
            <v>0</v>
          </cell>
          <cell r="E42" t="str">
            <v>Xi măng</v>
          </cell>
          <cell r="F42" t="str">
            <v>kg</v>
          </cell>
          <cell r="I42">
            <v>1740</v>
          </cell>
          <cell r="J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B43" t="str">
            <v>CV</v>
          </cell>
          <cell r="C43">
            <v>0</v>
          </cell>
          <cell r="D43">
            <v>0</v>
          </cell>
          <cell r="E43" t="str">
            <v>Cát vàng</v>
          </cell>
          <cell r="F43" t="str">
            <v>m3</v>
          </cell>
          <cell r="I43">
            <v>512000</v>
          </cell>
          <cell r="J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A44" t="str">
            <v xml:space="preserve"> </v>
          </cell>
          <cell r="B44" t="str">
            <v>D1X2</v>
          </cell>
          <cell r="C44">
            <v>0</v>
          </cell>
          <cell r="D44">
            <v>0</v>
          </cell>
          <cell r="E44" t="str">
            <v>Đá 1x2</v>
          </cell>
          <cell r="F44" t="str">
            <v>m3</v>
          </cell>
          <cell r="I44">
            <v>335000</v>
          </cell>
          <cell r="J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B45" t="str">
            <v>MDD3</v>
          </cell>
          <cell r="C45">
            <v>0</v>
          </cell>
          <cell r="D45" t="str">
            <v>AB.11423</v>
          </cell>
          <cell r="E45" t="str">
            <v>Đào hố móng đất cấp 3 sâu &gt;1m</v>
          </cell>
          <cell r="F45" t="str">
            <v>m3</v>
          </cell>
          <cell r="J45">
            <v>418738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B46" t="str">
            <v>DBT15012</v>
          </cell>
          <cell r="C46">
            <v>0</v>
          </cell>
          <cell r="D46" t="str">
            <v>AF.11210</v>
          </cell>
          <cell r="E46" t="str">
            <v xml:space="preserve">Đổ bê tông mác M150 </v>
          </cell>
          <cell r="F46" t="str">
            <v>m3</v>
          </cell>
          <cell r="J46">
            <v>293475</v>
          </cell>
          <cell r="L46">
            <v>25982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</row>
        <row r="47">
          <cell r="A47" t="str">
            <v>M10BTD</v>
          </cell>
          <cell r="C47">
            <v>0</v>
          </cell>
          <cell r="E47" t="str">
            <v>Móng M10BT đôi</v>
          </cell>
          <cell r="F47" t="str">
            <v>Móng</v>
          </cell>
          <cell r="G47">
            <v>0</v>
          </cell>
          <cell r="N47">
            <v>142000</v>
          </cell>
          <cell r="O47">
            <v>1564198</v>
          </cell>
          <cell r="P47">
            <v>1308245.74</v>
          </cell>
          <cell r="Q47">
            <v>0</v>
          </cell>
          <cell r="R47">
            <v>44273.328000000001</v>
          </cell>
          <cell r="S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C48">
            <v>0</v>
          </cell>
          <cell r="E48" t="str">
            <v>Mỗi móng gồm:</v>
          </cell>
          <cell r="G48">
            <v>1</v>
          </cell>
        </row>
        <row r="49">
          <cell r="B49" t="str">
            <v>XM</v>
          </cell>
          <cell r="C49">
            <v>0</v>
          </cell>
          <cell r="D49">
            <v>0</v>
          </cell>
          <cell r="E49" t="str">
            <v>Xi măng</v>
          </cell>
          <cell r="F49" t="str">
            <v>kg</v>
          </cell>
          <cell r="G49">
            <v>442.7</v>
          </cell>
          <cell r="I49">
            <v>1740</v>
          </cell>
          <cell r="J49">
            <v>0</v>
          </cell>
          <cell r="L49">
            <v>0</v>
          </cell>
          <cell r="N49">
            <v>0</v>
          </cell>
          <cell r="O49">
            <v>770298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B50" t="str">
            <v>CV</v>
          </cell>
          <cell r="C50">
            <v>0</v>
          </cell>
          <cell r="D50">
            <v>0</v>
          </cell>
          <cell r="E50" t="str">
            <v>Cát vàng</v>
          </cell>
          <cell r="F50" t="str">
            <v>m3</v>
          </cell>
          <cell r="G50">
            <v>0.7</v>
          </cell>
          <cell r="I50">
            <v>512000</v>
          </cell>
          <cell r="J50">
            <v>0</v>
          </cell>
          <cell r="L50">
            <v>0</v>
          </cell>
          <cell r="N50">
            <v>0</v>
          </cell>
          <cell r="O50">
            <v>358400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  <row r="51">
          <cell r="B51" t="str">
            <v>D1X2</v>
          </cell>
          <cell r="C51">
            <v>0</v>
          </cell>
          <cell r="D51">
            <v>0</v>
          </cell>
          <cell r="E51" t="str">
            <v>Đá 1x2</v>
          </cell>
          <cell r="F51" t="str">
            <v>m3</v>
          </cell>
          <cell r="G51">
            <v>1.3</v>
          </cell>
          <cell r="I51">
            <v>335000</v>
          </cell>
          <cell r="J51">
            <v>0</v>
          </cell>
          <cell r="L51">
            <v>0</v>
          </cell>
          <cell r="N51">
            <v>0</v>
          </cell>
          <cell r="O51">
            <v>435500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</row>
        <row r="52">
          <cell r="B52" t="str">
            <v>B16500VR</v>
          </cell>
          <cell r="C52">
            <v>0</v>
          </cell>
          <cell r="D52">
            <v>0</v>
          </cell>
          <cell r="E52" t="str">
            <v>Boulon 16x500VRS + 2 long đền vuông D18-50x50x3/Zn</v>
          </cell>
          <cell r="F52" t="str">
            <v>bộ</v>
          </cell>
          <cell r="G52">
            <v>1</v>
          </cell>
          <cell r="H52">
            <v>41000</v>
          </cell>
          <cell r="K52">
            <v>0</v>
          </cell>
          <cell r="M52">
            <v>0</v>
          </cell>
          <cell r="N52">
            <v>41000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B53" t="str">
            <v>B16550VR</v>
          </cell>
          <cell r="C53">
            <v>0</v>
          </cell>
          <cell r="D53">
            <v>0</v>
          </cell>
          <cell r="E53" t="str">
            <v>Boulon 16x550VRS + 2 long đền vuông D18-50x50x3/Zn</v>
          </cell>
          <cell r="F53" t="str">
            <v>bộ</v>
          </cell>
          <cell r="G53">
            <v>1</v>
          </cell>
          <cell r="H53">
            <v>45000</v>
          </cell>
          <cell r="K53">
            <v>0</v>
          </cell>
          <cell r="M53">
            <v>0</v>
          </cell>
          <cell r="N53">
            <v>45000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B54" t="str">
            <v>B16750VR</v>
          </cell>
          <cell r="C54">
            <v>0</v>
          </cell>
          <cell r="D54">
            <v>0</v>
          </cell>
          <cell r="E54" t="str">
            <v>Boulon 16x750VRS + 2 long đền vuông D18-50x50x3/Zn</v>
          </cell>
          <cell r="F54" t="str">
            <v>bộ</v>
          </cell>
          <cell r="G54">
            <v>1</v>
          </cell>
          <cell r="H54">
            <v>56000</v>
          </cell>
          <cell r="K54">
            <v>0</v>
          </cell>
          <cell r="M54">
            <v>0</v>
          </cell>
          <cell r="N54">
            <v>56000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</row>
        <row r="55">
          <cell r="B55" t="str">
            <v>MDD3</v>
          </cell>
          <cell r="C55">
            <v>0</v>
          </cell>
          <cell r="D55" t="str">
            <v>AB.11423</v>
          </cell>
          <cell r="E55" t="str">
            <v>Đào hố móng đất cấp 3 sâu &gt;1m</v>
          </cell>
          <cell r="F55" t="str">
            <v>m3</v>
          </cell>
          <cell r="G55">
            <v>1.93</v>
          </cell>
          <cell r="J55">
            <v>418738</v>
          </cell>
          <cell r="L55">
            <v>0</v>
          </cell>
          <cell r="N55">
            <v>0</v>
          </cell>
          <cell r="O55">
            <v>0</v>
          </cell>
          <cell r="P55">
            <v>808164.34</v>
          </cell>
          <cell r="Q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</row>
        <row r="56">
          <cell r="B56" t="str">
            <v>DBT15012</v>
          </cell>
          <cell r="C56">
            <v>0</v>
          </cell>
          <cell r="D56" t="str">
            <v>AF.11210</v>
          </cell>
          <cell r="E56" t="str">
            <v xml:space="preserve">Đổ bê tông mác M150 </v>
          </cell>
          <cell r="F56" t="str">
            <v>m3</v>
          </cell>
          <cell r="G56">
            <v>1.704</v>
          </cell>
          <cell r="J56">
            <v>293475</v>
          </cell>
          <cell r="L56">
            <v>25982</v>
          </cell>
          <cell r="N56">
            <v>0</v>
          </cell>
          <cell r="O56">
            <v>0</v>
          </cell>
          <cell r="P56">
            <v>500081.39999999997</v>
          </cell>
          <cell r="Q56">
            <v>0</v>
          </cell>
          <cell r="R56">
            <v>44273.328000000001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A57" t="str">
            <v>M12</v>
          </cell>
          <cell r="C57">
            <v>1</v>
          </cell>
          <cell r="E57" t="str">
            <v>Móng M12</v>
          </cell>
          <cell r="F57" t="str">
            <v>Móng</v>
          </cell>
          <cell r="G57">
            <v>89</v>
          </cell>
          <cell r="N57">
            <v>0</v>
          </cell>
          <cell r="O57">
            <v>0</v>
          </cell>
          <cell r="P57">
            <v>136722.61493905238</v>
          </cell>
          <cell r="Q57">
            <v>0</v>
          </cell>
          <cell r="R57">
            <v>0</v>
          </cell>
          <cell r="S57">
            <v>0</v>
          </cell>
          <cell r="U57">
            <v>89</v>
          </cell>
          <cell r="V57">
            <v>88</v>
          </cell>
          <cell r="W57">
            <v>0</v>
          </cell>
          <cell r="X57">
            <v>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C58">
            <v>1</v>
          </cell>
          <cell r="E58" t="str">
            <v>Mỗi móng gồm:</v>
          </cell>
        </row>
        <row r="59">
          <cell r="B59" t="str">
            <v>MDD3</v>
          </cell>
          <cell r="C59">
            <v>1</v>
          </cell>
          <cell r="D59" t="str">
            <v>AB.11423</v>
          </cell>
          <cell r="E59" t="str">
            <v>Đào hố móng đất cấp 3 sâu &gt;1m</v>
          </cell>
          <cell r="F59" t="str">
            <v>m3</v>
          </cell>
          <cell r="G59">
            <v>0.25132741228718347</v>
          </cell>
          <cell r="J59">
            <v>418738</v>
          </cell>
          <cell r="L59">
            <v>0</v>
          </cell>
          <cell r="N59">
            <v>0</v>
          </cell>
          <cell r="O59">
            <v>0</v>
          </cell>
          <cell r="P59">
            <v>105240.33796631063</v>
          </cell>
          <cell r="Q59">
            <v>0</v>
          </cell>
          <cell r="R59">
            <v>0</v>
          </cell>
          <cell r="S59">
            <v>0</v>
          </cell>
          <cell r="U59">
            <v>22.368139693559328</v>
          </cell>
          <cell r="V59">
            <v>22.116812281272146</v>
          </cell>
          <cell r="W59">
            <v>0</v>
          </cell>
          <cell r="X59">
            <v>0.25132741228718347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B60" t="str">
            <v>MDAP3</v>
          </cell>
          <cell r="C60">
            <v>1</v>
          </cell>
          <cell r="D60" t="str">
            <v>AB.13113</v>
          </cell>
          <cell r="E60" t="str">
            <v>Đắp đất hố móng (K=0,95)</v>
          </cell>
          <cell r="F60" t="str">
            <v>m3</v>
          </cell>
          <cell r="G60">
            <v>0.25132741228718347</v>
          </cell>
          <cell r="J60">
            <v>125264</v>
          </cell>
          <cell r="L60">
            <v>0</v>
          </cell>
          <cell r="N60">
            <v>0</v>
          </cell>
          <cell r="O60">
            <v>0</v>
          </cell>
          <cell r="P60">
            <v>31482.276972741751</v>
          </cell>
          <cell r="Q60">
            <v>0</v>
          </cell>
          <cell r="R60">
            <v>0</v>
          </cell>
          <cell r="S60">
            <v>0</v>
          </cell>
          <cell r="U60">
            <v>22.368139693559328</v>
          </cell>
          <cell r="V60">
            <v>22.116812281272146</v>
          </cell>
          <cell r="W60">
            <v>0</v>
          </cell>
          <cell r="X60">
            <v>0.25132741228718347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A61" t="str">
            <v>M12D</v>
          </cell>
          <cell r="C61">
            <v>1</v>
          </cell>
          <cell r="E61" t="str">
            <v>Móng M12 phá đá chân móng</v>
          </cell>
          <cell r="F61" t="str">
            <v>Móng</v>
          </cell>
          <cell r="G61">
            <v>10</v>
          </cell>
          <cell r="N61">
            <v>0</v>
          </cell>
          <cell r="O61">
            <v>0</v>
          </cell>
          <cell r="P61">
            <v>1086047.9680000001</v>
          </cell>
          <cell r="Q61">
            <v>0</v>
          </cell>
          <cell r="R61">
            <v>0</v>
          </cell>
          <cell r="S61">
            <v>0</v>
          </cell>
          <cell r="U61">
            <v>10</v>
          </cell>
          <cell r="V61">
            <v>10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C62">
            <v>1</v>
          </cell>
          <cell r="E62" t="str">
            <v>Mỗi móng gồm:</v>
          </cell>
        </row>
        <row r="63">
          <cell r="B63" t="str">
            <v>MDD31</v>
          </cell>
          <cell r="C63">
            <v>1</v>
          </cell>
          <cell r="D63" t="str">
            <v>AB.11413</v>
          </cell>
          <cell r="E63" t="str">
            <v>Đào hố móng đất cấp 3 sâu &lt;=1m</v>
          </cell>
          <cell r="F63" t="str">
            <v>m3</v>
          </cell>
          <cell r="G63">
            <v>0.4</v>
          </cell>
          <cell r="J63">
            <v>340001</v>
          </cell>
          <cell r="L63">
            <v>0</v>
          </cell>
          <cell r="N63">
            <v>0</v>
          </cell>
          <cell r="O63">
            <v>0</v>
          </cell>
          <cell r="P63">
            <v>136000.4</v>
          </cell>
          <cell r="Q63">
            <v>0</v>
          </cell>
          <cell r="R63">
            <v>0</v>
          </cell>
          <cell r="S63">
            <v>0</v>
          </cell>
          <cell r="U63">
            <v>4</v>
          </cell>
          <cell r="V63">
            <v>4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B64" t="str">
            <v>MDDA3</v>
          </cell>
          <cell r="C64">
            <v>1</v>
          </cell>
          <cell r="D64" t="str">
            <v>AB.11213</v>
          </cell>
          <cell r="E64" t="str">
            <v>Phá đá chân hố móng, đá cấp III</v>
          </cell>
          <cell r="F64" t="str">
            <v>m3</v>
          </cell>
          <cell r="G64">
            <v>1.04</v>
          </cell>
          <cell r="J64">
            <v>760902</v>
          </cell>
          <cell r="L64">
            <v>0</v>
          </cell>
          <cell r="N64">
            <v>0</v>
          </cell>
          <cell r="O64">
            <v>0</v>
          </cell>
          <cell r="P64">
            <v>791338.08000000007</v>
          </cell>
          <cell r="Q64">
            <v>0</v>
          </cell>
          <cell r="R64">
            <v>0</v>
          </cell>
          <cell r="S64">
            <v>0</v>
          </cell>
          <cell r="U64">
            <v>10.4</v>
          </cell>
          <cell r="V64">
            <v>10.4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B65" t="str">
            <v>MDAP3</v>
          </cell>
          <cell r="C65">
            <v>1</v>
          </cell>
          <cell r="D65" t="str">
            <v>AB.13113</v>
          </cell>
          <cell r="E65" t="str">
            <v>Đắp đất hố móng (K=0,95)</v>
          </cell>
          <cell r="F65" t="str">
            <v>m3</v>
          </cell>
          <cell r="G65">
            <v>1.2669999999999999</v>
          </cell>
          <cell r="J65">
            <v>125264</v>
          </cell>
          <cell r="L65">
            <v>0</v>
          </cell>
          <cell r="N65">
            <v>0</v>
          </cell>
          <cell r="O65">
            <v>0</v>
          </cell>
          <cell r="P65">
            <v>158709.48799999998</v>
          </cell>
          <cell r="Q65">
            <v>0</v>
          </cell>
          <cell r="R65">
            <v>0</v>
          </cell>
          <cell r="S65">
            <v>0</v>
          </cell>
          <cell r="U65">
            <v>12.669999999999998</v>
          </cell>
          <cell r="V65">
            <v>12.669999999999998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A66" t="str">
            <v>M12a</v>
          </cell>
          <cell r="C66">
            <v>0</v>
          </cell>
          <cell r="E66" t="str">
            <v>Móng M12a</v>
          </cell>
          <cell r="F66" t="str">
            <v>Móng</v>
          </cell>
          <cell r="G66">
            <v>0</v>
          </cell>
          <cell r="N66">
            <v>408000</v>
          </cell>
          <cell r="O66">
            <v>0</v>
          </cell>
          <cell r="P66">
            <v>401473.47599999997</v>
          </cell>
          <cell r="Q66">
            <v>161119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</row>
        <row r="67">
          <cell r="C67">
            <v>0</v>
          </cell>
          <cell r="E67" t="str">
            <v>Mỗi móng gồm:</v>
          </cell>
        </row>
        <row r="68">
          <cell r="B68" t="str">
            <v>d12</v>
          </cell>
          <cell r="C68">
            <v>0</v>
          </cell>
          <cell r="D68" t="str">
            <v>AG.42111</v>
          </cell>
          <cell r="E68" t="str">
            <v>Đà cản BTCT 1,2m</v>
          </cell>
          <cell r="F68" t="str">
            <v>cái</v>
          </cell>
          <cell r="G68">
            <v>1</v>
          </cell>
          <cell r="H68">
            <v>318000</v>
          </cell>
          <cell r="K68">
            <v>161119</v>
          </cell>
          <cell r="M68">
            <v>0</v>
          </cell>
          <cell r="N68">
            <v>318000</v>
          </cell>
          <cell r="O68">
            <v>0</v>
          </cell>
          <cell r="P68">
            <v>0</v>
          </cell>
          <cell r="Q68">
            <v>161119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B69" t="str">
            <v>b22550v</v>
          </cell>
          <cell r="C69">
            <v>0</v>
          </cell>
          <cell r="D69">
            <v>0</v>
          </cell>
          <cell r="E69" t="str">
            <v>Boulon 22x550VRS + 2 long đền vuông D24-60x60x6/Zn</v>
          </cell>
          <cell r="F69" t="str">
            <v>bộ</v>
          </cell>
          <cell r="G69">
            <v>1</v>
          </cell>
          <cell r="H69">
            <v>90000</v>
          </cell>
          <cell r="K69">
            <v>0</v>
          </cell>
          <cell r="M69">
            <v>0</v>
          </cell>
          <cell r="N69">
            <v>90000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B70" t="str">
            <v>MDD3</v>
          </cell>
          <cell r="C70">
            <v>0</v>
          </cell>
          <cell r="D70" t="str">
            <v>AB.11423</v>
          </cell>
          <cell r="E70" t="str">
            <v>Đào hố móng đất cấp 3 sâu &gt;1m</v>
          </cell>
          <cell r="F70" t="str">
            <v>m3</v>
          </cell>
          <cell r="G70">
            <v>0.73799999999999999</v>
          </cell>
          <cell r="J70">
            <v>418738</v>
          </cell>
          <cell r="L70">
            <v>0</v>
          </cell>
          <cell r="N70">
            <v>0</v>
          </cell>
          <cell r="O70">
            <v>0</v>
          </cell>
          <cell r="P70">
            <v>309028.64399999997</v>
          </cell>
          <cell r="Q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B71" t="str">
            <v>MDAP3</v>
          </cell>
          <cell r="C71">
            <v>0</v>
          </cell>
          <cell r="D71" t="str">
            <v>AB.13113</v>
          </cell>
          <cell r="E71" t="str">
            <v>Đắp đất hố móng (K=0,95)</v>
          </cell>
          <cell r="F71" t="str">
            <v>m3</v>
          </cell>
          <cell r="G71">
            <v>0.73799999999999999</v>
          </cell>
          <cell r="J71">
            <v>125264</v>
          </cell>
          <cell r="L71">
            <v>0</v>
          </cell>
          <cell r="N71">
            <v>0</v>
          </cell>
          <cell r="O71">
            <v>0</v>
          </cell>
          <cell r="P71">
            <v>92444.831999999995</v>
          </cell>
          <cell r="Q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M12BT</v>
          </cell>
          <cell r="C72">
            <v>1</v>
          </cell>
          <cell r="E72" t="str">
            <v>Móng bê tông trụ đơn 12m</v>
          </cell>
          <cell r="F72" t="str">
            <v>Móng</v>
          </cell>
          <cell r="G72">
            <v>9</v>
          </cell>
          <cell r="N72">
            <v>0</v>
          </cell>
          <cell r="O72">
            <v>1084739</v>
          </cell>
          <cell r="P72">
            <v>863388.17</v>
          </cell>
          <cell r="Q72">
            <v>0</v>
          </cell>
          <cell r="R72">
            <v>46042.03</v>
          </cell>
          <cell r="S72">
            <v>0</v>
          </cell>
          <cell r="U72">
            <v>9</v>
          </cell>
          <cell r="V72">
            <v>9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C73">
            <v>1</v>
          </cell>
          <cell r="E73" t="str">
            <v>Mỗi móng gồm:</v>
          </cell>
        </row>
        <row r="74">
          <cell r="B74" t="str">
            <v>XM</v>
          </cell>
          <cell r="C74">
            <v>1</v>
          </cell>
          <cell r="D74">
            <v>0</v>
          </cell>
          <cell r="E74" t="str">
            <v>Xi măng</v>
          </cell>
          <cell r="F74" t="str">
            <v>kg</v>
          </cell>
          <cell r="G74">
            <v>304.89999999999998</v>
          </cell>
          <cell r="I74">
            <v>1740</v>
          </cell>
          <cell r="J74">
            <v>0</v>
          </cell>
          <cell r="L74">
            <v>0</v>
          </cell>
          <cell r="M74">
            <v>0</v>
          </cell>
          <cell r="N74">
            <v>0</v>
          </cell>
          <cell r="O74">
            <v>530526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U74">
            <v>2744.1</v>
          </cell>
          <cell r="V74">
            <v>2744.1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CV</v>
          </cell>
          <cell r="C75">
            <v>1</v>
          </cell>
          <cell r="D75">
            <v>0</v>
          </cell>
          <cell r="E75" t="str">
            <v>Cát vàng</v>
          </cell>
          <cell r="F75" t="str">
            <v>m3</v>
          </cell>
          <cell r="G75">
            <v>0.48899999999999999</v>
          </cell>
          <cell r="I75">
            <v>512000</v>
          </cell>
          <cell r="J75">
            <v>0</v>
          </cell>
          <cell r="L75">
            <v>0</v>
          </cell>
          <cell r="N75">
            <v>0</v>
          </cell>
          <cell r="O75">
            <v>250368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U75">
            <v>4.4009999999999998</v>
          </cell>
          <cell r="V75">
            <v>4.4009999999999998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A76" t="str">
            <v xml:space="preserve"> </v>
          </cell>
          <cell r="B76" t="str">
            <v>D1X2</v>
          </cell>
          <cell r="C76">
            <v>1</v>
          </cell>
          <cell r="D76">
            <v>0</v>
          </cell>
          <cell r="E76" t="str">
            <v>Đá 1x2</v>
          </cell>
          <cell r="F76" t="str">
            <v>m3</v>
          </cell>
          <cell r="G76">
            <v>0.90700000000000003</v>
          </cell>
          <cell r="I76">
            <v>335000</v>
          </cell>
          <cell r="J76">
            <v>0</v>
          </cell>
          <cell r="L76">
            <v>0</v>
          </cell>
          <cell r="N76">
            <v>0</v>
          </cell>
          <cell r="O76">
            <v>303845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U76">
            <v>8.1630000000000003</v>
          </cell>
          <cell r="V76">
            <v>8.1630000000000003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B77" t="str">
            <v>MDD3</v>
          </cell>
          <cell r="C77">
            <v>1</v>
          </cell>
          <cell r="D77" t="str">
            <v>AB.11423</v>
          </cell>
          <cell r="E77" t="str">
            <v>Đào hố móng đất cấp 3 sâu &gt;1m</v>
          </cell>
          <cell r="F77" t="str">
            <v>m3</v>
          </cell>
          <cell r="G77">
            <v>1.34</v>
          </cell>
          <cell r="J77">
            <v>418738</v>
          </cell>
          <cell r="L77">
            <v>0</v>
          </cell>
          <cell r="N77">
            <v>0</v>
          </cell>
          <cell r="O77">
            <v>0</v>
          </cell>
          <cell r="P77">
            <v>561108.92000000004</v>
          </cell>
          <cell r="Q77">
            <v>0</v>
          </cell>
          <cell r="R77">
            <v>0</v>
          </cell>
          <cell r="S77">
            <v>0</v>
          </cell>
          <cell r="U77">
            <v>12.06</v>
          </cell>
          <cell r="V77">
            <v>12.06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B78" t="str">
            <v>DBT20012</v>
          </cell>
          <cell r="C78">
            <v>1</v>
          </cell>
          <cell r="D78" t="str">
            <v>AF.11210</v>
          </cell>
          <cell r="E78" t="str">
            <v>Đổ bê tông mác M200 đá 1x2</v>
          </cell>
          <cell r="F78" t="str">
            <v>m3</v>
          </cell>
          <cell r="G78">
            <v>1.03</v>
          </cell>
          <cell r="J78">
            <v>293475</v>
          </cell>
          <cell r="L78">
            <v>44701</v>
          </cell>
          <cell r="N78">
            <v>0</v>
          </cell>
          <cell r="O78">
            <v>0</v>
          </cell>
          <cell r="P78">
            <v>302279.25</v>
          </cell>
          <cell r="Q78">
            <v>0</v>
          </cell>
          <cell r="R78">
            <v>46042.03</v>
          </cell>
          <cell r="S78">
            <v>0</v>
          </cell>
        </row>
        <row r="79">
          <cell r="A79" t="str">
            <v>M12BT-D</v>
          </cell>
          <cell r="C79">
            <v>1</v>
          </cell>
          <cell r="E79" t="str">
            <v>Móng bê tông trụ đơn 12m (Vướng đá)</v>
          </cell>
          <cell r="F79" t="str">
            <v>Móng</v>
          </cell>
          <cell r="G79">
            <v>2</v>
          </cell>
          <cell r="N79">
            <v>0</v>
          </cell>
          <cell r="O79">
            <v>761371</v>
          </cell>
          <cell r="P79">
            <v>1207664.5210000002</v>
          </cell>
          <cell r="Q79">
            <v>0</v>
          </cell>
          <cell r="R79">
            <v>32318.823</v>
          </cell>
          <cell r="S79">
            <v>0</v>
          </cell>
          <cell r="U79">
            <v>2</v>
          </cell>
          <cell r="V79">
            <v>2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0">
          <cell r="C80">
            <v>1</v>
          </cell>
          <cell r="E80" t="str">
            <v>Mỗi móng gồm:</v>
          </cell>
        </row>
        <row r="81">
          <cell r="B81" t="str">
            <v>XM</v>
          </cell>
          <cell r="C81">
            <v>1</v>
          </cell>
          <cell r="D81">
            <v>0</v>
          </cell>
          <cell r="E81" t="str">
            <v>Xi măng</v>
          </cell>
          <cell r="F81" t="str">
            <v>kg</v>
          </cell>
          <cell r="G81">
            <v>214</v>
          </cell>
          <cell r="I81">
            <v>1740</v>
          </cell>
          <cell r="J81">
            <v>0</v>
          </cell>
          <cell r="L81">
            <v>0</v>
          </cell>
          <cell r="M81">
            <v>0</v>
          </cell>
          <cell r="N81">
            <v>0</v>
          </cell>
          <cell r="O81">
            <v>372360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U81">
            <v>428</v>
          </cell>
          <cell r="V81">
            <v>428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B82" t="str">
            <v>CV</v>
          </cell>
          <cell r="C82">
            <v>1</v>
          </cell>
          <cell r="D82">
            <v>0</v>
          </cell>
          <cell r="E82" t="str">
            <v>Cát vàng</v>
          </cell>
          <cell r="F82" t="str">
            <v>m3</v>
          </cell>
          <cell r="G82">
            <v>0.34300000000000003</v>
          </cell>
          <cell r="I82">
            <v>512000</v>
          </cell>
          <cell r="J82">
            <v>0</v>
          </cell>
          <cell r="L82">
            <v>0</v>
          </cell>
          <cell r="N82">
            <v>0</v>
          </cell>
          <cell r="O82">
            <v>175616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U82">
            <v>0.68600000000000005</v>
          </cell>
          <cell r="V82">
            <v>0.68600000000000005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</row>
        <row r="83">
          <cell r="A83" t="str">
            <v xml:space="preserve"> </v>
          </cell>
          <cell r="B83" t="str">
            <v>D1X2</v>
          </cell>
          <cell r="C83">
            <v>1</v>
          </cell>
          <cell r="D83">
            <v>0</v>
          </cell>
          <cell r="E83" t="str">
            <v>Đá 1x2</v>
          </cell>
          <cell r="F83" t="str">
            <v>m3</v>
          </cell>
          <cell r="G83">
            <v>0.63700000000000001</v>
          </cell>
          <cell r="I83">
            <v>335000</v>
          </cell>
          <cell r="J83">
            <v>0</v>
          </cell>
          <cell r="L83">
            <v>0</v>
          </cell>
          <cell r="N83">
            <v>0</v>
          </cell>
          <cell r="O83">
            <v>213395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U83">
            <v>1.274</v>
          </cell>
          <cell r="V83">
            <v>1.274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</row>
        <row r="84">
          <cell r="B84" t="str">
            <v>MDD31</v>
          </cell>
          <cell r="C84">
            <v>1</v>
          </cell>
          <cell r="D84" t="str">
            <v>AB.11413</v>
          </cell>
          <cell r="E84" t="str">
            <v>Đào hố móng đất cấp 3 sâu &lt;=1m</v>
          </cell>
          <cell r="F84" t="str">
            <v>m3</v>
          </cell>
          <cell r="G84">
            <v>0.4</v>
          </cell>
          <cell r="J84">
            <v>340001</v>
          </cell>
          <cell r="L84">
            <v>0</v>
          </cell>
          <cell r="N84">
            <v>0</v>
          </cell>
          <cell r="O84">
            <v>0</v>
          </cell>
          <cell r="P84">
            <v>136000.4</v>
          </cell>
          <cell r="Q84">
            <v>0</v>
          </cell>
          <cell r="R84">
            <v>0</v>
          </cell>
          <cell r="S84">
            <v>0</v>
          </cell>
          <cell r="AB84">
            <v>0</v>
          </cell>
        </row>
        <row r="85">
          <cell r="B85" t="str">
            <v>MDDA3</v>
          </cell>
          <cell r="C85">
            <v>1</v>
          </cell>
          <cell r="D85" t="str">
            <v>AB.11213</v>
          </cell>
          <cell r="E85" t="str">
            <v>Phá đá chân hố móng, đá cấp III</v>
          </cell>
          <cell r="F85" t="str">
            <v>m3</v>
          </cell>
          <cell r="G85">
            <v>1.04</v>
          </cell>
          <cell r="J85">
            <v>760902</v>
          </cell>
          <cell r="L85">
            <v>0</v>
          </cell>
          <cell r="N85">
            <v>0</v>
          </cell>
          <cell r="O85">
            <v>0</v>
          </cell>
          <cell r="P85">
            <v>791338.08000000007</v>
          </cell>
          <cell r="Q85">
            <v>0</v>
          </cell>
          <cell r="R85">
            <v>0</v>
          </cell>
          <cell r="S85">
            <v>0</v>
          </cell>
          <cell r="AB85">
            <v>0</v>
          </cell>
        </row>
        <row r="86">
          <cell r="B86" t="str">
            <v>MDAP3</v>
          </cell>
          <cell r="C86">
            <v>1</v>
          </cell>
          <cell r="D86" t="str">
            <v>AB.13113</v>
          </cell>
          <cell r="E86" t="str">
            <v>Đắp đất hố móng (K=0,95)</v>
          </cell>
          <cell r="F86" t="str">
            <v>m3</v>
          </cell>
          <cell r="G86">
            <v>0.54400000000000004</v>
          </cell>
          <cell r="J86">
            <v>125264</v>
          </cell>
          <cell r="L86">
            <v>0</v>
          </cell>
          <cell r="N86">
            <v>0</v>
          </cell>
          <cell r="O86">
            <v>0</v>
          </cell>
          <cell r="P86">
            <v>68143.616000000009</v>
          </cell>
          <cell r="Q86">
            <v>0</v>
          </cell>
          <cell r="R86">
            <v>0</v>
          </cell>
          <cell r="S86">
            <v>0</v>
          </cell>
          <cell r="AB86">
            <v>0</v>
          </cell>
        </row>
        <row r="87">
          <cell r="B87" t="str">
            <v>DBT20012</v>
          </cell>
          <cell r="C87">
            <v>1</v>
          </cell>
          <cell r="D87" t="str">
            <v>AF.11210</v>
          </cell>
          <cell r="E87" t="str">
            <v>Đổ bê tông mác M200 đá 1x2</v>
          </cell>
          <cell r="F87" t="str">
            <v>m3</v>
          </cell>
          <cell r="G87">
            <v>0.72299999999999998</v>
          </cell>
          <cell r="J87">
            <v>293475</v>
          </cell>
          <cell r="L87">
            <v>44701</v>
          </cell>
          <cell r="N87">
            <v>0</v>
          </cell>
          <cell r="O87">
            <v>0</v>
          </cell>
          <cell r="P87">
            <v>212182.42499999999</v>
          </cell>
          <cell r="Q87">
            <v>0</v>
          </cell>
          <cell r="R87">
            <v>32318.823</v>
          </cell>
          <cell r="S87">
            <v>0</v>
          </cell>
        </row>
        <row r="88">
          <cell r="A88" t="str">
            <v>M12BTD</v>
          </cell>
          <cell r="C88">
            <v>1</v>
          </cell>
          <cell r="E88" t="str">
            <v>Móng bê tông trụ đôi 12m</v>
          </cell>
          <cell r="F88" t="str">
            <v>Móng</v>
          </cell>
          <cell r="G88">
            <v>49</v>
          </cell>
          <cell r="N88">
            <v>154000</v>
          </cell>
          <cell r="O88">
            <v>1390978</v>
          </cell>
          <cell r="P88">
            <v>1199738.72</v>
          </cell>
          <cell r="Q88">
            <v>0</v>
          </cell>
          <cell r="R88">
            <v>59005.32</v>
          </cell>
          <cell r="S88">
            <v>0</v>
          </cell>
          <cell r="U88">
            <v>49</v>
          </cell>
          <cell r="V88">
            <v>48</v>
          </cell>
          <cell r="W88">
            <v>1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1</v>
          </cell>
          <cell r="E89" t="str">
            <v>Mỗi móng gồm:</v>
          </cell>
        </row>
        <row r="90">
          <cell r="B90" t="str">
            <v>XM</v>
          </cell>
          <cell r="C90">
            <v>1</v>
          </cell>
          <cell r="D90">
            <v>0</v>
          </cell>
          <cell r="E90" t="str">
            <v>Xi măng</v>
          </cell>
          <cell r="F90" t="str">
            <v>kg</v>
          </cell>
          <cell r="G90">
            <v>390.7</v>
          </cell>
          <cell r="I90">
            <v>1740</v>
          </cell>
          <cell r="J90">
            <v>0</v>
          </cell>
          <cell r="L90">
            <v>0</v>
          </cell>
          <cell r="N90">
            <v>0</v>
          </cell>
          <cell r="O90">
            <v>679818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U90">
            <v>19144.3</v>
          </cell>
          <cell r="V90">
            <v>18753.599999999999</v>
          </cell>
          <cell r="W90">
            <v>390.7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</row>
        <row r="91">
          <cell r="B91" t="str">
            <v>CV</v>
          </cell>
          <cell r="C91">
            <v>1</v>
          </cell>
          <cell r="D91">
            <v>0</v>
          </cell>
          <cell r="E91" t="str">
            <v>Cát vàng</v>
          </cell>
          <cell r="F91" t="str">
            <v>m3</v>
          </cell>
          <cell r="G91">
            <v>0.63</v>
          </cell>
          <cell r="I91">
            <v>512000</v>
          </cell>
          <cell r="J91">
            <v>0</v>
          </cell>
          <cell r="L91">
            <v>0</v>
          </cell>
          <cell r="N91">
            <v>0</v>
          </cell>
          <cell r="O91">
            <v>322560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U91">
            <v>30.87</v>
          </cell>
          <cell r="V91">
            <v>30.240000000000002</v>
          </cell>
          <cell r="W91">
            <v>0.63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</row>
        <row r="92">
          <cell r="B92" t="str">
            <v>D1X2</v>
          </cell>
          <cell r="C92">
            <v>1</v>
          </cell>
          <cell r="D92">
            <v>0</v>
          </cell>
          <cell r="E92" t="str">
            <v>Đá 1x2</v>
          </cell>
          <cell r="F92" t="str">
            <v>m3</v>
          </cell>
          <cell r="G92">
            <v>1.1599999999999999</v>
          </cell>
          <cell r="I92">
            <v>335000</v>
          </cell>
          <cell r="J92">
            <v>0</v>
          </cell>
          <cell r="L92">
            <v>0</v>
          </cell>
          <cell r="N92">
            <v>0</v>
          </cell>
          <cell r="O92">
            <v>388600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U92">
            <v>56.839999999999996</v>
          </cell>
          <cell r="V92">
            <v>55.679999999999993</v>
          </cell>
          <cell r="W92">
            <v>1.1599999999999999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B93" t="str">
            <v>B16550VR</v>
          </cell>
          <cell r="C93">
            <v>1</v>
          </cell>
          <cell r="D93">
            <v>0</v>
          </cell>
          <cell r="E93" t="str">
            <v>Boulon 16x550VRS + 2 long đền vuông D18-50x50x3/Zn</v>
          </cell>
          <cell r="F93" t="str">
            <v>bộ</v>
          </cell>
          <cell r="G93">
            <v>1</v>
          </cell>
          <cell r="H93">
            <v>45000</v>
          </cell>
          <cell r="K93">
            <v>0</v>
          </cell>
          <cell r="M93">
            <v>0</v>
          </cell>
          <cell r="N93">
            <v>45000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U93">
            <v>49</v>
          </cell>
          <cell r="V93">
            <v>48</v>
          </cell>
          <cell r="W93">
            <v>1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B94" t="str">
            <v>B16650VR</v>
          </cell>
          <cell r="C94">
            <v>1</v>
          </cell>
          <cell r="D94">
            <v>0</v>
          </cell>
          <cell r="E94" t="str">
            <v>Boulon 16x650VRS + 2 long đền vuông D18-50x50x3/Zn</v>
          </cell>
          <cell r="F94" t="str">
            <v>bộ</v>
          </cell>
          <cell r="G94">
            <v>1</v>
          </cell>
          <cell r="H94">
            <v>53000</v>
          </cell>
          <cell r="K94">
            <v>0</v>
          </cell>
          <cell r="M94">
            <v>0</v>
          </cell>
          <cell r="N94">
            <v>53000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U94">
            <v>49</v>
          </cell>
          <cell r="V94">
            <v>48</v>
          </cell>
          <cell r="W94">
            <v>1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</row>
        <row r="95">
          <cell r="B95" t="str">
            <v>B16750VR</v>
          </cell>
          <cell r="C95">
            <v>1</v>
          </cell>
          <cell r="D95">
            <v>0</v>
          </cell>
          <cell r="E95" t="str">
            <v>Boulon 16x750VRS + 2 long đền vuông D18-50x50x3/Zn</v>
          </cell>
          <cell r="F95" t="str">
            <v>bộ</v>
          </cell>
          <cell r="G95">
            <v>1</v>
          </cell>
          <cell r="H95">
            <v>56000</v>
          </cell>
          <cell r="K95">
            <v>0</v>
          </cell>
          <cell r="M95">
            <v>0</v>
          </cell>
          <cell r="N95">
            <v>56000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U95">
            <v>49</v>
          </cell>
          <cell r="V95">
            <v>48</v>
          </cell>
          <cell r="W95">
            <v>1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</row>
        <row r="96">
          <cell r="B96" t="str">
            <v>MDD3</v>
          </cell>
          <cell r="C96">
            <v>1</v>
          </cell>
          <cell r="D96" t="str">
            <v>AB.11423</v>
          </cell>
          <cell r="E96" t="str">
            <v>Đào hố móng đất cấp 3 sâu &gt;1m</v>
          </cell>
          <cell r="F96" t="str">
            <v>m3</v>
          </cell>
          <cell r="G96">
            <v>1.94</v>
          </cell>
          <cell r="J96">
            <v>418738</v>
          </cell>
          <cell r="L96">
            <v>0</v>
          </cell>
          <cell r="N96">
            <v>0</v>
          </cell>
          <cell r="O96">
            <v>0</v>
          </cell>
          <cell r="P96">
            <v>812351.72</v>
          </cell>
          <cell r="Q96">
            <v>0</v>
          </cell>
          <cell r="R96">
            <v>0</v>
          </cell>
          <cell r="S96">
            <v>0</v>
          </cell>
          <cell r="U96">
            <v>95.06</v>
          </cell>
          <cell r="V96">
            <v>93.12</v>
          </cell>
          <cell r="W96">
            <v>1.94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B97" t="str">
            <v>DBT20012</v>
          </cell>
          <cell r="C97">
            <v>1</v>
          </cell>
          <cell r="D97" t="str">
            <v>AF.11210</v>
          </cell>
          <cell r="E97" t="str">
            <v>Đổ bê tông mác M200 đá 1x2</v>
          </cell>
          <cell r="F97" t="str">
            <v>m3</v>
          </cell>
          <cell r="G97">
            <v>1.32</v>
          </cell>
          <cell r="J97">
            <v>293475</v>
          </cell>
          <cell r="L97">
            <v>44701</v>
          </cell>
          <cell r="N97">
            <v>0</v>
          </cell>
          <cell r="O97">
            <v>0</v>
          </cell>
          <cell r="P97">
            <v>387387</v>
          </cell>
          <cell r="Q97">
            <v>0</v>
          </cell>
          <cell r="R97">
            <v>59005.32</v>
          </cell>
          <cell r="S97">
            <v>0</v>
          </cell>
        </row>
        <row r="98">
          <cell r="A98" t="str">
            <v>M12BTD-D</v>
          </cell>
          <cell r="C98">
            <v>1</v>
          </cell>
          <cell r="E98" t="str">
            <v>Móng bê tông trụ đôi 12m (Vướng đá)</v>
          </cell>
          <cell r="F98" t="str">
            <v>Móng</v>
          </cell>
          <cell r="G98">
            <v>6</v>
          </cell>
          <cell r="N98">
            <v>154000</v>
          </cell>
          <cell r="O98">
            <v>1253188</v>
          </cell>
          <cell r="P98">
            <v>2218848.8659999999</v>
          </cell>
          <cell r="Q98">
            <v>0</v>
          </cell>
          <cell r="R98">
            <v>53194.189999999995</v>
          </cell>
          <cell r="S98">
            <v>0</v>
          </cell>
          <cell r="U98">
            <v>6</v>
          </cell>
          <cell r="V98">
            <v>6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C99">
            <v>1</v>
          </cell>
          <cell r="E99" t="str">
            <v>Mỗi móng gồm:</v>
          </cell>
        </row>
        <row r="100">
          <cell r="B100" t="str">
            <v>XM</v>
          </cell>
          <cell r="C100">
            <v>1</v>
          </cell>
          <cell r="D100">
            <v>0</v>
          </cell>
          <cell r="E100" t="str">
            <v>Xi măng</v>
          </cell>
          <cell r="F100" t="str">
            <v>kg</v>
          </cell>
          <cell r="G100">
            <v>352.2</v>
          </cell>
          <cell r="I100">
            <v>1740</v>
          </cell>
          <cell r="J100">
            <v>0</v>
          </cell>
          <cell r="L100">
            <v>0</v>
          </cell>
          <cell r="N100">
            <v>0</v>
          </cell>
          <cell r="O100">
            <v>612828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U100">
            <v>2113.1999999999998</v>
          </cell>
          <cell r="V100">
            <v>2113.1999999999998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B101" t="str">
            <v>CV</v>
          </cell>
          <cell r="C101">
            <v>1</v>
          </cell>
          <cell r="D101">
            <v>0</v>
          </cell>
          <cell r="E101" t="str">
            <v>Cát vàng</v>
          </cell>
          <cell r="F101" t="str">
            <v>m3</v>
          </cell>
          <cell r="G101">
            <v>0.56499999999999995</v>
          </cell>
          <cell r="I101">
            <v>512000</v>
          </cell>
          <cell r="J101">
            <v>0</v>
          </cell>
          <cell r="L101">
            <v>0</v>
          </cell>
          <cell r="N101">
            <v>0</v>
          </cell>
          <cell r="O101">
            <v>289280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U101">
            <v>3.3899999999999997</v>
          </cell>
          <cell r="V101">
            <v>3.3899999999999997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B102" t="str">
            <v>D1X2</v>
          </cell>
          <cell r="C102">
            <v>1</v>
          </cell>
          <cell r="D102">
            <v>0</v>
          </cell>
          <cell r="E102" t="str">
            <v>Đá 1x2</v>
          </cell>
          <cell r="F102" t="str">
            <v>m3</v>
          </cell>
          <cell r="G102">
            <v>1.048</v>
          </cell>
          <cell r="I102">
            <v>335000</v>
          </cell>
          <cell r="J102">
            <v>0</v>
          </cell>
          <cell r="L102">
            <v>0</v>
          </cell>
          <cell r="N102">
            <v>0</v>
          </cell>
          <cell r="O102">
            <v>351080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U102">
            <v>6.2880000000000003</v>
          </cell>
          <cell r="V102">
            <v>6.2880000000000003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</row>
        <row r="103">
          <cell r="B103" t="str">
            <v>B16550VR</v>
          </cell>
          <cell r="C103">
            <v>1</v>
          </cell>
          <cell r="D103">
            <v>0</v>
          </cell>
          <cell r="E103" t="str">
            <v>Boulon 16x550VRS + 2 long đền vuông D18-50x50x3/Zn</v>
          </cell>
          <cell r="F103" t="str">
            <v>bộ</v>
          </cell>
          <cell r="G103">
            <v>1</v>
          </cell>
          <cell r="H103">
            <v>45000</v>
          </cell>
          <cell r="K103">
            <v>0</v>
          </cell>
          <cell r="M103">
            <v>0</v>
          </cell>
          <cell r="N103">
            <v>45000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U103">
            <v>6</v>
          </cell>
          <cell r="V103">
            <v>6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</row>
        <row r="104">
          <cell r="B104" t="str">
            <v>B16650VR</v>
          </cell>
          <cell r="C104">
            <v>1</v>
          </cell>
          <cell r="D104">
            <v>0</v>
          </cell>
          <cell r="E104" t="str">
            <v>Boulon 16x650VRS + 2 long đền vuông D18-50x50x3/Zn</v>
          </cell>
          <cell r="F104" t="str">
            <v>bộ</v>
          </cell>
          <cell r="G104">
            <v>1</v>
          </cell>
          <cell r="H104">
            <v>53000</v>
          </cell>
          <cell r="K104">
            <v>0</v>
          </cell>
          <cell r="M104">
            <v>0</v>
          </cell>
          <cell r="N104">
            <v>53000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U104">
            <v>6</v>
          </cell>
          <cell r="V104">
            <v>6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B105" t="str">
            <v>B16750VR</v>
          </cell>
          <cell r="C105">
            <v>1</v>
          </cell>
          <cell r="D105">
            <v>0</v>
          </cell>
          <cell r="E105" t="str">
            <v>Boulon 16x750VRS + 2 long đền vuông D18-50x50x3/Zn</v>
          </cell>
          <cell r="F105" t="str">
            <v>bộ</v>
          </cell>
          <cell r="G105">
            <v>1</v>
          </cell>
          <cell r="H105">
            <v>56000</v>
          </cell>
          <cell r="K105">
            <v>0</v>
          </cell>
          <cell r="M105">
            <v>0</v>
          </cell>
          <cell r="N105">
            <v>56000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U105">
            <v>6</v>
          </cell>
          <cell r="V105">
            <v>6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B106" t="str">
            <v>MDD31</v>
          </cell>
          <cell r="C106">
            <v>1</v>
          </cell>
          <cell r="D106" t="str">
            <v>AB.11413</v>
          </cell>
          <cell r="E106" t="str">
            <v>Đào hố móng đất cấp 3 sâu &lt;=1m</v>
          </cell>
          <cell r="F106" t="str">
            <v>m3</v>
          </cell>
          <cell r="G106">
            <v>0.67200000000000004</v>
          </cell>
          <cell r="J106">
            <v>340001</v>
          </cell>
          <cell r="L106">
            <v>0</v>
          </cell>
          <cell r="N106">
            <v>0</v>
          </cell>
          <cell r="O106">
            <v>0</v>
          </cell>
          <cell r="P106">
            <v>228480.67200000002</v>
          </cell>
          <cell r="Q106">
            <v>0</v>
          </cell>
          <cell r="R106">
            <v>0</v>
          </cell>
          <cell r="S106">
            <v>0</v>
          </cell>
          <cell r="U106">
            <v>4.032</v>
          </cell>
          <cell r="V106">
            <v>4.032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B107" t="str">
            <v>MDDA3</v>
          </cell>
          <cell r="C107">
            <v>1</v>
          </cell>
          <cell r="D107" t="str">
            <v>AB.11213</v>
          </cell>
          <cell r="E107" t="str">
            <v>Phá đá chân hố móng, đá cấp III</v>
          </cell>
          <cell r="F107" t="str">
            <v>m3</v>
          </cell>
          <cell r="G107">
            <v>1.968</v>
          </cell>
          <cell r="J107">
            <v>760902</v>
          </cell>
          <cell r="L107">
            <v>0</v>
          </cell>
          <cell r="N107">
            <v>0</v>
          </cell>
          <cell r="O107">
            <v>0</v>
          </cell>
          <cell r="P107">
            <v>1497455.1359999999</v>
          </cell>
          <cell r="Q107">
            <v>0</v>
          </cell>
          <cell r="R107">
            <v>0</v>
          </cell>
          <cell r="S107">
            <v>0</v>
          </cell>
          <cell r="U107">
            <v>11.808</v>
          </cell>
          <cell r="V107">
            <v>11.808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B108" t="str">
            <v>MDAP3</v>
          </cell>
          <cell r="C108">
            <v>1</v>
          </cell>
          <cell r="D108" t="str">
            <v>AB.13113</v>
          </cell>
          <cell r="E108" t="str">
            <v>Đắp đất hố móng (K=0,95)</v>
          </cell>
          <cell r="F108" t="str">
            <v>m3</v>
          </cell>
          <cell r="G108">
            <v>1.147</v>
          </cell>
          <cell r="J108">
            <v>125264</v>
          </cell>
          <cell r="L108">
            <v>0</v>
          </cell>
          <cell r="N108">
            <v>0</v>
          </cell>
          <cell r="O108">
            <v>0</v>
          </cell>
          <cell r="P108">
            <v>143677.80799999999</v>
          </cell>
          <cell r="Q108">
            <v>0</v>
          </cell>
          <cell r="R108">
            <v>0</v>
          </cell>
          <cell r="S108">
            <v>0</v>
          </cell>
          <cell r="U108">
            <v>6.8819999999999997</v>
          </cell>
          <cell r="V108">
            <v>6.8819999999999997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B109" t="str">
            <v>DBT20012</v>
          </cell>
          <cell r="C109">
            <v>1</v>
          </cell>
          <cell r="D109" t="str">
            <v>AF.11210</v>
          </cell>
          <cell r="E109" t="str">
            <v>Đổ bê tông mác M200 đá 1x2</v>
          </cell>
          <cell r="F109" t="str">
            <v>m3</v>
          </cell>
          <cell r="G109">
            <v>1.19</v>
          </cell>
          <cell r="J109">
            <v>293475</v>
          </cell>
          <cell r="L109">
            <v>44701</v>
          </cell>
          <cell r="N109">
            <v>0</v>
          </cell>
          <cell r="O109">
            <v>0</v>
          </cell>
          <cell r="P109">
            <v>349235.25</v>
          </cell>
          <cell r="Q109">
            <v>0</v>
          </cell>
          <cell r="R109">
            <v>53194.189999999995</v>
          </cell>
          <cell r="S109">
            <v>0</v>
          </cell>
        </row>
        <row r="110">
          <cell r="A110" t="str">
            <v>M14</v>
          </cell>
          <cell r="C110">
            <v>1</v>
          </cell>
          <cell r="E110" t="str">
            <v>Móng M14</v>
          </cell>
          <cell r="F110" t="str">
            <v>Móng</v>
          </cell>
          <cell r="G110">
            <v>3</v>
          </cell>
          <cell r="N110">
            <v>0</v>
          </cell>
          <cell r="O110">
            <v>0</v>
          </cell>
          <cell r="P110">
            <v>170903.26867381547</v>
          </cell>
          <cell r="Q110">
            <v>0</v>
          </cell>
          <cell r="R110">
            <v>0</v>
          </cell>
          <cell r="S110">
            <v>0</v>
          </cell>
          <cell r="U110">
            <v>3</v>
          </cell>
          <cell r="V110">
            <v>3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</row>
        <row r="111">
          <cell r="C111">
            <v>1</v>
          </cell>
          <cell r="E111" t="str">
            <v>Mỗi móng gồm:</v>
          </cell>
        </row>
        <row r="112">
          <cell r="B112" t="str">
            <v>MDD3</v>
          </cell>
          <cell r="C112">
            <v>1</v>
          </cell>
          <cell r="D112" t="str">
            <v>AB.11423</v>
          </cell>
          <cell r="E112" t="str">
            <v>Đào hố móng đất cấp 3 sâu &gt;1m</v>
          </cell>
          <cell r="F112" t="str">
            <v>m3</v>
          </cell>
          <cell r="G112">
            <v>0.31415926535897931</v>
          </cell>
          <cell r="J112">
            <v>418738</v>
          </cell>
          <cell r="L112">
            <v>0</v>
          </cell>
          <cell r="N112">
            <v>0</v>
          </cell>
          <cell r="O112">
            <v>0</v>
          </cell>
          <cell r="P112">
            <v>131550.42245788829</v>
          </cell>
          <cell r="Q112">
            <v>0</v>
          </cell>
          <cell r="R112">
            <v>0</v>
          </cell>
          <cell r="S112">
            <v>0</v>
          </cell>
          <cell r="U112">
            <v>0.94247779607693793</v>
          </cell>
          <cell r="V112">
            <v>0.94247779607693793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B113" t="str">
            <v>MDAP3</v>
          </cell>
          <cell r="C113">
            <v>1</v>
          </cell>
          <cell r="D113" t="str">
            <v>AB.13113</v>
          </cell>
          <cell r="E113" t="str">
            <v>Đắp đất hố móng (K=0,95)</v>
          </cell>
          <cell r="F113" t="str">
            <v>m3</v>
          </cell>
          <cell r="G113">
            <v>0.31415926535897931</v>
          </cell>
          <cell r="J113">
            <v>125264</v>
          </cell>
          <cell r="L113">
            <v>0</v>
          </cell>
          <cell r="N113">
            <v>0</v>
          </cell>
          <cell r="O113">
            <v>0</v>
          </cell>
          <cell r="P113">
            <v>39352.846215927188</v>
          </cell>
          <cell r="Q113">
            <v>0</v>
          </cell>
          <cell r="R113">
            <v>0</v>
          </cell>
          <cell r="S113">
            <v>0</v>
          </cell>
          <cell r="U113">
            <v>0.94247779607693793</v>
          </cell>
          <cell r="V113">
            <v>0.94247779607693793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  <row r="114">
          <cell r="A114" t="str">
            <v>M14a</v>
          </cell>
          <cell r="C114">
            <v>0</v>
          </cell>
          <cell r="E114" t="str">
            <v>Móng M14a</v>
          </cell>
          <cell r="F114" t="str">
            <v>Móng</v>
          </cell>
          <cell r="G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</row>
        <row r="115">
          <cell r="C115">
            <v>0</v>
          </cell>
          <cell r="E115" t="str">
            <v>Mỗi móng gồm:</v>
          </cell>
        </row>
        <row r="116">
          <cell r="B116" t="str">
            <v>D12</v>
          </cell>
          <cell r="C116">
            <v>0</v>
          </cell>
          <cell r="D116" t="str">
            <v>AG.42111</v>
          </cell>
          <cell r="E116" t="str">
            <v>Đà cản BTCT 1,2m</v>
          </cell>
          <cell r="F116" t="str">
            <v>cái</v>
          </cell>
          <cell r="H116">
            <v>318000</v>
          </cell>
          <cell r="K116">
            <v>161119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</row>
        <row r="117">
          <cell r="B117" t="str">
            <v>b22650</v>
          </cell>
          <cell r="C117">
            <v>0</v>
          </cell>
          <cell r="D117">
            <v>0</v>
          </cell>
          <cell r="E117" t="str">
            <v>Boulon 22x650+ 2 long đền vuông D24-50x50x3/Zn</v>
          </cell>
          <cell r="F117" t="str">
            <v>bộ</v>
          </cell>
          <cell r="H117">
            <v>0</v>
          </cell>
          <cell r="K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</row>
        <row r="118">
          <cell r="B118" t="str">
            <v>MDD3</v>
          </cell>
          <cell r="C118">
            <v>0</v>
          </cell>
          <cell r="D118" t="str">
            <v>AB.11423</v>
          </cell>
          <cell r="E118" t="str">
            <v>Đào hố móng đất cấp 3 sâu &gt;1m</v>
          </cell>
          <cell r="F118" t="str">
            <v>m3</v>
          </cell>
          <cell r="J118">
            <v>418738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</row>
        <row r="119">
          <cell r="B119" t="str">
            <v>MDAP3</v>
          </cell>
          <cell r="C119">
            <v>0</v>
          </cell>
          <cell r="D119" t="str">
            <v>AB.13113</v>
          </cell>
          <cell r="E119" t="str">
            <v>Đắp đất hố móng (K=0,95)</v>
          </cell>
          <cell r="F119" t="str">
            <v>m3</v>
          </cell>
          <cell r="J119">
            <v>125264</v>
          </cell>
          <cell r="L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</row>
        <row r="120">
          <cell r="A120" t="str">
            <v>M14BT</v>
          </cell>
          <cell r="C120">
            <v>0</v>
          </cell>
          <cell r="E120" t="str">
            <v>Móng bê tông trụ đơn 14m</v>
          </cell>
          <cell r="F120" t="str">
            <v>Móng</v>
          </cell>
          <cell r="G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</row>
        <row r="121">
          <cell r="C121">
            <v>0</v>
          </cell>
          <cell r="E121" t="str">
            <v>Mỗi móng gồm:</v>
          </cell>
        </row>
        <row r="122">
          <cell r="B122" t="str">
            <v>XM</v>
          </cell>
          <cell r="C122">
            <v>0</v>
          </cell>
          <cell r="D122">
            <v>0</v>
          </cell>
          <cell r="E122" t="str">
            <v>Xi măng</v>
          </cell>
          <cell r="F122" t="str">
            <v>kg</v>
          </cell>
          <cell r="I122">
            <v>1740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</row>
        <row r="123">
          <cell r="B123" t="str">
            <v>CV</v>
          </cell>
          <cell r="C123">
            <v>0</v>
          </cell>
          <cell r="D123">
            <v>0</v>
          </cell>
          <cell r="E123" t="str">
            <v>Cát vàng</v>
          </cell>
          <cell r="F123" t="str">
            <v>m3</v>
          </cell>
          <cell r="I123">
            <v>512000</v>
          </cell>
          <cell r="J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</row>
        <row r="124">
          <cell r="A124" t="str">
            <v xml:space="preserve"> </v>
          </cell>
          <cell r="B124" t="str">
            <v>D1X2</v>
          </cell>
          <cell r="C124">
            <v>0</v>
          </cell>
          <cell r="D124">
            <v>0</v>
          </cell>
          <cell r="E124" t="str">
            <v>Đá 1x2</v>
          </cell>
          <cell r="F124" t="str">
            <v>m3</v>
          </cell>
          <cell r="I124">
            <v>335000</v>
          </cell>
          <cell r="J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</row>
        <row r="125">
          <cell r="B125" t="str">
            <v>MDD3</v>
          </cell>
          <cell r="C125">
            <v>0</v>
          </cell>
          <cell r="D125" t="str">
            <v>AB.11423</v>
          </cell>
          <cell r="E125" t="str">
            <v>Đào hố móng đất cấp 3 sâu &gt;1m</v>
          </cell>
          <cell r="F125" t="str">
            <v>m3</v>
          </cell>
          <cell r="J125">
            <v>418738</v>
          </cell>
          <cell r="L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B126" t="str">
            <v>DBT15012</v>
          </cell>
          <cell r="C126">
            <v>0</v>
          </cell>
          <cell r="D126" t="str">
            <v>AF.11210</v>
          </cell>
          <cell r="E126" t="str">
            <v xml:space="preserve">Đổ bê tông mác M150 </v>
          </cell>
          <cell r="F126" t="str">
            <v>m3</v>
          </cell>
          <cell r="J126">
            <v>293475</v>
          </cell>
          <cell r="L126">
            <v>25982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 t="str">
            <v>M14BTD</v>
          </cell>
          <cell r="C127">
            <v>0</v>
          </cell>
          <cell r="E127" t="str">
            <v>Móng bê tông trụ đôi 14m</v>
          </cell>
          <cell r="F127" t="str">
            <v>Móng</v>
          </cell>
          <cell r="G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</row>
        <row r="128">
          <cell r="C128">
            <v>0</v>
          </cell>
          <cell r="E128" t="str">
            <v>Mỗi móng gồm:</v>
          </cell>
        </row>
        <row r="129">
          <cell r="B129" t="str">
            <v>XM</v>
          </cell>
          <cell r="C129">
            <v>0</v>
          </cell>
          <cell r="D129">
            <v>0</v>
          </cell>
          <cell r="E129" t="str">
            <v>Xi măng</v>
          </cell>
          <cell r="F129" t="str">
            <v>kg</v>
          </cell>
          <cell r="I129">
            <v>1740</v>
          </cell>
          <cell r="J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</row>
        <row r="130">
          <cell r="B130" t="str">
            <v>CV</v>
          </cell>
          <cell r="C130">
            <v>0</v>
          </cell>
          <cell r="D130">
            <v>0</v>
          </cell>
          <cell r="E130" t="str">
            <v>Cát vàng</v>
          </cell>
          <cell r="F130" t="str">
            <v>m3</v>
          </cell>
          <cell r="I130">
            <v>512000</v>
          </cell>
          <cell r="J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</row>
        <row r="131">
          <cell r="B131" t="str">
            <v>D1X2</v>
          </cell>
          <cell r="C131">
            <v>0</v>
          </cell>
          <cell r="D131">
            <v>0</v>
          </cell>
          <cell r="E131" t="str">
            <v>Đá 1x2</v>
          </cell>
          <cell r="F131" t="str">
            <v>m3</v>
          </cell>
          <cell r="I131">
            <v>335000</v>
          </cell>
          <cell r="J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</row>
        <row r="132">
          <cell r="B132" t="str">
            <v>B16550VR</v>
          </cell>
          <cell r="C132">
            <v>0</v>
          </cell>
          <cell r="D132">
            <v>0</v>
          </cell>
          <cell r="E132" t="str">
            <v>Boulon 16x550VRS + 2 long đền vuông D18-50x50x3/Zn</v>
          </cell>
          <cell r="F132" t="str">
            <v>bộ</v>
          </cell>
          <cell r="H132">
            <v>45000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</row>
        <row r="133">
          <cell r="B133" t="str">
            <v>B16650VR</v>
          </cell>
          <cell r="C133">
            <v>0</v>
          </cell>
          <cell r="D133">
            <v>0</v>
          </cell>
          <cell r="E133" t="str">
            <v>Boulon 16x650VRS + 2 long đền vuông D18-50x50x3/Zn</v>
          </cell>
          <cell r="F133" t="str">
            <v>bộ</v>
          </cell>
          <cell r="H133">
            <v>53000</v>
          </cell>
          <cell r="K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</row>
        <row r="134">
          <cell r="B134" t="str">
            <v>B16750VR</v>
          </cell>
          <cell r="C134">
            <v>0</v>
          </cell>
          <cell r="D134">
            <v>0</v>
          </cell>
          <cell r="E134" t="str">
            <v>Boulon 16x750VRS + 2 long đền vuông D18-50x50x3/Zn</v>
          </cell>
          <cell r="F134" t="str">
            <v>bộ</v>
          </cell>
          <cell r="H134">
            <v>56000</v>
          </cell>
          <cell r="K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</row>
        <row r="135">
          <cell r="B135" t="str">
            <v>MDD3</v>
          </cell>
          <cell r="C135">
            <v>0</v>
          </cell>
          <cell r="D135" t="str">
            <v>AB.11423</v>
          </cell>
          <cell r="E135" t="str">
            <v>Đào hố móng đất cấp 3 sâu &gt;1m</v>
          </cell>
          <cell r="F135" t="str">
            <v>m3</v>
          </cell>
          <cell r="J135">
            <v>418738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</row>
        <row r="136">
          <cell r="B136" t="str">
            <v>DBT20012</v>
          </cell>
          <cell r="C136">
            <v>0</v>
          </cell>
          <cell r="D136" t="str">
            <v>AF.11210</v>
          </cell>
          <cell r="E136" t="str">
            <v>Đổ bê tông mác M200 đá 1x2</v>
          </cell>
          <cell r="F136" t="str">
            <v>m3</v>
          </cell>
          <cell r="J136">
            <v>293475</v>
          </cell>
          <cell r="L136">
            <v>44701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</row>
        <row r="137">
          <cell r="A137" t="str">
            <v>TDLL85</v>
          </cell>
          <cell r="C137">
            <v>1</v>
          </cell>
          <cell r="E137" t="str">
            <v>Tiếp địa lặp lại (trụ 8,5m)</v>
          </cell>
          <cell r="F137" t="str">
            <v>Bộ</v>
          </cell>
          <cell r="G137">
            <v>100</v>
          </cell>
          <cell r="N137">
            <v>498400.96</v>
          </cell>
          <cell r="O137">
            <v>0</v>
          </cell>
          <cell r="P137">
            <v>0</v>
          </cell>
          <cell r="Q137">
            <v>97950.989999999991</v>
          </cell>
          <cell r="R137">
            <v>0</v>
          </cell>
          <cell r="S137">
            <v>0</v>
          </cell>
          <cell r="U137">
            <v>100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100</v>
          </cell>
        </row>
        <row r="138">
          <cell r="C138">
            <v>1</v>
          </cell>
          <cell r="E138" t="str">
            <v>Mỗi bộ gồm:</v>
          </cell>
        </row>
        <row r="139">
          <cell r="B139" t="str">
            <v>m25</v>
          </cell>
          <cell r="C139">
            <v>1</v>
          </cell>
          <cell r="D139">
            <v>0</v>
          </cell>
          <cell r="E139" t="str">
            <v>Cáp đồng trần M25mm2</v>
          </cell>
          <cell r="F139" t="str">
            <v>kg</v>
          </cell>
          <cell r="G139">
            <v>1.792</v>
          </cell>
          <cell r="H139">
            <v>191630</v>
          </cell>
          <cell r="K139">
            <v>0</v>
          </cell>
          <cell r="M139">
            <v>0</v>
          </cell>
          <cell r="N139">
            <v>343400.96000000002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U139">
            <v>179.20000000000002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179.20000000000002</v>
          </cell>
        </row>
        <row r="140">
          <cell r="B140" t="str">
            <v>CTD</v>
          </cell>
          <cell r="C140">
            <v>1</v>
          </cell>
          <cell r="D140">
            <v>0</v>
          </cell>
          <cell r="E140" t="str">
            <v>Cọc tiếp đất φ16 - 2,4m mạ Cu 16 micrômét</v>
          </cell>
          <cell r="F140" t="str">
            <v>cọc</v>
          </cell>
          <cell r="G140">
            <v>1</v>
          </cell>
          <cell r="H140">
            <v>130000</v>
          </cell>
          <cell r="K140">
            <v>0</v>
          </cell>
          <cell r="M140">
            <v>0</v>
          </cell>
          <cell r="N140">
            <v>130000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U140">
            <v>100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100</v>
          </cell>
        </row>
        <row r="141">
          <cell r="B141" t="str">
            <v>KC</v>
          </cell>
          <cell r="C141">
            <v>1</v>
          </cell>
          <cell r="D141">
            <v>0</v>
          </cell>
          <cell r="E141" t="str">
            <v>Kẹp cọc tiếp địa Cu loại lớn</v>
          </cell>
          <cell r="F141" t="str">
            <v>bộ</v>
          </cell>
          <cell r="G141">
            <v>1</v>
          </cell>
          <cell r="H141">
            <v>25000</v>
          </cell>
          <cell r="K141">
            <v>0</v>
          </cell>
          <cell r="M141">
            <v>0</v>
          </cell>
          <cell r="N141">
            <v>25000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U141">
            <v>100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100</v>
          </cell>
        </row>
        <row r="142">
          <cell r="B142" t="str">
            <v>DTD3</v>
          </cell>
          <cell r="C142">
            <v>1</v>
          </cell>
          <cell r="D142" t="str">
            <v>AB.11513</v>
          </cell>
          <cell r="E142" t="str">
            <v>Đào rãnh tiếp địa đất cấp 3</v>
          </cell>
          <cell r="F142" t="str">
            <v>m3</v>
          </cell>
          <cell r="G142">
            <v>0.05</v>
          </cell>
          <cell r="K142">
            <v>241580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12079</v>
          </cell>
          <cell r="R142">
            <v>0</v>
          </cell>
          <cell r="S142">
            <v>0</v>
          </cell>
          <cell r="U142">
            <v>5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5</v>
          </cell>
        </row>
        <row r="143">
          <cell r="B143" t="str">
            <v>DATD3</v>
          </cell>
          <cell r="C143">
            <v>1</v>
          </cell>
          <cell r="D143" t="str">
            <v>AB.13111</v>
          </cell>
          <cell r="E143" t="str">
            <v>Đắp đất rãnh tiếp địa (K=0,85)</v>
          </cell>
          <cell r="F143" t="str">
            <v>m3</v>
          </cell>
          <cell r="G143">
            <v>0.05</v>
          </cell>
          <cell r="K143">
            <v>100211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5010.55</v>
          </cell>
          <cell r="R143">
            <v>0</v>
          </cell>
          <cell r="S143">
            <v>0</v>
          </cell>
          <cell r="U143">
            <v>5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5</v>
          </cell>
        </row>
        <row r="144">
          <cell r="B144" t="str">
            <v>KTD</v>
          </cell>
          <cell r="C144">
            <v>1</v>
          </cell>
          <cell r="D144" t="str">
            <v>D2.7001</v>
          </cell>
          <cell r="E144" t="str">
            <v xml:space="preserve">Kéo dây tiếp địa </v>
          </cell>
          <cell r="F144" t="str">
            <v>kg</v>
          </cell>
          <cell r="G144">
            <v>1.792</v>
          </cell>
          <cell r="K144">
            <v>2195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3933.44</v>
          </cell>
          <cell r="R144">
            <v>0</v>
          </cell>
          <cell r="S144">
            <v>0</v>
          </cell>
          <cell r="U144">
            <v>179.20000000000002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179.20000000000002</v>
          </cell>
        </row>
        <row r="145">
          <cell r="B145" t="str">
            <v>DCTD3</v>
          </cell>
          <cell r="C145">
            <v>1</v>
          </cell>
          <cell r="D145" t="str">
            <v>D2.8103</v>
          </cell>
          <cell r="E145" t="str">
            <v>Đóng cọc tiếp địa đất cấp 3</v>
          </cell>
          <cell r="F145" t="str">
            <v>cọc</v>
          </cell>
          <cell r="G145">
            <v>1</v>
          </cell>
          <cell r="K145">
            <v>76928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76928</v>
          </cell>
          <cell r="R145">
            <v>0</v>
          </cell>
          <cell r="S145">
            <v>0</v>
          </cell>
        </row>
        <row r="146">
          <cell r="A146" t="str">
            <v>TDLL10</v>
          </cell>
          <cell r="C146">
            <v>0</v>
          </cell>
          <cell r="E146" t="str">
            <v>Tiếp địa lặp lại (trụ 10,5m)</v>
          </cell>
          <cell r="F146" t="str">
            <v>Bộ</v>
          </cell>
          <cell r="G146">
            <v>0</v>
          </cell>
          <cell r="N146">
            <v>558326.08000000007</v>
          </cell>
          <cell r="O146">
            <v>0</v>
          </cell>
          <cell r="P146">
            <v>0</v>
          </cell>
          <cell r="Q146">
            <v>81353.119999999995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</row>
        <row r="147">
          <cell r="C147">
            <v>0</v>
          </cell>
          <cell r="E147" t="str">
            <v>Mỗi bộ gồm:</v>
          </cell>
        </row>
        <row r="148">
          <cell r="B148" t="str">
            <v>m25</v>
          </cell>
          <cell r="C148">
            <v>0</v>
          </cell>
          <cell r="D148">
            <v>0</v>
          </cell>
          <cell r="E148" t="str">
            <v>Cáp đồng trần M25mm2</v>
          </cell>
          <cell r="F148" t="str">
            <v>kg</v>
          </cell>
          <cell r="G148">
            <v>2.016</v>
          </cell>
          <cell r="H148">
            <v>191630</v>
          </cell>
          <cell r="K148">
            <v>0</v>
          </cell>
          <cell r="M148">
            <v>0</v>
          </cell>
          <cell r="N148">
            <v>386326.08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</row>
        <row r="149">
          <cell r="B149" t="str">
            <v>CTD</v>
          </cell>
          <cell r="C149">
            <v>0</v>
          </cell>
          <cell r="D149">
            <v>0</v>
          </cell>
          <cell r="E149" t="str">
            <v>Cọc tiếp đất φ16 - 2,4m mạ Cu 16 micrômét</v>
          </cell>
          <cell r="F149" t="str">
            <v>cọc</v>
          </cell>
          <cell r="G149">
            <v>1</v>
          </cell>
          <cell r="H149">
            <v>130000</v>
          </cell>
          <cell r="K149">
            <v>0</v>
          </cell>
          <cell r="M149">
            <v>0</v>
          </cell>
          <cell r="N149">
            <v>130000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</row>
        <row r="150">
          <cell r="B150" t="str">
            <v>KC</v>
          </cell>
          <cell r="C150">
            <v>0</v>
          </cell>
          <cell r="D150">
            <v>0</v>
          </cell>
          <cell r="E150" t="str">
            <v>Kẹp cọc tiếp địa Cu loại lớn</v>
          </cell>
          <cell r="F150" t="str">
            <v>bộ</v>
          </cell>
          <cell r="G150">
            <v>1</v>
          </cell>
          <cell r="H150">
            <v>25000</v>
          </cell>
          <cell r="K150">
            <v>0</v>
          </cell>
          <cell r="M150">
            <v>0</v>
          </cell>
          <cell r="N150">
            <v>25000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</row>
        <row r="151">
          <cell r="B151" t="str">
            <v>KE50</v>
          </cell>
          <cell r="C151">
            <v>0</v>
          </cell>
          <cell r="D151">
            <v>0</v>
          </cell>
          <cell r="E151" t="str">
            <v>Kẹp ép WR cỡ dây 50mm2</v>
          </cell>
          <cell r="F151" t="str">
            <v>cái</v>
          </cell>
          <cell r="G151">
            <v>2</v>
          </cell>
          <cell r="H151">
            <v>8500</v>
          </cell>
          <cell r="K151">
            <v>0</v>
          </cell>
          <cell r="M151">
            <v>0</v>
          </cell>
          <cell r="N151">
            <v>17000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</row>
        <row r="152">
          <cell r="B152" t="str">
            <v>KTD</v>
          </cell>
          <cell r="C152">
            <v>0</v>
          </cell>
          <cell r="D152" t="str">
            <v>D2.7001</v>
          </cell>
          <cell r="E152" t="str">
            <v xml:space="preserve">Kéo dây tiếp địa </v>
          </cell>
          <cell r="F152" t="str">
            <v>kg</v>
          </cell>
          <cell r="G152">
            <v>2.016</v>
          </cell>
          <cell r="K152">
            <v>2195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4425.12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</row>
        <row r="153">
          <cell r="B153" t="str">
            <v>DCTD3</v>
          </cell>
          <cell r="C153">
            <v>0</v>
          </cell>
          <cell r="D153" t="str">
            <v>D2.8103</v>
          </cell>
          <cell r="E153" t="str">
            <v>Đóng cọc tiếp địa đất cấp 3</v>
          </cell>
          <cell r="F153" t="str">
            <v>cọc</v>
          </cell>
          <cell r="G153">
            <v>1</v>
          </cell>
          <cell r="K153">
            <v>76928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76928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</row>
        <row r="154">
          <cell r="A154" t="str">
            <v>TDLL12</v>
          </cell>
          <cell r="C154">
            <v>1</v>
          </cell>
          <cell r="E154" t="str">
            <v>Tiếp địa lặp lại (trụ 12m)</v>
          </cell>
          <cell r="F154" t="str">
            <v>Bộ</v>
          </cell>
          <cell r="G154">
            <v>29</v>
          </cell>
          <cell r="N154">
            <v>601251.20000000007</v>
          </cell>
          <cell r="O154">
            <v>0</v>
          </cell>
          <cell r="P154">
            <v>0</v>
          </cell>
          <cell r="Q154">
            <v>98934.35</v>
          </cell>
          <cell r="R154">
            <v>0</v>
          </cell>
          <cell r="S154">
            <v>0</v>
          </cell>
          <cell r="U154">
            <v>29</v>
          </cell>
          <cell r="V154">
            <v>29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</row>
        <row r="155">
          <cell r="C155">
            <v>1</v>
          </cell>
          <cell r="E155" t="str">
            <v>Mỗi bộ gồm:</v>
          </cell>
        </row>
        <row r="156">
          <cell r="B156" t="str">
            <v>m25</v>
          </cell>
          <cell r="C156">
            <v>1</v>
          </cell>
          <cell r="D156">
            <v>0</v>
          </cell>
          <cell r="E156" t="str">
            <v>Cáp đồng trần M25mm2</v>
          </cell>
          <cell r="F156" t="str">
            <v>kg</v>
          </cell>
          <cell r="G156">
            <v>2.2400000000000002</v>
          </cell>
          <cell r="H156">
            <v>191630</v>
          </cell>
          <cell r="K156">
            <v>0</v>
          </cell>
          <cell r="M156">
            <v>0</v>
          </cell>
          <cell r="N156">
            <v>429251.20000000007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U156">
            <v>64.960000000000008</v>
          </cell>
          <cell r="V156">
            <v>64.960000000000008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</row>
        <row r="157">
          <cell r="B157" t="str">
            <v>CTD</v>
          </cell>
          <cell r="C157">
            <v>1</v>
          </cell>
          <cell r="D157">
            <v>0</v>
          </cell>
          <cell r="E157" t="str">
            <v>Cọc tiếp đất φ16 - 2,4m mạ Cu 16 micrômét</v>
          </cell>
          <cell r="F157" t="str">
            <v>cọc</v>
          </cell>
          <cell r="G157">
            <v>1</v>
          </cell>
          <cell r="H157">
            <v>130000</v>
          </cell>
          <cell r="K157">
            <v>0</v>
          </cell>
          <cell r="M157">
            <v>0</v>
          </cell>
          <cell r="N157">
            <v>130000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U157">
            <v>29</v>
          </cell>
          <cell r="V157">
            <v>29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</row>
        <row r="158">
          <cell r="B158" t="str">
            <v>KC</v>
          </cell>
          <cell r="C158">
            <v>1</v>
          </cell>
          <cell r="D158">
            <v>0</v>
          </cell>
          <cell r="E158" t="str">
            <v>Kẹp cọc tiếp địa Cu loại lớn</v>
          </cell>
          <cell r="F158" t="str">
            <v>bộ</v>
          </cell>
          <cell r="G158">
            <v>1</v>
          </cell>
          <cell r="H158">
            <v>25000</v>
          </cell>
          <cell r="K158">
            <v>0</v>
          </cell>
          <cell r="M158">
            <v>0</v>
          </cell>
          <cell r="N158">
            <v>25000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U158">
            <v>29</v>
          </cell>
          <cell r="V158">
            <v>29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</row>
        <row r="159">
          <cell r="B159" t="str">
            <v>KE50</v>
          </cell>
          <cell r="C159">
            <v>1</v>
          </cell>
          <cell r="D159">
            <v>0</v>
          </cell>
          <cell r="E159" t="str">
            <v>Kẹp ép WR cỡ dây 50mm2</v>
          </cell>
          <cell r="F159" t="str">
            <v>cái</v>
          </cell>
          <cell r="G159">
            <v>2</v>
          </cell>
          <cell r="H159">
            <v>8500</v>
          </cell>
          <cell r="K159">
            <v>0</v>
          </cell>
          <cell r="M159">
            <v>0</v>
          </cell>
          <cell r="N159">
            <v>17000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U159">
            <v>58</v>
          </cell>
          <cell r="V159">
            <v>58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</row>
        <row r="160">
          <cell r="B160" t="str">
            <v>DTD3</v>
          </cell>
          <cell r="C160">
            <v>1</v>
          </cell>
          <cell r="D160" t="str">
            <v>AB.11513</v>
          </cell>
          <cell r="E160" t="str">
            <v>Đào rãnh tiếp địa đất cấp 3</v>
          </cell>
          <cell r="F160" t="str">
            <v>m3</v>
          </cell>
          <cell r="G160">
            <v>0.05</v>
          </cell>
          <cell r="K160">
            <v>241580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12079</v>
          </cell>
          <cell r="R160">
            <v>0</v>
          </cell>
          <cell r="S160">
            <v>0</v>
          </cell>
          <cell r="U160">
            <v>5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5</v>
          </cell>
        </row>
        <row r="161">
          <cell r="B161" t="str">
            <v>DATD3</v>
          </cell>
          <cell r="C161">
            <v>1</v>
          </cell>
          <cell r="D161" t="str">
            <v>AB.13111</v>
          </cell>
          <cell r="E161" t="str">
            <v>Đắp đất rãnh tiếp địa (K=0,85)</v>
          </cell>
          <cell r="F161" t="str">
            <v>m3</v>
          </cell>
          <cell r="G161">
            <v>0.05</v>
          </cell>
          <cell r="K161">
            <v>100211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5010.55</v>
          </cell>
          <cell r="R161">
            <v>0</v>
          </cell>
          <cell r="S161">
            <v>0</v>
          </cell>
          <cell r="U161">
            <v>5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5</v>
          </cell>
        </row>
        <row r="162">
          <cell r="B162" t="str">
            <v>KTD</v>
          </cell>
          <cell r="C162">
            <v>1</v>
          </cell>
          <cell r="D162" t="str">
            <v>D2.7001</v>
          </cell>
          <cell r="E162" t="str">
            <v xml:space="preserve">Kéo dây tiếp địa </v>
          </cell>
          <cell r="F162" t="str">
            <v>kg</v>
          </cell>
          <cell r="G162">
            <v>2.2400000000000002</v>
          </cell>
          <cell r="K162">
            <v>2195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4916.8</v>
          </cell>
          <cell r="R162">
            <v>0</v>
          </cell>
          <cell r="S162">
            <v>0</v>
          </cell>
          <cell r="U162">
            <v>64.960000000000008</v>
          </cell>
          <cell r="V162">
            <v>64.960000000000008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</row>
        <row r="163">
          <cell r="B163" t="str">
            <v>DCTD3</v>
          </cell>
          <cell r="C163">
            <v>1</v>
          </cell>
          <cell r="D163" t="str">
            <v>D2.8103</v>
          </cell>
          <cell r="E163" t="str">
            <v>Đóng cọc tiếp địa đất cấp 3</v>
          </cell>
          <cell r="F163" t="str">
            <v>cọc</v>
          </cell>
          <cell r="G163">
            <v>1</v>
          </cell>
          <cell r="K163">
            <v>76928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76928</v>
          </cell>
          <cell r="R163">
            <v>0</v>
          </cell>
          <cell r="S163">
            <v>0</v>
          </cell>
          <cell r="U163">
            <v>29</v>
          </cell>
          <cell r="V163">
            <v>29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</row>
        <row r="164">
          <cell r="A164" t="str">
            <v>TDLL14</v>
          </cell>
          <cell r="C164">
            <v>0</v>
          </cell>
          <cell r="E164" t="str">
            <v>Tiếp địa lặp lại (trụ 14m)</v>
          </cell>
          <cell r="F164" t="str">
            <v>Bộ</v>
          </cell>
          <cell r="G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</row>
        <row r="165">
          <cell r="C165">
            <v>0</v>
          </cell>
          <cell r="E165" t="str">
            <v>Mỗi bộ gồm:</v>
          </cell>
        </row>
        <row r="166">
          <cell r="B166" t="str">
            <v>m25</v>
          </cell>
          <cell r="C166">
            <v>0</v>
          </cell>
          <cell r="D166">
            <v>0</v>
          </cell>
          <cell r="E166" t="str">
            <v>Cáp đồng trần M25mm2</v>
          </cell>
          <cell r="F166" t="str">
            <v>kg</v>
          </cell>
          <cell r="H166">
            <v>191630</v>
          </cell>
          <cell r="K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</row>
        <row r="167">
          <cell r="B167" t="str">
            <v>CTD</v>
          </cell>
          <cell r="C167">
            <v>0</v>
          </cell>
          <cell r="D167">
            <v>0</v>
          </cell>
          <cell r="E167" t="str">
            <v>Cọc tiếp đất φ16 - 2,4m mạ Cu 16 micrômét</v>
          </cell>
          <cell r="F167" t="str">
            <v>cọc</v>
          </cell>
          <cell r="H167">
            <v>130000</v>
          </cell>
          <cell r="K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</row>
        <row r="168">
          <cell r="B168" t="str">
            <v>KC</v>
          </cell>
          <cell r="C168">
            <v>0</v>
          </cell>
          <cell r="D168">
            <v>0</v>
          </cell>
          <cell r="E168" t="str">
            <v>Kẹp cọc tiếp địa Cu loại lớn</v>
          </cell>
          <cell r="F168" t="str">
            <v>bộ</v>
          </cell>
          <cell r="H168">
            <v>25000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</row>
        <row r="169">
          <cell r="B169" t="str">
            <v>KE50</v>
          </cell>
          <cell r="C169">
            <v>0</v>
          </cell>
          <cell r="D169">
            <v>0</v>
          </cell>
          <cell r="E169" t="str">
            <v>Kẹp ép WR cỡ dây 50mm2</v>
          </cell>
          <cell r="F169" t="str">
            <v>cái</v>
          </cell>
          <cell r="H169">
            <v>8500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</row>
        <row r="170">
          <cell r="B170" t="str">
            <v>KTD</v>
          </cell>
          <cell r="C170">
            <v>0</v>
          </cell>
          <cell r="D170" t="str">
            <v>D2.7001</v>
          </cell>
          <cell r="E170" t="str">
            <v xml:space="preserve">Kéo dây tiếp địa </v>
          </cell>
          <cell r="F170" t="str">
            <v>kg</v>
          </cell>
          <cell r="H170">
            <v>0</v>
          </cell>
          <cell r="K170">
            <v>2195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</row>
        <row r="171">
          <cell r="B171" t="str">
            <v>DCTD3</v>
          </cell>
          <cell r="C171">
            <v>0</v>
          </cell>
          <cell r="D171" t="str">
            <v>D2.8103</v>
          </cell>
          <cell r="E171" t="str">
            <v>Đóng cọc tiếp địa đất cấp 3</v>
          </cell>
          <cell r="F171" t="str">
            <v>cọc</v>
          </cell>
          <cell r="H171">
            <v>0</v>
          </cell>
          <cell r="K171">
            <v>76928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</row>
        <row r="172">
          <cell r="A172" t="str">
            <v>TDLA</v>
          </cell>
          <cell r="C172">
            <v>0</v>
          </cell>
          <cell r="E172" t="str">
            <v>Tiếp địa LA</v>
          </cell>
          <cell r="F172" t="str">
            <v>Bộ</v>
          </cell>
          <cell r="G172">
            <v>0</v>
          </cell>
          <cell r="N172">
            <v>3076256</v>
          </cell>
          <cell r="O172">
            <v>0</v>
          </cell>
          <cell r="P172">
            <v>0</v>
          </cell>
          <cell r="Q172">
            <v>486152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</row>
        <row r="173">
          <cell r="C173">
            <v>0</v>
          </cell>
          <cell r="E173" t="str">
            <v>Mỗi bộ gồm:</v>
          </cell>
        </row>
        <row r="174">
          <cell r="B174" t="str">
            <v>m25</v>
          </cell>
          <cell r="C174">
            <v>0</v>
          </cell>
          <cell r="D174">
            <v>0</v>
          </cell>
          <cell r="E174" t="str">
            <v>Cáp đồng trần M25mm2</v>
          </cell>
          <cell r="F174" t="str">
            <v>kg</v>
          </cell>
          <cell r="G174">
            <v>11.200000000000001</v>
          </cell>
          <cell r="H174">
            <v>191630</v>
          </cell>
          <cell r="K174">
            <v>0</v>
          </cell>
          <cell r="M174">
            <v>0</v>
          </cell>
          <cell r="N174">
            <v>2146256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</row>
        <row r="175">
          <cell r="B175" t="str">
            <v>CTD</v>
          </cell>
          <cell r="C175">
            <v>0</v>
          </cell>
          <cell r="D175">
            <v>0</v>
          </cell>
          <cell r="E175" t="str">
            <v>Cọc tiếp đất φ16 - 2,4m mạ Cu 16 micrômét</v>
          </cell>
          <cell r="F175" t="str">
            <v>cọc</v>
          </cell>
          <cell r="G175">
            <v>6</v>
          </cell>
          <cell r="H175">
            <v>130000</v>
          </cell>
          <cell r="K175">
            <v>0</v>
          </cell>
          <cell r="M175">
            <v>0</v>
          </cell>
          <cell r="N175">
            <v>780000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</row>
        <row r="176">
          <cell r="B176" t="str">
            <v>KC</v>
          </cell>
          <cell r="C176">
            <v>0</v>
          </cell>
          <cell r="D176">
            <v>0</v>
          </cell>
          <cell r="E176" t="str">
            <v>Kẹp cọc tiếp địa Cu loại lớn</v>
          </cell>
          <cell r="F176" t="str">
            <v>bộ</v>
          </cell>
          <cell r="G176">
            <v>6</v>
          </cell>
          <cell r="H176">
            <v>25000</v>
          </cell>
          <cell r="K176">
            <v>0</v>
          </cell>
          <cell r="M176">
            <v>0</v>
          </cell>
          <cell r="N176">
            <v>150000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</row>
        <row r="177">
          <cell r="B177" t="str">
            <v>KTD</v>
          </cell>
          <cell r="C177">
            <v>0</v>
          </cell>
          <cell r="D177" t="str">
            <v>D2.7001</v>
          </cell>
          <cell r="E177" t="str">
            <v xml:space="preserve">Kéo dây tiếp địa </v>
          </cell>
          <cell r="F177" t="str">
            <v>kg</v>
          </cell>
          <cell r="G177">
            <v>11.200000000000001</v>
          </cell>
          <cell r="K177">
            <v>2195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24584.000000000004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</row>
        <row r="178">
          <cell r="B178" t="str">
            <v>DCTD3</v>
          </cell>
          <cell r="C178">
            <v>0</v>
          </cell>
          <cell r="D178" t="str">
            <v>D2.8103</v>
          </cell>
          <cell r="E178" t="str">
            <v>Đóng cọc tiếp địa đất cấp 3</v>
          </cell>
          <cell r="F178" t="str">
            <v>cọc</v>
          </cell>
          <cell r="G178">
            <v>6</v>
          </cell>
          <cell r="K178">
            <v>76928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461568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</row>
        <row r="179">
          <cell r="C179">
            <v>1</v>
          </cell>
          <cell r="D179" t="str">
            <v>II</v>
          </cell>
          <cell r="E179" t="str">
            <v>Phần trụ</v>
          </cell>
        </row>
        <row r="180">
          <cell r="A180" t="str">
            <v>BTLT85</v>
          </cell>
          <cell r="C180">
            <v>1</v>
          </cell>
          <cell r="E180" t="str">
            <v>Trụ bê tông ly tâm 8.5m</v>
          </cell>
          <cell r="F180" t="str">
            <v>Trụ</v>
          </cell>
          <cell r="G180">
            <v>146</v>
          </cell>
          <cell r="N180">
            <v>2427273</v>
          </cell>
          <cell r="O180">
            <v>0</v>
          </cell>
          <cell r="P180">
            <v>0</v>
          </cell>
          <cell r="Q180">
            <v>469141</v>
          </cell>
          <cell r="R180">
            <v>0</v>
          </cell>
          <cell r="S180">
            <v>135772</v>
          </cell>
          <cell r="U180">
            <v>146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146</v>
          </cell>
        </row>
        <row r="181">
          <cell r="C181">
            <v>1</v>
          </cell>
          <cell r="E181" t="str">
            <v>Mỗi bộ gồm:</v>
          </cell>
        </row>
        <row r="182">
          <cell r="B182" t="str">
            <v>T85300</v>
          </cell>
          <cell r="C182">
            <v>1</v>
          </cell>
          <cell r="D182">
            <v>0</v>
          </cell>
          <cell r="E182" t="str">
            <v>Trụ BTLT 8,5m F300 (hệ số K=1,5 dự ứng lực)</v>
          </cell>
          <cell r="F182" t="str">
            <v>trụ</v>
          </cell>
          <cell r="G182">
            <v>1</v>
          </cell>
          <cell r="H182">
            <v>2427273</v>
          </cell>
          <cell r="K182">
            <v>0</v>
          </cell>
          <cell r="M182">
            <v>0</v>
          </cell>
          <cell r="N182">
            <v>2427273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U182">
            <v>146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146</v>
          </cell>
        </row>
        <row r="183">
          <cell r="B183" t="str">
            <v>C10m</v>
          </cell>
          <cell r="C183">
            <v>1</v>
          </cell>
          <cell r="D183" t="str">
            <v>D2.5222</v>
          </cell>
          <cell r="E183" t="str">
            <v>Dựng trụ BTLT &lt;=10m thủ công +cơ giới</v>
          </cell>
          <cell r="F183" t="str">
            <v>trụ</v>
          </cell>
          <cell r="G183">
            <v>1</v>
          </cell>
          <cell r="K183">
            <v>469141</v>
          </cell>
          <cell r="M183">
            <v>135772</v>
          </cell>
          <cell r="N183">
            <v>0</v>
          </cell>
          <cell r="O183">
            <v>0</v>
          </cell>
          <cell r="P183">
            <v>0</v>
          </cell>
          <cell r="Q183">
            <v>469141</v>
          </cell>
          <cell r="R183">
            <v>0</v>
          </cell>
          <cell r="S183">
            <v>135772</v>
          </cell>
          <cell r="U183">
            <v>146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146</v>
          </cell>
        </row>
        <row r="184">
          <cell r="A184" t="str">
            <v>BTLT10</v>
          </cell>
          <cell r="C184">
            <v>0</v>
          </cell>
          <cell r="E184" t="str">
            <v>Trụ bê tông ly tâm 10.5m</v>
          </cell>
          <cell r="F184" t="str">
            <v>Trụ</v>
          </cell>
          <cell r="G184">
            <v>0</v>
          </cell>
          <cell r="N184">
            <v>3454546</v>
          </cell>
          <cell r="O184">
            <v>0</v>
          </cell>
          <cell r="P184">
            <v>0</v>
          </cell>
          <cell r="Q184">
            <v>502313</v>
          </cell>
          <cell r="R184">
            <v>0</v>
          </cell>
          <cell r="S184">
            <v>193960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</row>
        <row r="185">
          <cell r="C185">
            <v>0</v>
          </cell>
          <cell r="E185" t="str">
            <v>Mỗi bộ gồm:</v>
          </cell>
        </row>
        <row r="186">
          <cell r="B186" t="str">
            <v>T10</v>
          </cell>
          <cell r="C186">
            <v>0</v>
          </cell>
          <cell r="D186">
            <v>0</v>
          </cell>
          <cell r="E186" t="str">
            <v>Trụ BTLT 10,5m F350 (hệ số K=2 dự ứng lực)</v>
          </cell>
          <cell r="F186" t="str">
            <v>trụ</v>
          </cell>
          <cell r="G186">
            <v>1</v>
          </cell>
          <cell r="H186">
            <v>3454546</v>
          </cell>
          <cell r="K186">
            <v>0</v>
          </cell>
          <cell r="M186">
            <v>0</v>
          </cell>
          <cell r="N186">
            <v>3454546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</row>
        <row r="187">
          <cell r="B187" t="str">
            <v>C105m</v>
          </cell>
          <cell r="C187">
            <v>0</v>
          </cell>
          <cell r="D187" t="str">
            <v>D2.5232</v>
          </cell>
          <cell r="E187" t="str">
            <v>Dựng trụ BTLT 10,5m thủ công + cơ giới</v>
          </cell>
          <cell r="F187" t="str">
            <v>trụ</v>
          </cell>
          <cell r="G187">
            <v>1</v>
          </cell>
          <cell r="K187">
            <v>502313</v>
          </cell>
          <cell r="M187">
            <v>193960</v>
          </cell>
          <cell r="N187">
            <v>0</v>
          </cell>
          <cell r="O187">
            <v>0</v>
          </cell>
          <cell r="P187">
            <v>0</v>
          </cell>
          <cell r="Q187">
            <v>502313</v>
          </cell>
          <cell r="R187">
            <v>0</v>
          </cell>
          <cell r="S187">
            <v>193960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</row>
        <row r="188">
          <cell r="A188" t="str">
            <v>TRU10SDL</v>
          </cell>
          <cell r="C188">
            <v>0</v>
          </cell>
          <cell r="E188" t="str">
            <v>Trụ bê tông ly tâm 10.5m (SDL)</v>
          </cell>
          <cell r="F188" t="str">
            <v>Trụ</v>
          </cell>
          <cell r="G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502313</v>
          </cell>
          <cell r="R188">
            <v>0</v>
          </cell>
          <cell r="S188">
            <v>193960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</row>
        <row r="189">
          <cell r="C189">
            <v>0</v>
          </cell>
          <cell r="E189" t="str">
            <v>Mỗi bộ gồm:</v>
          </cell>
        </row>
        <row r="190">
          <cell r="B190" t="str">
            <v>T10</v>
          </cell>
          <cell r="C190">
            <v>0</v>
          </cell>
          <cell r="D190">
            <v>0</v>
          </cell>
          <cell r="E190" t="str">
            <v>Trụ BTLT 10,5m F350 (hệ số K=2 dự ứng lực)</v>
          </cell>
          <cell r="F190" t="str">
            <v>trụ</v>
          </cell>
          <cell r="G190">
            <v>1</v>
          </cell>
          <cell r="H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</row>
        <row r="191">
          <cell r="B191" t="str">
            <v>C105m</v>
          </cell>
          <cell r="C191">
            <v>0</v>
          </cell>
          <cell r="D191" t="str">
            <v>D2.5232</v>
          </cell>
          <cell r="E191" t="str">
            <v>Dựng trụ BTLT 10,5m thủ công + cơ giới</v>
          </cell>
          <cell r="F191" t="str">
            <v>trụ</v>
          </cell>
          <cell r="G191">
            <v>1</v>
          </cell>
          <cell r="K191">
            <v>502313</v>
          </cell>
          <cell r="M191">
            <v>193960</v>
          </cell>
          <cell r="N191">
            <v>0</v>
          </cell>
          <cell r="O191">
            <v>0</v>
          </cell>
          <cell r="P191">
            <v>0</v>
          </cell>
          <cell r="Q191">
            <v>502313</v>
          </cell>
          <cell r="R191">
            <v>0</v>
          </cell>
          <cell r="S191">
            <v>193960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</row>
        <row r="192">
          <cell r="A192" t="str">
            <v>BTLT12TC</v>
          </cell>
          <cell r="C192">
            <v>0</v>
          </cell>
          <cell r="E192" t="str">
            <v>Trụ bê tông ly tâm 12m trồng thủ công</v>
          </cell>
          <cell r="F192" t="str">
            <v>Trụ</v>
          </cell>
          <cell r="G192">
            <v>0</v>
          </cell>
          <cell r="N192">
            <v>4427273</v>
          </cell>
          <cell r="O192">
            <v>0</v>
          </cell>
          <cell r="P192">
            <v>0</v>
          </cell>
          <cell r="Q192">
            <v>1258151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</row>
        <row r="193">
          <cell r="C193">
            <v>0</v>
          </cell>
          <cell r="E193" t="str">
            <v>Mỗi bộ gồm:</v>
          </cell>
        </row>
        <row r="194">
          <cell r="B194" t="str">
            <v>T12</v>
          </cell>
          <cell r="C194">
            <v>0</v>
          </cell>
          <cell r="D194">
            <v>0</v>
          </cell>
          <cell r="E194" t="str">
            <v>Trụ BTLT 12m F540 (hệ số K=2 dự ứng lực)</v>
          </cell>
          <cell r="F194" t="str">
            <v>trụ</v>
          </cell>
          <cell r="G194">
            <v>1</v>
          </cell>
          <cell r="H194">
            <v>4427273</v>
          </cell>
          <cell r="K194">
            <v>0</v>
          </cell>
          <cell r="M194">
            <v>0</v>
          </cell>
          <cell r="N194">
            <v>4427273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</row>
        <row r="195">
          <cell r="B195" t="str">
            <v>C12</v>
          </cell>
          <cell r="C195">
            <v>0</v>
          </cell>
          <cell r="D195" t="str">
            <v>D2.5231</v>
          </cell>
          <cell r="E195" t="str">
            <v>Dựng trụ BTLT 12m bằng thủ công</v>
          </cell>
          <cell r="F195" t="str">
            <v>trụ</v>
          </cell>
          <cell r="G195">
            <v>1</v>
          </cell>
          <cell r="K195">
            <v>1258151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1258151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</row>
        <row r="196">
          <cell r="A196" t="str">
            <v>BTLT12</v>
          </cell>
          <cell r="C196">
            <v>1</v>
          </cell>
          <cell r="E196" t="str">
            <v>Trụ bê tông ly tâm 12m trồng thủ công+cơ giới</v>
          </cell>
          <cell r="F196" t="str">
            <v>Trụ</v>
          </cell>
          <cell r="G196">
            <v>220</v>
          </cell>
          <cell r="N196">
            <v>4427273</v>
          </cell>
          <cell r="O196">
            <v>0</v>
          </cell>
          <cell r="P196">
            <v>0</v>
          </cell>
          <cell r="Q196">
            <v>502313</v>
          </cell>
          <cell r="R196">
            <v>0</v>
          </cell>
          <cell r="S196">
            <v>193960</v>
          </cell>
          <cell r="U196">
            <v>220</v>
          </cell>
          <cell r="V196">
            <v>217</v>
          </cell>
          <cell r="W196">
            <v>2</v>
          </cell>
          <cell r="X196">
            <v>1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</row>
        <row r="197">
          <cell r="C197">
            <v>1</v>
          </cell>
          <cell r="E197" t="str">
            <v>Mỗi bộ gồm:</v>
          </cell>
        </row>
        <row r="198">
          <cell r="B198" t="str">
            <v>T12</v>
          </cell>
          <cell r="C198">
            <v>1</v>
          </cell>
          <cell r="D198">
            <v>0</v>
          </cell>
          <cell r="E198" t="str">
            <v>Trụ BTLT 12m F540 (hệ số K=2 dự ứng lực)</v>
          </cell>
          <cell r="F198" t="str">
            <v>trụ</v>
          </cell>
          <cell r="G198">
            <v>1</v>
          </cell>
          <cell r="H198">
            <v>4427273</v>
          </cell>
          <cell r="K198">
            <v>0</v>
          </cell>
          <cell r="M198">
            <v>0</v>
          </cell>
          <cell r="N198">
            <v>4427273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U198">
            <v>220</v>
          </cell>
          <cell r="V198">
            <v>217</v>
          </cell>
          <cell r="W198">
            <v>2</v>
          </cell>
          <cell r="X198">
            <v>1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</row>
        <row r="199">
          <cell r="B199" t="str">
            <v>C12m</v>
          </cell>
          <cell r="C199">
            <v>1</v>
          </cell>
          <cell r="D199" t="str">
            <v>D2.5232</v>
          </cell>
          <cell r="E199" t="str">
            <v>Dựng trụ BTLT 12m thủ công + cơ giới</v>
          </cell>
          <cell r="F199" t="str">
            <v>trụ</v>
          </cell>
          <cell r="G199">
            <v>1</v>
          </cell>
          <cell r="K199">
            <v>502313</v>
          </cell>
          <cell r="M199">
            <v>193960</v>
          </cell>
          <cell r="N199">
            <v>0</v>
          </cell>
          <cell r="O199">
            <v>0</v>
          </cell>
          <cell r="P199">
            <v>0</v>
          </cell>
          <cell r="Q199">
            <v>502313</v>
          </cell>
          <cell r="R199">
            <v>0</v>
          </cell>
          <cell r="S199">
            <v>193960</v>
          </cell>
          <cell r="U199">
            <v>220</v>
          </cell>
          <cell r="V199">
            <v>217</v>
          </cell>
          <cell r="W199">
            <v>2</v>
          </cell>
          <cell r="X199">
            <v>1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</row>
        <row r="200">
          <cell r="A200" t="str">
            <v>TRU12SDL</v>
          </cell>
          <cell r="C200">
            <v>0</v>
          </cell>
          <cell r="E200" t="str">
            <v>Trụ bê tông ly tâm 12m (SDL)</v>
          </cell>
          <cell r="F200" t="str">
            <v>Trụ</v>
          </cell>
          <cell r="G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502313</v>
          </cell>
          <cell r="R200">
            <v>0</v>
          </cell>
          <cell r="S200">
            <v>193960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</row>
        <row r="201">
          <cell r="C201">
            <v>0</v>
          </cell>
          <cell r="E201" t="str">
            <v>Mỗi bộ gồm:</v>
          </cell>
        </row>
        <row r="202">
          <cell r="B202" t="str">
            <v>T12</v>
          </cell>
          <cell r="C202">
            <v>0</v>
          </cell>
          <cell r="D202">
            <v>0</v>
          </cell>
          <cell r="E202" t="str">
            <v>Trụ BTLT 12m F540 (hệ số K=2 dự ứng lực)</v>
          </cell>
          <cell r="F202" t="str">
            <v>trụ</v>
          </cell>
          <cell r="G202">
            <v>1</v>
          </cell>
          <cell r="H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</row>
        <row r="203">
          <cell r="B203" t="str">
            <v>C12m</v>
          </cell>
          <cell r="C203">
            <v>0</v>
          </cell>
          <cell r="D203" t="str">
            <v>D2.5232</v>
          </cell>
          <cell r="E203" t="str">
            <v>Dựng trụ BTLT 12m thủ công + cơ giới</v>
          </cell>
          <cell r="F203" t="str">
            <v>trụ</v>
          </cell>
          <cell r="G203">
            <v>1</v>
          </cell>
          <cell r="K203">
            <v>502313</v>
          </cell>
          <cell r="M203">
            <v>193960</v>
          </cell>
          <cell r="N203">
            <v>0</v>
          </cell>
          <cell r="O203">
            <v>0</v>
          </cell>
          <cell r="P203">
            <v>0</v>
          </cell>
          <cell r="Q203">
            <v>502313</v>
          </cell>
          <cell r="R203">
            <v>0</v>
          </cell>
          <cell r="S203">
            <v>193960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</row>
        <row r="204">
          <cell r="A204" t="str">
            <v>BTLT14</v>
          </cell>
          <cell r="C204">
            <v>1</v>
          </cell>
          <cell r="E204" t="str">
            <v>Trụ bê tông ly tâm 14m</v>
          </cell>
          <cell r="F204" t="str">
            <v>Trụ</v>
          </cell>
          <cell r="G204">
            <v>3</v>
          </cell>
          <cell r="N204">
            <v>5963636</v>
          </cell>
          <cell r="O204">
            <v>0</v>
          </cell>
          <cell r="P204">
            <v>0</v>
          </cell>
          <cell r="Q204">
            <v>625522</v>
          </cell>
          <cell r="R204">
            <v>0</v>
          </cell>
          <cell r="S204">
            <v>193960</v>
          </cell>
          <cell r="U204">
            <v>3</v>
          </cell>
          <cell r="V204">
            <v>3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</row>
        <row r="205">
          <cell r="C205">
            <v>1</v>
          </cell>
          <cell r="E205" t="str">
            <v>Mỗi bộ gồm:</v>
          </cell>
        </row>
        <row r="206">
          <cell r="B206" t="str">
            <v>T14</v>
          </cell>
          <cell r="C206">
            <v>1</v>
          </cell>
          <cell r="D206">
            <v>0</v>
          </cell>
          <cell r="E206" t="str">
            <v>Trụ BTLT 14m F650 dự ứng lực</v>
          </cell>
          <cell r="F206" t="str">
            <v>trụ</v>
          </cell>
          <cell r="G206">
            <v>1</v>
          </cell>
          <cell r="H206">
            <v>5963636</v>
          </cell>
          <cell r="K206">
            <v>0</v>
          </cell>
          <cell r="M206">
            <v>0</v>
          </cell>
          <cell r="N206">
            <v>5963636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U206">
            <v>3</v>
          </cell>
          <cell r="V206">
            <v>3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</row>
        <row r="207">
          <cell r="B207" t="str">
            <v>C14m</v>
          </cell>
          <cell r="C207">
            <v>1</v>
          </cell>
          <cell r="D207" t="str">
            <v>D2.5242</v>
          </cell>
          <cell r="E207" t="str">
            <v>Dựng trụ BTLT 14m thủ công + cơ giới</v>
          </cell>
          <cell r="F207" t="str">
            <v>trụ</v>
          </cell>
          <cell r="G207">
            <v>1</v>
          </cell>
          <cell r="K207">
            <v>625522</v>
          </cell>
          <cell r="M207">
            <v>193960</v>
          </cell>
          <cell r="N207">
            <v>0</v>
          </cell>
          <cell r="O207">
            <v>0</v>
          </cell>
          <cell r="P207">
            <v>0</v>
          </cell>
          <cell r="Q207">
            <v>625522</v>
          </cell>
          <cell r="R207">
            <v>0</v>
          </cell>
          <cell r="S207">
            <v>193960</v>
          </cell>
          <cell r="U207">
            <v>3</v>
          </cell>
          <cell r="V207">
            <v>3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</row>
        <row r="208">
          <cell r="C208">
            <v>1</v>
          </cell>
          <cell r="D208" t="str">
            <v>III</v>
          </cell>
          <cell r="E208" t="str">
            <v>Phần xà, néo</v>
          </cell>
        </row>
        <row r="209">
          <cell r="A209" t="str">
            <v>BCOM</v>
          </cell>
          <cell r="C209">
            <v>1</v>
          </cell>
          <cell r="E209" t="str">
            <v>Bộ xà Composite bắt LA, FCO 1 pha</v>
          </cell>
          <cell r="F209" t="str">
            <v>Bộ</v>
          </cell>
          <cell r="G209">
            <v>8</v>
          </cell>
          <cell r="N209">
            <v>636500</v>
          </cell>
          <cell r="O209">
            <v>0</v>
          </cell>
          <cell r="P209">
            <v>0</v>
          </cell>
          <cell r="Q209">
            <v>167950</v>
          </cell>
          <cell r="R209">
            <v>0</v>
          </cell>
          <cell r="S209">
            <v>0</v>
          </cell>
          <cell r="U209">
            <v>8</v>
          </cell>
          <cell r="V209">
            <v>8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</row>
        <row r="210">
          <cell r="C210">
            <v>1</v>
          </cell>
          <cell r="E210" t="str">
            <v>Mỗi bộ gồm:</v>
          </cell>
        </row>
        <row r="211">
          <cell r="B211" t="str">
            <v>COM800</v>
          </cell>
          <cell r="C211">
            <v>1</v>
          </cell>
          <cell r="D211">
            <v>0</v>
          </cell>
          <cell r="E211" t="str">
            <v>Đà hộp composite 110x80x5-800</v>
          </cell>
          <cell r="F211" t="str">
            <v>cái</v>
          </cell>
          <cell r="G211">
            <v>1</v>
          </cell>
          <cell r="H211">
            <v>393000</v>
          </cell>
          <cell r="K211">
            <v>0</v>
          </cell>
          <cell r="M211">
            <v>0</v>
          </cell>
          <cell r="N211">
            <v>393000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U211">
            <v>8</v>
          </cell>
          <cell r="V211">
            <v>8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</row>
        <row r="212">
          <cell r="B212" t="str">
            <v>CCOM800</v>
          </cell>
          <cell r="C212">
            <v>1</v>
          </cell>
          <cell r="D212">
            <v>0</v>
          </cell>
          <cell r="E212" t="str">
            <v>Thanh chống 10x40x720</v>
          </cell>
          <cell r="F212" t="str">
            <v>cái</v>
          </cell>
          <cell r="G212">
            <v>1</v>
          </cell>
          <cell r="H212">
            <v>118000</v>
          </cell>
          <cell r="K212">
            <v>0</v>
          </cell>
          <cell r="M212">
            <v>0</v>
          </cell>
          <cell r="N212">
            <v>118000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U212">
            <v>8</v>
          </cell>
          <cell r="V212">
            <v>8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</row>
        <row r="213">
          <cell r="B213" t="str">
            <v>BATLI</v>
          </cell>
          <cell r="C213">
            <v>1</v>
          </cell>
          <cell r="D213">
            <v>0</v>
          </cell>
          <cell r="E213" t="str">
            <v>Bass LI bắt FCO, LA</v>
          </cell>
          <cell r="F213" t="str">
            <v>Bộ</v>
          </cell>
          <cell r="G213">
            <v>1</v>
          </cell>
          <cell r="H213">
            <v>45000</v>
          </cell>
          <cell r="K213">
            <v>0</v>
          </cell>
          <cell r="M213">
            <v>0</v>
          </cell>
          <cell r="N213">
            <v>45000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U213">
            <v>8</v>
          </cell>
          <cell r="V213">
            <v>8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</row>
        <row r="214">
          <cell r="B214" t="str">
            <v>b16350</v>
          </cell>
          <cell r="C214">
            <v>1</v>
          </cell>
          <cell r="D214">
            <v>0</v>
          </cell>
          <cell r="E214" t="str">
            <v>Boulon 16x350+ 2 long đền vuông D18-50x50x3/Zn</v>
          </cell>
          <cell r="F214" t="str">
            <v>bộ</v>
          </cell>
          <cell r="G214">
            <v>1</v>
          </cell>
          <cell r="H214">
            <v>32500</v>
          </cell>
          <cell r="K214">
            <v>0</v>
          </cell>
          <cell r="M214">
            <v>0</v>
          </cell>
          <cell r="N214">
            <v>32500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U214">
            <v>8</v>
          </cell>
          <cell r="V214">
            <v>8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</row>
        <row r="215">
          <cell r="B215" t="str">
            <v>B16250</v>
          </cell>
          <cell r="C215">
            <v>1</v>
          </cell>
          <cell r="D215">
            <v>0</v>
          </cell>
          <cell r="E215" t="str">
            <v>Boulon 16x250+ 2 long đền vuông D18-50x50x3/Zn</v>
          </cell>
          <cell r="F215" t="str">
            <v>bộ</v>
          </cell>
          <cell r="G215">
            <v>1</v>
          </cell>
          <cell r="H215">
            <v>28000</v>
          </cell>
          <cell r="K215">
            <v>0</v>
          </cell>
          <cell r="M215">
            <v>0</v>
          </cell>
          <cell r="N215">
            <v>28000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U215">
            <v>8</v>
          </cell>
          <cell r="V215">
            <v>8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</row>
        <row r="216">
          <cell r="B216" t="str">
            <v>B14120</v>
          </cell>
          <cell r="C216">
            <v>1</v>
          </cell>
          <cell r="D216">
            <v>0</v>
          </cell>
          <cell r="E216" t="str">
            <v>Boulon 14x120+ 2 long đền vuông D16-50x50x3/Zn</v>
          </cell>
          <cell r="F216" t="str">
            <v>bộ</v>
          </cell>
          <cell r="G216">
            <v>1</v>
          </cell>
          <cell r="H216">
            <v>20000</v>
          </cell>
          <cell r="K216">
            <v>0</v>
          </cell>
          <cell r="M216">
            <v>0</v>
          </cell>
          <cell r="N216">
            <v>20000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U216">
            <v>8</v>
          </cell>
          <cell r="V216">
            <v>8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</row>
        <row r="217">
          <cell r="B217" t="str">
            <v>LCOM800</v>
          </cell>
          <cell r="C217">
            <v>1</v>
          </cell>
          <cell r="D217" t="str">
            <v>D2.6011</v>
          </cell>
          <cell r="E217" t="str">
            <v>Lắp đà composite 800mm đơn</v>
          </cell>
          <cell r="F217" t="str">
            <v>bộ</v>
          </cell>
          <cell r="G217">
            <v>1</v>
          </cell>
          <cell r="K217">
            <v>167950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167950</v>
          </cell>
          <cell r="R217">
            <v>0</v>
          </cell>
          <cell r="S217">
            <v>0</v>
          </cell>
          <cell r="U217">
            <v>8</v>
          </cell>
          <cell r="V217">
            <v>8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</row>
        <row r="218">
          <cell r="A218" t="str">
            <v>BCOM3</v>
          </cell>
          <cell r="C218">
            <v>1</v>
          </cell>
          <cell r="E218" t="str">
            <v>Bộ xà Composite bắt LA, FCO 3 pha</v>
          </cell>
          <cell r="F218" t="str">
            <v>Bộ</v>
          </cell>
          <cell r="G218">
            <v>4</v>
          </cell>
          <cell r="N218">
            <v>1466500</v>
          </cell>
          <cell r="O218">
            <v>0</v>
          </cell>
          <cell r="P218">
            <v>0</v>
          </cell>
          <cell r="Q218">
            <v>167950</v>
          </cell>
          <cell r="R218">
            <v>0</v>
          </cell>
          <cell r="S218">
            <v>0</v>
          </cell>
          <cell r="U218">
            <v>4</v>
          </cell>
          <cell r="V218">
            <v>4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</row>
        <row r="219">
          <cell r="C219">
            <v>1</v>
          </cell>
          <cell r="E219" t="str">
            <v>Mỗi bộ gồm:</v>
          </cell>
        </row>
        <row r="220">
          <cell r="B220" t="str">
            <v>COM2400</v>
          </cell>
          <cell r="C220">
            <v>1</v>
          </cell>
          <cell r="D220">
            <v>0</v>
          </cell>
          <cell r="E220" t="str">
            <v>Đà hộp composite 110x80x5-2400</v>
          </cell>
          <cell r="F220" t="str">
            <v>cái</v>
          </cell>
          <cell r="G220">
            <v>1</v>
          </cell>
          <cell r="H220">
            <v>1100000</v>
          </cell>
          <cell r="K220">
            <v>0</v>
          </cell>
          <cell r="M220">
            <v>0</v>
          </cell>
          <cell r="N220">
            <v>1100000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U220">
            <v>4</v>
          </cell>
          <cell r="V220">
            <v>4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</row>
        <row r="221">
          <cell r="B221" t="str">
            <v>CCOM2400</v>
          </cell>
          <cell r="C221">
            <v>1</v>
          </cell>
          <cell r="D221">
            <v>0</v>
          </cell>
          <cell r="E221" t="str">
            <v>Thanh chống Composite dẹp 10x40x920</v>
          </cell>
          <cell r="F221" t="str">
            <v>cái</v>
          </cell>
          <cell r="G221">
            <v>2</v>
          </cell>
          <cell r="H221">
            <v>132000</v>
          </cell>
          <cell r="K221">
            <v>0</v>
          </cell>
          <cell r="M221">
            <v>0</v>
          </cell>
          <cell r="N221">
            <v>264000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U221">
            <v>8</v>
          </cell>
          <cell r="V221">
            <v>8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</row>
        <row r="222">
          <cell r="B222" t="str">
            <v>b16350</v>
          </cell>
          <cell r="C222">
            <v>1</v>
          </cell>
          <cell r="D222">
            <v>0</v>
          </cell>
          <cell r="E222" t="str">
            <v>Boulon 16x350+ 2 long đền vuông D18-50x50x3/Zn</v>
          </cell>
          <cell r="F222" t="str">
            <v>bộ</v>
          </cell>
          <cell r="G222">
            <v>1</v>
          </cell>
          <cell r="H222">
            <v>32500</v>
          </cell>
          <cell r="K222">
            <v>0</v>
          </cell>
          <cell r="M222">
            <v>0</v>
          </cell>
          <cell r="N222">
            <v>32500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U222">
            <v>4</v>
          </cell>
          <cell r="V222">
            <v>4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</row>
        <row r="223">
          <cell r="B223" t="str">
            <v>B16300</v>
          </cell>
          <cell r="C223">
            <v>1</v>
          </cell>
          <cell r="D223">
            <v>0</v>
          </cell>
          <cell r="E223" t="str">
            <v>Boulon 16x300+ 2 long đền vuông D18-50x50x3/Zn</v>
          </cell>
          <cell r="F223" t="str">
            <v>bộ</v>
          </cell>
          <cell r="G223">
            <v>1</v>
          </cell>
          <cell r="H223">
            <v>30000</v>
          </cell>
          <cell r="K223">
            <v>0</v>
          </cell>
          <cell r="M223">
            <v>0</v>
          </cell>
          <cell r="N223">
            <v>30000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U223">
            <v>4</v>
          </cell>
          <cell r="V223">
            <v>4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</row>
        <row r="224">
          <cell r="B224" t="str">
            <v>B14120</v>
          </cell>
          <cell r="C224">
            <v>1</v>
          </cell>
          <cell r="D224">
            <v>0</v>
          </cell>
          <cell r="E224" t="str">
            <v>Boulon 14x120+ 2 long đền vuông D16-50x50x3/Zn</v>
          </cell>
          <cell r="F224" t="str">
            <v>bộ</v>
          </cell>
          <cell r="G224">
            <v>2</v>
          </cell>
          <cell r="H224">
            <v>20000</v>
          </cell>
          <cell r="K224">
            <v>0</v>
          </cell>
          <cell r="M224">
            <v>0</v>
          </cell>
          <cell r="N224">
            <v>40000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U224">
            <v>8</v>
          </cell>
          <cell r="V224">
            <v>8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</row>
        <row r="225">
          <cell r="B225" t="str">
            <v>LCOM2400</v>
          </cell>
          <cell r="C225">
            <v>1</v>
          </cell>
          <cell r="D225" t="str">
            <v>D2.6011</v>
          </cell>
          <cell r="E225" t="str">
            <v>Lắp đà composite 2400mm đơn</v>
          </cell>
          <cell r="F225" t="str">
            <v>bộ</v>
          </cell>
          <cell r="G225">
            <v>1</v>
          </cell>
          <cell r="K225">
            <v>167950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167950</v>
          </cell>
          <cell r="R225">
            <v>0</v>
          </cell>
          <cell r="S225">
            <v>0</v>
          </cell>
          <cell r="U225">
            <v>4</v>
          </cell>
          <cell r="V225">
            <v>4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</row>
        <row r="226">
          <cell r="A226" t="str">
            <v>X8D</v>
          </cell>
          <cell r="C226">
            <v>0</v>
          </cell>
          <cell r="E226" t="str">
            <v>Bộ xà lệch đơn L75x75x8 dài 0,8m: X-8ĐL</v>
          </cell>
          <cell r="F226" t="str">
            <v>Bộ</v>
          </cell>
          <cell r="G226">
            <v>0</v>
          </cell>
          <cell r="N226">
            <v>368033</v>
          </cell>
          <cell r="O226">
            <v>0</v>
          </cell>
          <cell r="P226">
            <v>0</v>
          </cell>
          <cell r="Q226">
            <v>279916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</row>
        <row r="227">
          <cell r="C227">
            <v>0</v>
          </cell>
          <cell r="E227" t="str">
            <v>Mỗi bộ gồm:</v>
          </cell>
        </row>
        <row r="228">
          <cell r="B228" t="str">
            <v>D800</v>
          </cell>
          <cell r="C228">
            <v>0</v>
          </cell>
          <cell r="D228">
            <v>0</v>
          </cell>
          <cell r="E228" t="str">
            <v>Đà sắt L75x75x8-800 - 1 ốp</v>
          </cell>
          <cell r="F228" t="str">
            <v>cái</v>
          </cell>
          <cell r="G228">
            <v>1</v>
          </cell>
          <cell r="H228">
            <v>217000</v>
          </cell>
          <cell r="K228">
            <v>0</v>
          </cell>
          <cell r="M228">
            <v>0</v>
          </cell>
          <cell r="N228">
            <v>217000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</row>
        <row r="229">
          <cell r="B229" t="str">
            <v>C700</v>
          </cell>
          <cell r="C229">
            <v>0</v>
          </cell>
          <cell r="D229">
            <v>0</v>
          </cell>
          <cell r="E229" t="str">
            <v>Thanh chống L50x50x5-700</v>
          </cell>
          <cell r="F229" t="str">
            <v>cái</v>
          </cell>
          <cell r="G229">
            <v>1</v>
          </cell>
          <cell r="H229">
            <v>78033</v>
          </cell>
          <cell r="K229">
            <v>0</v>
          </cell>
          <cell r="M229">
            <v>0</v>
          </cell>
          <cell r="N229">
            <v>78033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</row>
        <row r="230">
          <cell r="B230" t="str">
            <v>B16250</v>
          </cell>
          <cell r="C230">
            <v>0</v>
          </cell>
          <cell r="D230">
            <v>0</v>
          </cell>
          <cell r="E230" t="str">
            <v>Boulon 16x250+ 2 long đền vuông D18-50x50x3/Zn</v>
          </cell>
          <cell r="F230" t="str">
            <v>bộ</v>
          </cell>
          <cell r="G230">
            <v>2</v>
          </cell>
          <cell r="H230">
            <v>28000</v>
          </cell>
          <cell r="K230">
            <v>0</v>
          </cell>
          <cell r="M230">
            <v>0</v>
          </cell>
          <cell r="N230">
            <v>56000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</row>
        <row r="231">
          <cell r="B231" t="str">
            <v>B1650</v>
          </cell>
          <cell r="C231">
            <v>0</v>
          </cell>
          <cell r="D231">
            <v>0</v>
          </cell>
          <cell r="E231" t="str">
            <v>Boulon 16x50+ 2 long đền vuông D18-50x50x3/Zn</v>
          </cell>
          <cell r="F231" t="str">
            <v>bộ</v>
          </cell>
          <cell r="G231">
            <v>1</v>
          </cell>
          <cell r="H231">
            <v>17000</v>
          </cell>
          <cell r="K231">
            <v>0</v>
          </cell>
          <cell r="M231">
            <v>0</v>
          </cell>
          <cell r="N231">
            <v>17000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</row>
        <row r="232">
          <cell r="B232" t="str">
            <v>LX800D</v>
          </cell>
          <cell r="C232">
            <v>0</v>
          </cell>
          <cell r="D232" t="str">
            <v>D2.6021c</v>
          </cell>
          <cell r="E232" t="str">
            <v>Lắp đặt xà thép L75x75x8x800 đơn cột đỡ (13,5504 kg/bộ)</v>
          </cell>
          <cell r="F232" t="str">
            <v>bộ</v>
          </cell>
          <cell r="G232">
            <v>1</v>
          </cell>
          <cell r="K232">
            <v>279916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279916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</row>
        <row r="233">
          <cell r="A233" t="str">
            <v>X8K</v>
          </cell>
          <cell r="C233">
            <v>0</v>
          </cell>
          <cell r="E233" t="str">
            <v>Bộ xà lệch kép L75x75x8 dài 0,8m: X-8KL</v>
          </cell>
          <cell r="F233" t="str">
            <v>Bộ</v>
          </cell>
          <cell r="G233">
            <v>0</v>
          </cell>
          <cell r="N233">
            <v>725066</v>
          </cell>
          <cell r="O233">
            <v>0</v>
          </cell>
          <cell r="P233">
            <v>0</v>
          </cell>
          <cell r="Q233">
            <v>378710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</row>
        <row r="234">
          <cell r="C234">
            <v>0</v>
          </cell>
          <cell r="E234" t="str">
            <v>Mỗi bộ gồm:</v>
          </cell>
        </row>
        <row r="235">
          <cell r="B235" t="str">
            <v>D800</v>
          </cell>
          <cell r="C235">
            <v>0</v>
          </cell>
          <cell r="D235">
            <v>0</v>
          </cell>
          <cell r="E235" t="str">
            <v>Đà sắt L75x75x8-800 - 1 ốp</v>
          </cell>
          <cell r="F235" t="str">
            <v>cái</v>
          </cell>
          <cell r="G235">
            <v>2</v>
          </cell>
          <cell r="H235">
            <v>217000</v>
          </cell>
          <cell r="K235">
            <v>0</v>
          </cell>
          <cell r="M235">
            <v>0</v>
          </cell>
          <cell r="N235">
            <v>434000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</row>
        <row r="236">
          <cell r="B236" t="str">
            <v>C700</v>
          </cell>
          <cell r="C236">
            <v>0</v>
          </cell>
          <cell r="D236">
            <v>0</v>
          </cell>
          <cell r="E236" t="str">
            <v>Thanh chống L50x50x5-700</v>
          </cell>
          <cell r="F236" t="str">
            <v>cái</v>
          </cell>
          <cell r="G236">
            <v>2</v>
          </cell>
          <cell r="H236">
            <v>78033</v>
          </cell>
          <cell r="K236">
            <v>0</v>
          </cell>
          <cell r="M236">
            <v>0</v>
          </cell>
          <cell r="N236">
            <v>156066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</row>
        <row r="237">
          <cell r="B237" t="str">
            <v>B16300</v>
          </cell>
          <cell r="C237">
            <v>0</v>
          </cell>
          <cell r="D237">
            <v>0</v>
          </cell>
          <cell r="E237" t="str">
            <v>Boulon 16x300+ 2 long đền vuông D18-50x50x3/Zn</v>
          </cell>
          <cell r="F237" t="str">
            <v>bộ</v>
          </cell>
          <cell r="G237">
            <v>2</v>
          </cell>
          <cell r="H237">
            <v>30000</v>
          </cell>
          <cell r="K237">
            <v>0</v>
          </cell>
          <cell r="M237">
            <v>0</v>
          </cell>
          <cell r="N237">
            <v>60000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</row>
        <row r="238">
          <cell r="B238" t="str">
            <v>B16300V</v>
          </cell>
          <cell r="C238">
            <v>0</v>
          </cell>
          <cell r="D238">
            <v>0</v>
          </cell>
          <cell r="E238" t="str">
            <v>Boulon 16x300VRS + 4 long đền vuông D18-50x50x3/Zn</v>
          </cell>
          <cell r="F238" t="str">
            <v>bộ</v>
          </cell>
          <cell r="G238">
            <v>1</v>
          </cell>
          <cell r="H238">
            <v>41000</v>
          </cell>
          <cell r="K238">
            <v>0</v>
          </cell>
          <cell r="M238">
            <v>0</v>
          </cell>
          <cell r="N238">
            <v>41000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</row>
        <row r="239">
          <cell r="B239" t="str">
            <v>B1650</v>
          </cell>
          <cell r="C239">
            <v>0</v>
          </cell>
          <cell r="D239">
            <v>0</v>
          </cell>
          <cell r="E239" t="str">
            <v>Boulon 16x50+ 2 long đền vuông D18-50x50x3/Zn</v>
          </cell>
          <cell r="F239" t="str">
            <v>bộ</v>
          </cell>
          <cell r="G239">
            <v>2</v>
          </cell>
          <cell r="H239">
            <v>17000</v>
          </cell>
          <cell r="K239">
            <v>0</v>
          </cell>
          <cell r="M239">
            <v>0</v>
          </cell>
          <cell r="N239">
            <v>34000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</row>
        <row r="240">
          <cell r="B240" t="str">
            <v>LX800K</v>
          </cell>
          <cell r="C240">
            <v>0</v>
          </cell>
          <cell r="D240" t="str">
            <v>D2.6031c</v>
          </cell>
          <cell r="E240" t="str">
            <v>Lắp đặt xà thép L75x75x8x800 kép cột đỡ (26,55 kg/bộ)</v>
          </cell>
          <cell r="F240" t="str">
            <v>bộ</v>
          </cell>
          <cell r="G240">
            <v>1</v>
          </cell>
          <cell r="K240">
            <v>378710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378710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</row>
        <row r="241">
          <cell r="A241" t="str">
            <v>X166D</v>
          </cell>
          <cell r="C241">
            <v>1</v>
          </cell>
          <cell r="E241" t="str">
            <v>Bộ xà đơn L75x75x8 dài 1,66m</v>
          </cell>
          <cell r="F241" t="str">
            <v>Bộ</v>
          </cell>
          <cell r="G241">
            <v>18</v>
          </cell>
          <cell r="N241">
            <v>564000</v>
          </cell>
          <cell r="O241">
            <v>0</v>
          </cell>
          <cell r="P241">
            <v>0</v>
          </cell>
          <cell r="Q241">
            <v>286074</v>
          </cell>
          <cell r="R241">
            <v>0</v>
          </cell>
          <cell r="S241">
            <v>0</v>
          </cell>
          <cell r="U241">
            <v>18</v>
          </cell>
          <cell r="V241">
            <v>18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</row>
        <row r="242">
          <cell r="C242">
            <v>1</v>
          </cell>
          <cell r="E242" t="str">
            <v>Mỗi bộ gồm:</v>
          </cell>
        </row>
        <row r="243">
          <cell r="B243" t="str">
            <v>D1660</v>
          </cell>
          <cell r="C243">
            <v>1</v>
          </cell>
          <cell r="D243">
            <v>0</v>
          </cell>
          <cell r="E243" t="str">
            <v>Đà sắt L75x75x8-1660 - 2 ốp</v>
          </cell>
          <cell r="F243" t="str">
            <v>cái</v>
          </cell>
          <cell r="G243">
            <v>1</v>
          </cell>
          <cell r="H243">
            <v>334000</v>
          </cell>
          <cell r="K243">
            <v>0</v>
          </cell>
          <cell r="M243">
            <v>0</v>
          </cell>
          <cell r="N243">
            <v>334000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U243">
            <v>18</v>
          </cell>
          <cell r="V243">
            <v>18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</row>
        <row r="244">
          <cell r="B244" t="str">
            <v>C810</v>
          </cell>
          <cell r="C244">
            <v>1</v>
          </cell>
          <cell r="D244">
            <v>0</v>
          </cell>
          <cell r="E244" t="str">
            <v>Thanh chống L50x50x5-810</v>
          </cell>
          <cell r="F244" t="str">
            <v>cái</v>
          </cell>
          <cell r="G244">
            <v>2</v>
          </cell>
          <cell r="H244">
            <v>70000</v>
          </cell>
          <cell r="K244">
            <v>0</v>
          </cell>
          <cell r="M244">
            <v>0</v>
          </cell>
          <cell r="N244">
            <v>140000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U244">
            <v>36</v>
          </cell>
          <cell r="V244">
            <v>36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</row>
        <row r="245">
          <cell r="B245" t="str">
            <v>B16250</v>
          </cell>
          <cell r="C245">
            <v>1</v>
          </cell>
          <cell r="D245">
            <v>0</v>
          </cell>
          <cell r="E245" t="str">
            <v>Boulon 16x250+ 2 long đền vuông D18-50x50x3/Zn</v>
          </cell>
          <cell r="F245" t="str">
            <v>bộ</v>
          </cell>
          <cell r="G245">
            <v>2</v>
          </cell>
          <cell r="H245">
            <v>28000</v>
          </cell>
          <cell r="K245">
            <v>0</v>
          </cell>
          <cell r="M245">
            <v>0</v>
          </cell>
          <cell r="N245">
            <v>56000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U245">
            <v>36</v>
          </cell>
          <cell r="V245">
            <v>36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</row>
        <row r="246">
          <cell r="B246" t="str">
            <v>B1650</v>
          </cell>
          <cell r="C246">
            <v>1</v>
          </cell>
          <cell r="D246">
            <v>0</v>
          </cell>
          <cell r="E246" t="str">
            <v>Boulon 16x50+ 2 long đền vuông D18-50x50x3/Zn</v>
          </cell>
          <cell r="F246" t="str">
            <v>bộ</v>
          </cell>
          <cell r="G246">
            <v>2</v>
          </cell>
          <cell r="H246">
            <v>17000</v>
          </cell>
          <cell r="K246">
            <v>0</v>
          </cell>
          <cell r="M246">
            <v>0</v>
          </cell>
          <cell r="N246">
            <v>34000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U246">
            <v>36</v>
          </cell>
          <cell r="V246">
            <v>36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</row>
        <row r="247">
          <cell r="B247" t="str">
            <v>LX1660D</v>
          </cell>
          <cell r="C247">
            <v>1</v>
          </cell>
          <cell r="D247" t="str">
            <v>D2.6021c</v>
          </cell>
          <cell r="E247" t="str">
            <v>Lắp đặt xà thép L75x75x8x1660 đơn cột đỡ (26,5504 kg/bộ)</v>
          </cell>
          <cell r="F247" t="str">
            <v>bộ</v>
          </cell>
          <cell r="G247">
            <v>1</v>
          </cell>
          <cell r="K247">
            <v>286074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286074</v>
          </cell>
          <cell r="R247">
            <v>0</v>
          </cell>
          <cell r="S247">
            <v>0</v>
          </cell>
          <cell r="U247">
            <v>18</v>
          </cell>
          <cell r="V247">
            <v>18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</row>
        <row r="248">
          <cell r="A248" t="str">
            <v>X166K</v>
          </cell>
          <cell r="C248">
            <v>1</v>
          </cell>
          <cell r="E248" t="str">
            <v>Bộ xà kép L75x75x8 dài 1,66m:  X-1,66K</v>
          </cell>
          <cell r="F248" t="str">
            <v>Bộ</v>
          </cell>
          <cell r="G248">
            <v>19</v>
          </cell>
          <cell r="N248">
            <v>1156000</v>
          </cell>
          <cell r="O248">
            <v>0</v>
          </cell>
          <cell r="P248">
            <v>0</v>
          </cell>
          <cell r="Q248">
            <v>382876</v>
          </cell>
          <cell r="R248">
            <v>0</v>
          </cell>
          <cell r="S248">
            <v>0</v>
          </cell>
          <cell r="U248">
            <v>19</v>
          </cell>
          <cell r="V248">
            <v>19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</row>
        <row r="249">
          <cell r="C249">
            <v>1</v>
          </cell>
          <cell r="E249" t="str">
            <v>Mỗi bộ gồm:</v>
          </cell>
        </row>
        <row r="250">
          <cell r="B250" t="str">
            <v>D1660</v>
          </cell>
          <cell r="C250">
            <v>1</v>
          </cell>
          <cell r="D250">
            <v>0</v>
          </cell>
          <cell r="E250" t="str">
            <v>Đà sắt L75x75x8-1660 - 2 ốp</v>
          </cell>
          <cell r="F250" t="str">
            <v>cái</v>
          </cell>
          <cell r="G250">
            <v>2</v>
          </cell>
          <cell r="H250">
            <v>334000</v>
          </cell>
          <cell r="K250">
            <v>0</v>
          </cell>
          <cell r="M250">
            <v>0</v>
          </cell>
          <cell r="N250">
            <v>668000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U250">
            <v>38</v>
          </cell>
          <cell r="V250">
            <v>38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</row>
        <row r="251">
          <cell r="B251" t="str">
            <v>C810</v>
          </cell>
          <cell r="C251">
            <v>1</v>
          </cell>
          <cell r="D251">
            <v>0</v>
          </cell>
          <cell r="E251" t="str">
            <v>Thanh chống L50x50x5-810</v>
          </cell>
          <cell r="F251" t="str">
            <v>cái</v>
          </cell>
          <cell r="G251">
            <v>4</v>
          </cell>
          <cell r="H251">
            <v>70000</v>
          </cell>
          <cell r="K251">
            <v>0</v>
          </cell>
          <cell r="M251">
            <v>0</v>
          </cell>
          <cell r="N251">
            <v>280000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U251">
            <v>76</v>
          </cell>
          <cell r="V251">
            <v>76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</row>
        <row r="252">
          <cell r="B252" t="str">
            <v>B16250</v>
          </cell>
          <cell r="C252">
            <v>1</v>
          </cell>
          <cell r="D252">
            <v>0</v>
          </cell>
          <cell r="E252" t="str">
            <v>Boulon 16x250+ 2 long đền vuông D18-50x50x3/Zn</v>
          </cell>
          <cell r="F252" t="str">
            <v>bộ</v>
          </cell>
          <cell r="G252">
            <v>1</v>
          </cell>
          <cell r="H252">
            <v>28000</v>
          </cell>
          <cell r="K252">
            <v>0</v>
          </cell>
          <cell r="M252">
            <v>0</v>
          </cell>
          <cell r="N252">
            <v>28000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U252">
            <v>19</v>
          </cell>
          <cell r="V252">
            <v>19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</row>
        <row r="253">
          <cell r="B253" t="str">
            <v>B16300</v>
          </cell>
          <cell r="C253">
            <v>1</v>
          </cell>
          <cell r="D253">
            <v>0</v>
          </cell>
          <cell r="E253" t="str">
            <v>Boulon 16x300+ 2 long đền vuông D18-50x50x3/Zn</v>
          </cell>
          <cell r="F253" t="str">
            <v>bộ</v>
          </cell>
          <cell r="G253">
            <v>1</v>
          </cell>
          <cell r="H253">
            <v>30000</v>
          </cell>
          <cell r="K253">
            <v>0</v>
          </cell>
          <cell r="M253">
            <v>0</v>
          </cell>
          <cell r="N253">
            <v>30000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U253">
            <v>19</v>
          </cell>
          <cell r="V253">
            <v>19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</row>
        <row r="254">
          <cell r="B254" t="str">
            <v>B16300v</v>
          </cell>
          <cell r="C254">
            <v>1</v>
          </cell>
          <cell r="D254">
            <v>0</v>
          </cell>
          <cell r="E254" t="str">
            <v>Boulon 16x300VRS + 4 long đền vuông D18-50x50x3/Zn</v>
          </cell>
          <cell r="F254" t="str">
            <v>bộ</v>
          </cell>
          <cell r="G254">
            <v>2</v>
          </cell>
          <cell r="H254">
            <v>41000</v>
          </cell>
          <cell r="K254">
            <v>0</v>
          </cell>
          <cell r="M254">
            <v>0</v>
          </cell>
          <cell r="N254">
            <v>82000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U254">
            <v>38</v>
          </cell>
          <cell r="V254">
            <v>38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</row>
        <row r="255">
          <cell r="B255" t="str">
            <v>B1650</v>
          </cell>
          <cell r="C255">
            <v>1</v>
          </cell>
          <cell r="D255">
            <v>0</v>
          </cell>
          <cell r="E255" t="str">
            <v>Boulon 16x50+ 2 long đền vuông D18-50x50x3/Zn</v>
          </cell>
          <cell r="F255" t="str">
            <v>bộ</v>
          </cell>
          <cell r="G255">
            <v>4</v>
          </cell>
          <cell r="H255">
            <v>17000</v>
          </cell>
          <cell r="K255">
            <v>0</v>
          </cell>
          <cell r="M255">
            <v>0</v>
          </cell>
          <cell r="N255">
            <v>68000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U255">
            <v>76</v>
          </cell>
          <cell r="V255">
            <v>76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</row>
        <row r="256">
          <cell r="B256" t="str">
            <v>LX1660K</v>
          </cell>
          <cell r="C256">
            <v>1</v>
          </cell>
          <cell r="D256" t="str">
            <v>D2.6031c</v>
          </cell>
          <cell r="E256" t="str">
            <v>Lắp đặt xà thép L75x75x8x1660 kép cột đỡ (51,5748 kg/bộ)</v>
          </cell>
          <cell r="F256" t="str">
            <v>bộ</v>
          </cell>
          <cell r="G256">
            <v>1</v>
          </cell>
          <cell r="K256">
            <v>382876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382876</v>
          </cell>
          <cell r="R256">
            <v>0</v>
          </cell>
          <cell r="S256">
            <v>0</v>
          </cell>
          <cell r="U256">
            <v>19</v>
          </cell>
          <cell r="V256">
            <v>19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</row>
        <row r="257">
          <cell r="A257" t="str">
            <v>X20D</v>
          </cell>
          <cell r="C257">
            <v>0</v>
          </cell>
          <cell r="E257" t="str">
            <v>Bộ xà lệch đơn L75x75x8 dài 2m</v>
          </cell>
          <cell r="F257" t="str">
            <v>Bộ</v>
          </cell>
          <cell r="G257">
            <v>0</v>
          </cell>
          <cell r="N257">
            <v>582000</v>
          </cell>
          <cell r="O257">
            <v>0</v>
          </cell>
          <cell r="P257">
            <v>0</v>
          </cell>
          <cell r="Q257">
            <v>283835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</row>
        <row r="258">
          <cell r="C258">
            <v>0</v>
          </cell>
          <cell r="E258" t="str">
            <v>Mỗi bộ gồm:</v>
          </cell>
        </row>
        <row r="259">
          <cell r="B259" t="str">
            <v>d2000</v>
          </cell>
          <cell r="C259">
            <v>0</v>
          </cell>
          <cell r="D259">
            <v>0</v>
          </cell>
          <cell r="E259" t="str">
            <v>Đà sắt L75x75x8-2000 - 3 ốp (Lệch 2/3)</v>
          </cell>
          <cell r="F259" t="str">
            <v>cái</v>
          </cell>
          <cell r="G259">
            <v>1</v>
          </cell>
          <cell r="H259">
            <v>412000</v>
          </cell>
          <cell r="K259">
            <v>0</v>
          </cell>
          <cell r="M259">
            <v>0</v>
          </cell>
          <cell r="N259">
            <v>412000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</row>
        <row r="260">
          <cell r="B260" t="str">
            <v>c1150</v>
          </cell>
          <cell r="C260">
            <v>0</v>
          </cell>
          <cell r="D260">
            <v>0</v>
          </cell>
          <cell r="E260" t="str">
            <v>Thanh chống L50x50x5-1150</v>
          </cell>
          <cell r="F260" t="str">
            <v>cái</v>
          </cell>
          <cell r="G260">
            <v>1</v>
          </cell>
          <cell r="H260">
            <v>97000</v>
          </cell>
          <cell r="K260">
            <v>0</v>
          </cell>
          <cell r="M260">
            <v>0</v>
          </cell>
          <cell r="N260">
            <v>97000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</row>
        <row r="261">
          <cell r="B261" t="str">
            <v>B16250</v>
          </cell>
          <cell r="C261">
            <v>0</v>
          </cell>
          <cell r="D261">
            <v>0</v>
          </cell>
          <cell r="E261" t="str">
            <v>Boulon 16x250+ 2 long đền vuông D18-50x50x3/Zn</v>
          </cell>
          <cell r="F261" t="str">
            <v>bộ</v>
          </cell>
          <cell r="G261">
            <v>2</v>
          </cell>
          <cell r="H261">
            <v>28000</v>
          </cell>
          <cell r="K261">
            <v>0</v>
          </cell>
          <cell r="M261">
            <v>0</v>
          </cell>
          <cell r="N261">
            <v>56000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</row>
        <row r="262">
          <cell r="B262" t="str">
            <v>B1650</v>
          </cell>
          <cell r="C262">
            <v>0</v>
          </cell>
          <cell r="D262">
            <v>0</v>
          </cell>
          <cell r="E262" t="str">
            <v>Boulon 16x50+ 2 long đền vuông D18-50x50x3/Zn</v>
          </cell>
          <cell r="F262" t="str">
            <v>bộ</v>
          </cell>
          <cell r="G262">
            <v>1</v>
          </cell>
          <cell r="H262">
            <v>17000</v>
          </cell>
          <cell r="K262">
            <v>0</v>
          </cell>
          <cell r="M262">
            <v>0</v>
          </cell>
          <cell r="N262">
            <v>17000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</row>
        <row r="263">
          <cell r="B263" t="str">
            <v>LX2000D</v>
          </cell>
          <cell r="C263">
            <v>0</v>
          </cell>
          <cell r="D263" t="str">
            <v>D2.6021a</v>
          </cell>
          <cell r="E263" t="str">
            <v>Lắp đặt xà thép L75x75x8x2000 đơn cột đỡ (25,356 kg/bộ)</v>
          </cell>
          <cell r="F263" t="str">
            <v>bộ</v>
          </cell>
          <cell r="G263">
            <v>1</v>
          </cell>
          <cell r="K263">
            <v>283835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283835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</row>
        <row r="264">
          <cell r="A264" t="str">
            <v>X20K</v>
          </cell>
          <cell r="C264">
            <v>0</v>
          </cell>
          <cell r="E264" t="str">
            <v>Bộ xà lệch kép L75x75x8 dài 2m</v>
          </cell>
          <cell r="F264" t="str">
            <v>Bộ</v>
          </cell>
          <cell r="G264">
            <v>0</v>
          </cell>
          <cell r="N264">
            <v>1233000</v>
          </cell>
          <cell r="O264">
            <v>0</v>
          </cell>
          <cell r="P264">
            <v>0</v>
          </cell>
          <cell r="Q264">
            <v>380603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</row>
        <row r="265">
          <cell r="C265">
            <v>0</v>
          </cell>
          <cell r="E265" t="str">
            <v>Mỗi bộ gồm:</v>
          </cell>
        </row>
        <row r="266">
          <cell r="B266" t="str">
            <v>d2000</v>
          </cell>
          <cell r="C266">
            <v>0</v>
          </cell>
          <cell r="D266">
            <v>0</v>
          </cell>
          <cell r="E266" t="str">
            <v>Đà sắt L75x75x8-2000 - 3 ốp (Lệch 2/3)</v>
          </cell>
          <cell r="F266" t="str">
            <v>cái</v>
          </cell>
          <cell r="G266">
            <v>2</v>
          </cell>
          <cell r="H266">
            <v>412000</v>
          </cell>
          <cell r="K266">
            <v>0</v>
          </cell>
          <cell r="M266">
            <v>0</v>
          </cell>
          <cell r="N266">
            <v>824000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</row>
        <row r="267">
          <cell r="B267" t="str">
            <v>c1150</v>
          </cell>
          <cell r="C267">
            <v>0</v>
          </cell>
          <cell r="D267">
            <v>0</v>
          </cell>
          <cell r="E267" t="str">
            <v>Thanh chống L50x50x5-1150</v>
          </cell>
          <cell r="F267" t="str">
            <v>cái</v>
          </cell>
          <cell r="G267">
            <v>2</v>
          </cell>
          <cell r="H267">
            <v>97000</v>
          </cell>
          <cell r="K267">
            <v>0</v>
          </cell>
          <cell r="M267">
            <v>0</v>
          </cell>
          <cell r="N267">
            <v>194000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</row>
        <row r="268">
          <cell r="B268" t="str">
            <v>B16300v</v>
          </cell>
          <cell r="C268">
            <v>0</v>
          </cell>
          <cell r="D268">
            <v>0</v>
          </cell>
          <cell r="E268" t="str">
            <v>Boulon 16x300VRS + 4 long đền vuông D18-50x50x3/Zn</v>
          </cell>
          <cell r="F268" t="str">
            <v>bộ</v>
          </cell>
          <cell r="G268">
            <v>3</v>
          </cell>
          <cell r="H268">
            <v>41000</v>
          </cell>
          <cell r="K268">
            <v>0</v>
          </cell>
          <cell r="M268">
            <v>0</v>
          </cell>
          <cell r="N268">
            <v>123000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</row>
        <row r="269">
          <cell r="B269" t="str">
            <v>B16300</v>
          </cell>
          <cell r="C269">
            <v>0</v>
          </cell>
          <cell r="D269">
            <v>0</v>
          </cell>
          <cell r="E269" t="str">
            <v>Boulon 16x300+ 2 long đền vuông D18-50x50x3/Zn</v>
          </cell>
          <cell r="F269" t="str">
            <v>bộ</v>
          </cell>
          <cell r="G269">
            <v>1</v>
          </cell>
          <cell r="H269">
            <v>30000</v>
          </cell>
          <cell r="K269">
            <v>0</v>
          </cell>
          <cell r="M269">
            <v>0</v>
          </cell>
          <cell r="N269">
            <v>30000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</row>
        <row r="270">
          <cell r="B270" t="str">
            <v>B16250</v>
          </cell>
          <cell r="C270">
            <v>0</v>
          </cell>
          <cell r="D270">
            <v>0</v>
          </cell>
          <cell r="E270" t="str">
            <v>Boulon 16x250+ 2 long đền vuông D18-50x50x3/Zn</v>
          </cell>
          <cell r="F270" t="str">
            <v>bộ</v>
          </cell>
          <cell r="G270">
            <v>1</v>
          </cell>
          <cell r="H270">
            <v>28000</v>
          </cell>
          <cell r="K270">
            <v>0</v>
          </cell>
          <cell r="M270">
            <v>0</v>
          </cell>
          <cell r="N270">
            <v>28000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</row>
        <row r="271">
          <cell r="B271" t="str">
            <v>B1650</v>
          </cell>
          <cell r="C271">
            <v>0</v>
          </cell>
          <cell r="D271">
            <v>0</v>
          </cell>
          <cell r="E271" t="str">
            <v>Boulon 16x50+ 2 long đền vuông D18-50x50x3/Zn</v>
          </cell>
          <cell r="F271" t="str">
            <v>bộ</v>
          </cell>
          <cell r="G271">
            <v>2</v>
          </cell>
          <cell r="H271">
            <v>17000</v>
          </cell>
          <cell r="K271">
            <v>0</v>
          </cell>
          <cell r="M271">
            <v>0</v>
          </cell>
          <cell r="N271">
            <v>34000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</row>
        <row r="272">
          <cell r="B272" t="str">
            <v>LX2000K</v>
          </cell>
          <cell r="C272">
            <v>0</v>
          </cell>
          <cell r="D272" t="str">
            <v>D2.6031a</v>
          </cell>
          <cell r="E272" t="str">
            <v>Lắp đặt xà thép L75x75x8x2000 kép cột đỡ (50,7514 kg/bộ)</v>
          </cell>
          <cell r="F272" t="str">
            <v>bộ</v>
          </cell>
          <cell r="G272">
            <v>1</v>
          </cell>
          <cell r="K272">
            <v>380603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380603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</row>
        <row r="273">
          <cell r="A273" t="str">
            <v>X20DT</v>
          </cell>
          <cell r="C273">
            <v>0</v>
          </cell>
          <cell r="E273" t="str">
            <v>Bộ xà lệch đơn L75x75x8 dài 2m: X-20ĐL2/3 (Lắp đà tháp)</v>
          </cell>
          <cell r="F273" t="str">
            <v>Bộ</v>
          </cell>
          <cell r="G273">
            <v>0</v>
          </cell>
          <cell r="N273">
            <v>560000</v>
          </cell>
          <cell r="O273">
            <v>0</v>
          </cell>
          <cell r="P273">
            <v>0</v>
          </cell>
          <cell r="Q273">
            <v>283835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</row>
        <row r="274">
          <cell r="C274">
            <v>0</v>
          </cell>
          <cell r="E274" t="str">
            <v>Mỗi bộ gồm:</v>
          </cell>
        </row>
        <row r="275">
          <cell r="B275" t="str">
            <v>d2000</v>
          </cell>
          <cell r="C275">
            <v>0</v>
          </cell>
          <cell r="D275">
            <v>0</v>
          </cell>
          <cell r="E275" t="str">
            <v>Đà sắt L75x75x8-2000 - 3 ốp (Lệch 2/3)</v>
          </cell>
          <cell r="F275" t="str">
            <v>cái</v>
          </cell>
          <cell r="G275">
            <v>1</v>
          </cell>
          <cell r="H275">
            <v>412000</v>
          </cell>
          <cell r="K275">
            <v>0</v>
          </cell>
          <cell r="M275">
            <v>0</v>
          </cell>
          <cell r="N275">
            <v>412000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</row>
        <row r="276">
          <cell r="B276" t="str">
            <v>c1150</v>
          </cell>
          <cell r="C276">
            <v>0</v>
          </cell>
          <cell r="D276">
            <v>0</v>
          </cell>
          <cell r="E276" t="str">
            <v>Thanh chống L50x50x5-1150</v>
          </cell>
          <cell r="F276" t="str">
            <v>cái</v>
          </cell>
          <cell r="G276">
            <v>1</v>
          </cell>
          <cell r="H276">
            <v>97000</v>
          </cell>
          <cell r="K276">
            <v>0</v>
          </cell>
          <cell r="M276">
            <v>0</v>
          </cell>
          <cell r="N276">
            <v>97000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</row>
        <row r="277">
          <cell r="B277" t="str">
            <v>B1650</v>
          </cell>
          <cell r="C277">
            <v>0</v>
          </cell>
          <cell r="D277">
            <v>0</v>
          </cell>
          <cell r="E277" t="str">
            <v>Boulon 16x50+ 2 long đền vuông D18-50x50x3/Zn</v>
          </cell>
          <cell r="F277" t="str">
            <v>bộ</v>
          </cell>
          <cell r="G277">
            <v>3</v>
          </cell>
          <cell r="H277">
            <v>17000</v>
          </cell>
          <cell r="K277">
            <v>0</v>
          </cell>
          <cell r="M277">
            <v>0</v>
          </cell>
          <cell r="N277">
            <v>51000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</row>
        <row r="278">
          <cell r="B278" t="str">
            <v>LX2000D</v>
          </cell>
          <cell r="C278">
            <v>0</v>
          </cell>
          <cell r="D278" t="str">
            <v>D2.6021a</v>
          </cell>
          <cell r="E278" t="str">
            <v>Lắp đặt xà thép L75x75x8x2000 đơn cột đỡ (25,356 kg/bộ)</v>
          </cell>
          <cell r="F278" t="str">
            <v>bộ</v>
          </cell>
          <cell r="G278">
            <v>1</v>
          </cell>
          <cell r="K278">
            <v>283835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283835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</row>
        <row r="279">
          <cell r="A279" t="str">
            <v>X20KT</v>
          </cell>
          <cell r="C279">
            <v>0</v>
          </cell>
          <cell r="E279" t="str">
            <v>Bộ xà lệch kép L75x75x8 dài 2m: X-20KL2/3 (Lắp đà tháp)</v>
          </cell>
          <cell r="F279" t="str">
            <v>Bộ</v>
          </cell>
          <cell r="G279">
            <v>0</v>
          </cell>
          <cell r="N279">
            <v>1257000</v>
          </cell>
          <cell r="O279">
            <v>0</v>
          </cell>
          <cell r="P279">
            <v>0</v>
          </cell>
          <cell r="Q279">
            <v>380603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</row>
        <row r="280">
          <cell r="C280">
            <v>0</v>
          </cell>
          <cell r="E280" t="str">
            <v>Mỗi bộ gồm:</v>
          </cell>
        </row>
        <row r="281">
          <cell r="B281" t="str">
            <v>d2000</v>
          </cell>
          <cell r="C281">
            <v>0</v>
          </cell>
          <cell r="D281">
            <v>0</v>
          </cell>
          <cell r="E281" t="str">
            <v>Đà sắt L75x75x8-2000 - 3 ốp (Lệch 2/3)</v>
          </cell>
          <cell r="F281" t="str">
            <v>cái</v>
          </cell>
          <cell r="G281">
            <v>2</v>
          </cell>
          <cell r="H281">
            <v>412000</v>
          </cell>
          <cell r="K281">
            <v>0</v>
          </cell>
          <cell r="M281">
            <v>0</v>
          </cell>
          <cell r="N281">
            <v>824000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</row>
        <row r="282">
          <cell r="B282" t="str">
            <v>c1150</v>
          </cell>
          <cell r="C282">
            <v>0</v>
          </cell>
          <cell r="D282">
            <v>0</v>
          </cell>
          <cell r="E282" t="str">
            <v>Thanh chống L50x50x5-1150</v>
          </cell>
          <cell r="F282" t="str">
            <v>cái</v>
          </cell>
          <cell r="G282">
            <v>2</v>
          </cell>
          <cell r="H282">
            <v>97000</v>
          </cell>
          <cell r="K282">
            <v>0</v>
          </cell>
          <cell r="M282">
            <v>0</v>
          </cell>
          <cell r="N282">
            <v>194000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</row>
        <row r="283">
          <cell r="B283" t="str">
            <v>B16300v</v>
          </cell>
          <cell r="C283">
            <v>0</v>
          </cell>
          <cell r="D283">
            <v>0</v>
          </cell>
          <cell r="E283" t="str">
            <v>Boulon 16x300VRS + 4 long đền vuông D18-50x50x3/Zn</v>
          </cell>
          <cell r="F283" t="str">
            <v>bộ</v>
          </cell>
          <cell r="G283">
            <v>5</v>
          </cell>
          <cell r="H283">
            <v>41000</v>
          </cell>
          <cell r="K283">
            <v>0</v>
          </cell>
          <cell r="M283">
            <v>0</v>
          </cell>
          <cell r="N283">
            <v>205000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</row>
        <row r="284">
          <cell r="B284" t="str">
            <v>B1650</v>
          </cell>
          <cell r="C284">
            <v>0</v>
          </cell>
          <cell r="D284">
            <v>0</v>
          </cell>
          <cell r="E284" t="str">
            <v>Boulon 16x50+ 2 long đền vuông D18-50x50x3/Zn</v>
          </cell>
          <cell r="F284" t="str">
            <v>bộ</v>
          </cell>
          <cell r="G284">
            <v>2</v>
          </cell>
          <cell r="H284">
            <v>17000</v>
          </cell>
          <cell r="K284">
            <v>0</v>
          </cell>
          <cell r="M284">
            <v>0</v>
          </cell>
          <cell r="N284">
            <v>34000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</row>
        <row r="285">
          <cell r="B285" t="str">
            <v>LX2000K</v>
          </cell>
          <cell r="C285">
            <v>0</v>
          </cell>
          <cell r="D285" t="str">
            <v>D2.6031a</v>
          </cell>
          <cell r="E285" t="str">
            <v>Lắp đặt xà thép L75x75x8x2000 kép cột đỡ (50,7514 kg/bộ)</v>
          </cell>
          <cell r="F285" t="str">
            <v>bộ</v>
          </cell>
          <cell r="G285">
            <v>1</v>
          </cell>
          <cell r="K285">
            <v>380603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380603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</row>
        <row r="286">
          <cell r="A286" t="str">
            <v>X21D</v>
          </cell>
          <cell r="C286">
            <v>1</v>
          </cell>
          <cell r="E286" t="str">
            <v>Bộ xà lệch đơn L75x75x8 dài 2,1m</v>
          </cell>
          <cell r="F286" t="str">
            <v>Bộ</v>
          </cell>
          <cell r="G286">
            <v>8</v>
          </cell>
          <cell r="N286">
            <v>684000</v>
          </cell>
          <cell r="O286">
            <v>0</v>
          </cell>
          <cell r="P286">
            <v>0</v>
          </cell>
          <cell r="Q286">
            <v>297271</v>
          </cell>
          <cell r="R286">
            <v>0</v>
          </cell>
          <cell r="S286">
            <v>0</v>
          </cell>
          <cell r="U286">
            <v>8</v>
          </cell>
          <cell r="V286">
            <v>8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</row>
        <row r="287">
          <cell r="C287">
            <v>1</v>
          </cell>
          <cell r="E287" t="str">
            <v>Mỗi bộ gồm:</v>
          </cell>
        </row>
        <row r="288">
          <cell r="B288" t="str">
            <v>d2100</v>
          </cell>
          <cell r="C288">
            <v>1</v>
          </cell>
          <cell r="D288">
            <v>0</v>
          </cell>
          <cell r="E288" t="str">
            <v>Đà sắt L75x75x8-2100 - 3 ốp (Lệch 100%)</v>
          </cell>
          <cell r="F288" t="str">
            <v>cái</v>
          </cell>
          <cell r="G288">
            <v>1</v>
          </cell>
          <cell r="H288">
            <v>431000</v>
          </cell>
          <cell r="K288">
            <v>0</v>
          </cell>
          <cell r="M288">
            <v>0</v>
          </cell>
          <cell r="N288">
            <v>431000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U288">
            <v>8</v>
          </cell>
          <cell r="V288">
            <v>8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</row>
        <row r="289">
          <cell r="B289" t="str">
            <v>c1990</v>
          </cell>
          <cell r="C289">
            <v>1</v>
          </cell>
          <cell r="D289">
            <v>0</v>
          </cell>
          <cell r="E289" t="str">
            <v>Thanh chống L50x50x5-1990</v>
          </cell>
          <cell r="F289" t="str">
            <v>cái</v>
          </cell>
          <cell r="G289">
            <v>1</v>
          </cell>
          <cell r="H289">
            <v>180000</v>
          </cell>
          <cell r="K289">
            <v>0</v>
          </cell>
          <cell r="M289">
            <v>0</v>
          </cell>
          <cell r="N289">
            <v>180000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U289">
            <v>8</v>
          </cell>
          <cell r="V289">
            <v>8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</row>
        <row r="290">
          <cell r="B290" t="str">
            <v>B16250</v>
          </cell>
          <cell r="C290">
            <v>1</v>
          </cell>
          <cell r="D290">
            <v>0</v>
          </cell>
          <cell r="E290" t="str">
            <v>Boulon 16x250+ 2 long đền vuông D18-50x50x3/Zn</v>
          </cell>
          <cell r="F290" t="str">
            <v>bộ</v>
          </cell>
          <cell r="G290">
            <v>2</v>
          </cell>
          <cell r="H290">
            <v>28000</v>
          </cell>
          <cell r="K290">
            <v>0</v>
          </cell>
          <cell r="M290">
            <v>0</v>
          </cell>
          <cell r="N290">
            <v>56000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U290">
            <v>16</v>
          </cell>
          <cell r="V290">
            <v>16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</row>
        <row r="291">
          <cell r="B291" t="str">
            <v>B1650</v>
          </cell>
          <cell r="C291">
            <v>1</v>
          </cell>
          <cell r="D291">
            <v>0</v>
          </cell>
          <cell r="E291" t="str">
            <v>Boulon 16x50+ 2 long đền vuông D18-50x50x3/Zn</v>
          </cell>
          <cell r="F291" t="str">
            <v>bộ</v>
          </cell>
          <cell r="G291">
            <v>1</v>
          </cell>
          <cell r="H291">
            <v>17000</v>
          </cell>
          <cell r="K291">
            <v>0</v>
          </cell>
          <cell r="M291">
            <v>0</v>
          </cell>
          <cell r="N291">
            <v>17000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U291">
            <v>8</v>
          </cell>
          <cell r="V291">
            <v>8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</row>
        <row r="292">
          <cell r="B292" t="str">
            <v>LX2100D</v>
          </cell>
          <cell r="C292">
            <v>1</v>
          </cell>
          <cell r="D292" t="str">
            <v>D2.6021d</v>
          </cell>
          <cell r="E292" t="str">
            <v>Lắp đặt xà thép L75x75x8x2100 đơn cột đỡ (29,4245 kg/bộ)</v>
          </cell>
          <cell r="F292" t="str">
            <v>bộ</v>
          </cell>
          <cell r="G292">
            <v>1</v>
          </cell>
          <cell r="K292">
            <v>297271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297271</v>
          </cell>
          <cell r="R292">
            <v>0</v>
          </cell>
          <cell r="S292">
            <v>0</v>
          </cell>
          <cell r="U292">
            <v>8</v>
          </cell>
          <cell r="V292">
            <v>8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</row>
        <row r="293">
          <cell r="A293" t="str">
            <v>X21K</v>
          </cell>
          <cell r="C293">
            <v>1</v>
          </cell>
          <cell r="E293" t="str">
            <v>Bộ xà lệch kép L75x75x8 dài 2,1m</v>
          </cell>
          <cell r="F293" t="str">
            <v>Bộ</v>
          </cell>
          <cell r="G293">
            <v>2</v>
          </cell>
          <cell r="N293">
            <v>1439000</v>
          </cell>
          <cell r="O293">
            <v>0</v>
          </cell>
          <cell r="P293">
            <v>0</v>
          </cell>
          <cell r="Q293">
            <v>402190</v>
          </cell>
          <cell r="R293">
            <v>0</v>
          </cell>
          <cell r="S293">
            <v>0</v>
          </cell>
          <cell r="U293">
            <v>2</v>
          </cell>
          <cell r="V293">
            <v>2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</row>
        <row r="294">
          <cell r="C294">
            <v>1</v>
          </cell>
          <cell r="E294" t="str">
            <v>Mỗi bộ gồm:</v>
          </cell>
        </row>
        <row r="295">
          <cell r="B295" t="str">
            <v>d2100</v>
          </cell>
          <cell r="C295">
            <v>1</v>
          </cell>
          <cell r="D295">
            <v>0</v>
          </cell>
          <cell r="E295" t="str">
            <v>Đà sắt L75x75x8-2100 - 3 ốp (Lệch 100%)</v>
          </cell>
          <cell r="F295" t="str">
            <v>cái</v>
          </cell>
          <cell r="G295">
            <v>2</v>
          </cell>
          <cell r="H295">
            <v>431000</v>
          </cell>
          <cell r="K295">
            <v>0</v>
          </cell>
          <cell r="M295">
            <v>0</v>
          </cell>
          <cell r="N295">
            <v>862000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U295">
            <v>4</v>
          </cell>
          <cell r="V295">
            <v>4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</row>
        <row r="296">
          <cell r="B296" t="str">
            <v>c1990</v>
          </cell>
          <cell r="C296">
            <v>1</v>
          </cell>
          <cell r="D296">
            <v>0</v>
          </cell>
          <cell r="E296" t="str">
            <v>Thanh chống L50x50x5-1990</v>
          </cell>
          <cell r="F296" t="str">
            <v>cái</v>
          </cell>
          <cell r="G296">
            <v>2</v>
          </cell>
          <cell r="H296">
            <v>180000</v>
          </cell>
          <cell r="K296">
            <v>0</v>
          </cell>
          <cell r="M296">
            <v>0</v>
          </cell>
          <cell r="N296">
            <v>360000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U296">
            <v>4</v>
          </cell>
          <cell r="V296">
            <v>4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</row>
        <row r="297">
          <cell r="B297" t="str">
            <v>B16300v</v>
          </cell>
          <cell r="C297">
            <v>1</v>
          </cell>
          <cell r="D297">
            <v>0</v>
          </cell>
          <cell r="E297" t="str">
            <v>Boulon 16x300VRS + 4 long đền vuông D18-50x50x3/Zn</v>
          </cell>
          <cell r="F297" t="str">
            <v>bộ</v>
          </cell>
          <cell r="G297">
            <v>3</v>
          </cell>
          <cell r="H297">
            <v>41000</v>
          </cell>
          <cell r="K297">
            <v>0</v>
          </cell>
          <cell r="M297">
            <v>0</v>
          </cell>
          <cell r="N297">
            <v>123000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U297">
            <v>6</v>
          </cell>
          <cell r="V297">
            <v>6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</row>
        <row r="298">
          <cell r="B298" t="str">
            <v>B16300</v>
          </cell>
          <cell r="C298">
            <v>1</v>
          </cell>
          <cell r="D298">
            <v>0</v>
          </cell>
          <cell r="E298" t="str">
            <v>Boulon 16x300+ 2 long đền vuông D18-50x50x3/Zn</v>
          </cell>
          <cell r="F298" t="str">
            <v>bộ</v>
          </cell>
          <cell r="G298">
            <v>2</v>
          </cell>
          <cell r="H298">
            <v>30000</v>
          </cell>
          <cell r="K298">
            <v>0</v>
          </cell>
          <cell r="M298">
            <v>0</v>
          </cell>
          <cell r="N298">
            <v>60000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U298">
            <v>4</v>
          </cell>
          <cell r="V298">
            <v>4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</row>
        <row r="299">
          <cell r="B299" t="str">
            <v>B1650</v>
          </cell>
          <cell r="C299">
            <v>1</v>
          </cell>
          <cell r="D299">
            <v>0</v>
          </cell>
          <cell r="E299" t="str">
            <v>Boulon 16x50+ 2 long đền vuông D18-50x50x3/Zn</v>
          </cell>
          <cell r="F299" t="str">
            <v>bộ</v>
          </cell>
          <cell r="G299">
            <v>2</v>
          </cell>
          <cell r="H299">
            <v>17000</v>
          </cell>
          <cell r="K299">
            <v>0</v>
          </cell>
          <cell r="M299">
            <v>0</v>
          </cell>
          <cell r="N299">
            <v>34000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U299">
            <v>4</v>
          </cell>
          <cell r="V299">
            <v>4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</row>
        <row r="300">
          <cell r="B300" t="str">
            <v>LX2100K</v>
          </cell>
          <cell r="C300">
            <v>1</v>
          </cell>
          <cell r="D300" t="str">
            <v>D2.6031d</v>
          </cell>
          <cell r="E300" t="str">
            <v>Lắp đặt xà thép L75x75x8x2100 kép cột đỡ (58,889 kg/bộ)</v>
          </cell>
          <cell r="F300" t="str">
            <v>bộ</v>
          </cell>
          <cell r="G300">
            <v>1</v>
          </cell>
          <cell r="K300">
            <v>402190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402190</v>
          </cell>
          <cell r="R300">
            <v>0</v>
          </cell>
          <cell r="S300">
            <v>0</v>
          </cell>
          <cell r="U300">
            <v>2</v>
          </cell>
          <cell r="V300">
            <v>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</row>
        <row r="301">
          <cell r="A301" t="str">
            <v>X21DT</v>
          </cell>
          <cell r="C301">
            <v>0</v>
          </cell>
          <cell r="E301" t="str">
            <v>Bộ xà lệch đơn L75x75x8 dài 2,1m (Lắp đà tháp)</v>
          </cell>
          <cell r="F301" t="str">
            <v>Bộ</v>
          </cell>
          <cell r="G301">
            <v>0</v>
          </cell>
          <cell r="N301">
            <v>662000</v>
          </cell>
          <cell r="O301">
            <v>0</v>
          </cell>
          <cell r="P301">
            <v>0</v>
          </cell>
          <cell r="Q301">
            <v>297271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</row>
        <row r="302">
          <cell r="C302">
            <v>0</v>
          </cell>
          <cell r="E302" t="str">
            <v>Mỗi bộ gồm:</v>
          </cell>
        </row>
        <row r="303">
          <cell r="B303" t="str">
            <v>d2100</v>
          </cell>
          <cell r="C303">
            <v>0</v>
          </cell>
          <cell r="D303">
            <v>0</v>
          </cell>
          <cell r="E303" t="str">
            <v>Đà sắt L75x75x8-2100 - 3 ốp (Lệch 100%)</v>
          </cell>
          <cell r="F303" t="str">
            <v>cái</v>
          </cell>
          <cell r="G303">
            <v>1</v>
          </cell>
          <cell r="H303">
            <v>431000</v>
          </cell>
          <cell r="K303">
            <v>0</v>
          </cell>
          <cell r="M303">
            <v>0</v>
          </cell>
          <cell r="N303">
            <v>431000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</row>
        <row r="304">
          <cell r="B304" t="str">
            <v>c1990</v>
          </cell>
          <cell r="C304">
            <v>0</v>
          </cell>
          <cell r="D304">
            <v>0</v>
          </cell>
          <cell r="E304" t="str">
            <v>Thanh chống L50x50x5-1990</v>
          </cell>
          <cell r="F304" t="str">
            <v>cái</v>
          </cell>
          <cell r="G304">
            <v>1</v>
          </cell>
          <cell r="H304">
            <v>180000</v>
          </cell>
          <cell r="K304">
            <v>0</v>
          </cell>
          <cell r="M304">
            <v>0</v>
          </cell>
          <cell r="N304">
            <v>180000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</row>
        <row r="305">
          <cell r="B305" t="str">
            <v>B16350V</v>
          </cell>
          <cell r="C305">
            <v>0</v>
          </cell>
          <cell r="D305">
            <v>0</v>
          </cell>
          <cell r="E305" t="str">
            <v>Boulon 16x350VRS+ 4 long đền vuông D18-50x50x3/Zn</v>
          </cell>
          <cell r="F305" t="str">
            <v>bộ</v>
          </cell>
          <cell r="G305">
            <v>0</v>
          </cell>
          <cell r="H305">
            <v>42000</v>
          </cell>
          <cell r="K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</row>
        <row r="306">
          <cell r="B306" t="str">
            <v>B1650</v>
          </cell>
          <cell r="C306">
            <v>0</v>
          </cell>
          <cell r="D306">
            <v>0</v>
          </cell>
          <cell r="E306" t="str">
            <v>Boulon 16x50+ 2 long đền vuông D18-50x50x3/Zn</v>
          </cell>
          <cell r="F306" t="str">
            <v>bộ</v>
          </cell>
          <cell r="G306">
            <v>3</v>
          </cell>
          <cell r="H306">
            <v>17000</v>
          </cell>
          <cell r="K306">
            <v>0</v>
          </cell>
          <cell r="M306">
            <v>0</v>
          </cell>
          <cell r="N306">
            <v>51000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</row>
        <row r="307">
          <cell r="B307" t="str">
            <v>LX2100D</v>
          </cell>
          <cell r="C307">
            <v>0</v>
          </cell>
          <cell r="D307" t="str">
            <v>D2.6021d</v>
          </cell>
          <cell r="E307" t="str">
            <v>Lắp đặt xà thép L75x75x8x2100 đơn cột đỡ (29,4245 kg/bộ)</v>
          </cell>
          <cell r="F307" t="str">
            <v>bộ</v>
          </cell>
          <cell r="G307">
            <v>1</v>
          </cell>
          <cell r="K307">
            <v>297271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297271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</row>
        <row r="308">
          <cell r="A308" t="str">
            <v>X21KT</v>
          </cell>
          <cell r="C308">
            <v>0</v>
          </cell>
          <cell r="E308" t="str">
            <v>Bộ xà lệch kép L75x75x8 dài 2,1m (Lắp đà tháp)</v>
          </cell>
          <cell r="F308" t="str">
            <v>Bộ</v>
          </cell>
          <cell r="G308">
            <v>0</v>
          </cell>
          <cell r="N308">
            <v>1379000</v>
          </cell>
          <cell r="O308">
            <v>0</v>
          </cell>
          <cell r="P308">
            <v>0</v>
          </cell>
          <cell r="Q308">
            <v>402190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</row>
        <row r="309">
          <cell r="C309">
            <v>0</v>
          </cell>
          <cell r="E309" t="str">
            <v>Mỗi bộ gồm:</v>
          </cell>
        </row>
        <row r="310">
          <cell r="B310" t="str">
            <v>d2100</v>
          </cell>
          <cell r="C310">
            <v>0</v>
          </cell>
          <cell r="D310">
            <v>0</v>
          </cell>
          <cell r="E310" t="str">
            <v>Đà sắt L75x75x8-2100 - 3 ốp (Lệch 100%)</v>
          </cell>
          <cell r="F310" t="str">
            <v>cái</v>
          </cell>
          <cell r="G310">
            <v>2</v>
          </cell>
          <cell r="H310">
            <v>431000</v>
          </cell>
          <cell r="K310">
            <v>0</v>
          </cell>
          <cell r="M310">
            <v>0</v>
          </cell>
          <cell r="N310">
            <v>862000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</row>
        <row r="311">
          <cell r="B311" t="str">
            <v>c1990</v>
          </cell>
          <cell r="C311">
            <v>0</v>
          </cell>
          <cell r="D311">
            <v>0</v>
          </cell>
          <cell r="E311" t="str">
            <v>Thanh chống L50x50x5-1990</v>
          </cell>
          <cell r="F311" t="str">
            <v>cái</v>
          </cell>
          <cell r="G311">
            <v>2</v>
          </cell>
          <cell r="H311">
            <v>180000</v>
          </cell>
          <cell r="K311">
            <v>0</v>
          </cell>
          <cell r="M311">
            <v>0</v>
          </cell>
          <cell r="N311">
            <v>360000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</row>
        <row r="312">
          <cell r="B312" t="str">
            <v>B16300v</v>
          </cell>
          <cell r="C312">
            <v>0</v>
          </cell>
          <cell r="D312">
            <v>0</v>
          </cell>
          <cell r="E312" t="str">
            <v>Boulon 16x300VRS + 4 long đền vuông D18-50x50x3/Zn</v>
          </cell>
          <cell r="F312" t="str">
            <v>bộ</v>
          </cell>
          <cell r="G312">
            <v>3</v>
          </cell>
          <cell r="H312">
            <v>41000</v>
          </cell>
          <cell r="K312">
            <v>0</v>
          </cell>
          <cell r="M312">
            <v>0</v>
          </cell>
          <cell r="N312">
            <v>123000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</row>
        <row r="313">
          <cell r="B313" t="str">
            <v>B1650</v>
          </cell>
          <cell r="C313">
            <v>0</v>
          </cell>
          <cell r="D313">
            <v>0</v>
          </cell>
          <cell r="E313" t="str">
            <v>Boulon 16x50+ 2 long đền vuông D18-50x50x3/Zn</v>
          </cell>
          <cell r="F313" t="str">
            <v>bộ</v>
          </cell>
          <cell r="G313">
            <v>2</v>
          </cell>
          <cell r="H313">
            <v>17000</v>
          </cell>
          <cell r="K313">
            <v>0</v>
          </cell>
          <cell r="M313">
            <v>0</v>
          </cell>
          <cell r="N313">
            <v>34000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</row>
        <row r="314">
          <cell r="B314" t="str">
            <v>LX2100K</v>
          </cell>
          <cell r="C314">
            <v>0</v>
          </cell>
          <cell r="D314" t="str">
            <v>D2.6031d</v>
          </cell>
          <cell r="E314" t="str">
            <v>Lắp đặt xà thép L75x75x8x2100 kép cột đỡ (58,889 kg/bộ)</v>
          </cell>
          <cell r="F314" t="str">
            <v>bộ</v>
          </cell>
          <cell r="G314">
            <v>1</v>
          </cell>
          <cell r="K314">
            <v>402190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402190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</row>
        <row r="315">
          <cell r="A315" t="str">
            <v>X22D</v>
          </cell>
          <cell r="C315">
            <v>0</v>
          </cell>
          <cell r="E315" t="str">
            <v>Bộ xà đơn L75x75x8 dài 2.2m</v>
          </cell>
          <cell r="F315" t="str">
            <v>Bộ</v>
          </cell>
          <cell r="G315">
            <v>0</v>
          </cell>
          <cell r="N315">
            <v>693000</v>
          </cell>
          <cell r="O315">
            <v>0</v>
          </cell>
          <cell r="P315">
            <v>0</v>
          </cell>
          <cell r="Q315">
            <v>298670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</row>
        <row r="316">
          <cell r="C316">
            <v>0</v>
          </cell>
          <cell r="E316" t="str">
            <v>Mỗi bộ gồm:</v>
          </cell>
        </row>
        <row r="317">
          <cell r="B317" t="str">
            <v>d2200</v>
          </cell>
          <cell r="C317">
            <v>0</v>
          </cell>
          <cell r="D317">
            <v>0</v>
          </cell>
          <cell r="E317" t="str">
            <v>Đà sắt L75x75x8-2200 - 4 ốp</v>
          </cell>
          <cell r="F317" t="str">
            <v>cái</v>
          </cell>
          <cell r="G317">
            <v>1</v>
          </cell>
          <cell r="H317">
            <v>463000</v>
          </cell>
          <cell r="K317">
            <v>0</v>
          </cell>
          <cell r="M317">
            <v>0</v>
          </cell>
          <cell r="N317">
            <v>463000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</row>
        <row r="318">
          <cell r="B318" t="str">
            <v>c810</v>
          </cell>
          <cell r="C318">
            <v>0</v>
          </cell>
          <cell r="D318">
            <v>0</v>
          </cell>
          <cell r="E318" t="str">
            <v>Thanh chống L50x50x5-810</v>
          </cell>
          <cell r="F318" t="str">
            <v>cái</v>
          </cell>
          <cell r="G318">
            <v>2</v>
          </cell>
          <cell r="H318">
            <v>70000</v>
          </cell>
          <cell r="K318">
            <v>0</v>
          </cell>
          <cell r="M318">
            <v>0</v>
          </cell>
          <cell r="N318">
            <v>140000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</row>
        <row r="319">
          <cell r="B319" t="str">
            <v>B16250</v>
          </cell>
          <cell r="C319">
            <v>0</v>
          </cell>
          <cell r="D319">
            <v>0</v>
          </cell>
          <cell r="E319" t="str">
            <v>Boulon 16x250+ 2 long đền vuông D18-50x50x3/Zn</v>
          </cell>
          <cell r="F319" t="str">
            <v>bộ</v>
          </cell>
          <cell r="G319">
            <v>2</v>
          </cell>
          <cell r="H319">
            <v>28000</v>
          </cell>
          <cell r="K319">
            <v>0</v>
          </cell>
          <cell r="M319">
            <v>0</v>
          </cell>
          <cell r="N319">
            <v>56000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</row>
        <row r="320">
          <cell r="B320" t="str">
            <v>B1650</v>
          </cell>
          <cell r="C320">
            <v>0</v>
          </cell>
          <cell r="D320">
            <v>0</v>
          </cell>
          <cell r="E320" t="str">
            <v>Boulon 16x50+ 2 long đền vuông D18-50x50x3/Zn</v>
          </cell>
          <cell r="F320" t="str">
            <v>bộ</v>
          </cell>
          <cell r="G320">
            <v>2</v>
          </cell>
          <cell r="H320">
            <v>17000</v>
          </cell>
          <cell r="K320">
            <v>0</v>
          </cell>
          <cell r="M320">
            <v>0</v>
          </cell>
          <cell r="N320">
            <v>34000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</row>
        <row r="321">
          <cell r="B321" t="str">
            <v>LX2200D</v>
          </cell>
          <cell r="C321">
            <v>0</v>
          </cell>
          <cell r="D321" t="str">
            <v>D2.6021e</v>
          </cell>
          <cell r="E321" t="str">
            <v>Lắp đặt xà thép L75x75x8x2200 đơn cột đỡ (29,759 kg/bộ)</v>
          </cell>
          <cell r="F321" t="str">
            <v>bộ</v>
          </cell>
          <cell r="G321">
            <v>1</v>
          </cell>
          <cell r="K321">
            <v>298670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298670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</row>
        <row r="322">
          <cell r="A322" t="str">
            <v>X22K</v>
          </cell>
          <cell r="C322">
            <v>1</v>
          </cell>
          <cell r="E322" t="str">
            <v>Bộ xà kép L75x75x8 dài 2.2m</v>
          </cell>
          <cell r="F322" t="str">
            <v>Bộ</v>
          </cell>
          <cell r="G322">
            <v>17</v>
          </cell>
          <cell r="N322">
            <v>1412000</v>
          </cell>
          <cell r="O322">
            <v>0</v>
          </cell>
          <cell r="P322">
            <v>0</v>
          </cell>
          <cell r="Q322">
            <v>534080</v>
          </cell>
          <cell r="R322">
            <v>0</v>
          </cell>
          <cell r="S322">
            <v>0</v>
          </cell>
          <cell r="U322">
            <v>17</v>
          </cell>
          <cell r="V322">
            <v>17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</row>
        <row r="323">
          <cell r="C323">
            <v>1</v>
          </cell>
          <cell r="E323" t="str">
            <v>Mỗi bộ gồm:</v>
          </cell>
        </row>
        <row r="324">
          <cell r="B324" t="str">
            <v>d2200</v>
          </cell>
          <cell r="C324">
            <v>1</v>
          </cell>
          <cell r="D324">
            <v>0</v>
          </cell>
          <cell r="E324" t="str">
            <v>Đà sắt L75x75x8-2200 - 4 ốp</v>
          </cell>
          <cell r="F324" t="str">
            <v>cái</v>
          </cell>
          <cell r="G324">
            <v>2</v>
          </cell>
          <cell r="H324">
            <v>463000</v>
          </cell>
          <cell r="K324">
            <v>0</v>
          </cell>
          <cell r="M324">
            <v>0</v>
          </cell>
          <cell r="N324">
            <v>926000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U324">
            <v>34</v>
          </cell>
          <cell r="V324">
            <v>34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</row>
        <row r="325">
          <cell r="B325" t="str">
            <v>c810</v>
          </cell>
          <cell r="C325">
            <v>1</v>
          </cell>
          <cell r="D325">
            <v>0</v>
          </cell>
          <cell r="E325" t="str">
            <v>Thanh chống L50x50x5-810</v>
          </cell>
          <cell r="F325" t="str">
            <v>cái</v>
          </cell>
          <cell r="G325">
            <v>4</v>
          </cell>
          <cell r="H325">
            <v>70000</v>
          </cell>
          <cell r="K325">
            <v>0</v>
          </cell>
          <cell r="M325">
            <v>0</v>
          </cell>
          <cell r="N325">
            <v>280000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U325">
            <v>68</v>
          </cell>
          <cell r="V325">
            <v>68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</row>
        <row r="326">
          <cell r="B326" t="str">
            <v>B16300</v>
          </cell>
          <cell r="C326">
            <v>1</v>
          </cell>
          <cell r="D326">
            <v>0</v>
          </cell>
          <cell r="E326" t="str">
            <v>Boulon 16x300+ 2 long đền vuông D18-50x50x3/Zn</v>
          </cell>
          <cell r="F326" t="str">
            <v>bộ</v>
          </cell>
          <cell r="G326">
            <v>2</v>
          </cell>
          <cell r="H326">
            <v>30000</v>
          </cell>
          <cell r="K326">
            <v>0</v>
          </cell>
          <cell r="M326">
            <v>0</v>
          </cell>
          <cell r="N326">
            <v>60000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U326">
            <v>34</v>
          </cell>
          <cell r="V326">
            <v>34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</row>
        <row r="327">
          <cell r="B327" t="str">
            <v>B16250v</v>
          </cell>
          <cell r="C327">
            <v>1</v>
          </cell>
          <cell r="D327">
            <v>0</v>
          </cell>
          <cell r="E327" t="str">
            <v>Boulon 16x250VRS+ 4 long đền vuông D18-50x50x3/Zn</v>
          </cell>
          <cell r="F327" t="str">
            <v>bộ</v>
          </cell>
          <cell r="G327">
            <v>2</v>
          </cell>
          <cell r="H327">
            <v>39000</v>
          </cell>
          <cell r="K327">
            <v>0</v>
          </cell>
          <cell r="M327">
            <v>0</v>
          </cell>
          <cell r="N327">
            <v>78000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U327">
            <v>34</v>
          </cell>
          <cell r="V327">
            <v>34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</row>
        <row r="328">
          <cell r="B328" t="str">
            <v>B1650</v>
          </cell>
          <cell r="C328">
            <v>1</v>
          </cell>
          <cell r="D328">
            <v>0</v>
          </cell>
          <cell r="E328" t="str">
            <v>Boulon 16x50+ 2 long đền vuông D18-50x50x3/Zn</v>
          </cell>
          <cell r="F328" t="str">
            <v>bộ</v>
          </cell>
          <cell r="G328">
            <v>4</v>
          </cell>
          <cell r="H328">
            <v>17000</v>
          </cell>
          <cell r="K328">
            <v>0</v>
          </cell>
          <cell r="M328">
            <v>0</v>
          </cell>
          <cell r="N328">
            <v>68000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U328">
            <v>68</v>
          </cell>
          <cell r="V328">
            <v>68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</row>
        <row r="329">
          <cell r="B329" t="str">
            <v>LX2200K</v>
          </cell>
          <cell r="C329">
            <v>1</v>
          </cell>
          <cell r="D329" t="str">
            <v>D2.6032b</v>
          </cell>
          <cell r="E329" t="str">
            <v>Lắp đặt xà thép L75x75x8x2200 kép cột néo (58,628 kg/bộ)</v>
          </cell>
          <cell r="F329" t="str">
            <v>bộ</v>
          </cell>
          <cell r="G329">
            <v>1</v>
          </cell>
          <cell r="K329">
            <v>534080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534080</v>
          </cell>
          <cell r="R329">
            <v>0</v>
          </cell>
          <cell r="S329">
            <v>0</v>
          </cell>
          <cell r="U329">
            <v>17</v>
          </cell>
          <cell r="V329">
            <v>17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</row>
        <row r="330">
          <cell r="A330" t="str">
            <v>X22KK</v>
          </cell>
          <cell r="C330">
            <v>1</v>
          </cell>
          <cell r="E330" t="str">
            <v>Bộ xà kép L75x75x8 dài 2.2m (hướng trụ ghép)</v>
          </cell>
          <cell r="F330" t="str">
            <v>Bộ</v>
          </cell>
          <cell r="G330">
            <v>8</v>
          </cell>
          <cell r="N330">
            <v>1458000</v>
          </cell>
          <cell r="O330">
            <v>0</v>
          </cell>
          <cell r="P330">
            <v>0</v>
          </cell>
          <cell r="Q330">
            <v>534080</v>
          </cell>
          <cell r="R330">
            <v>0</v>
          </cell>
          <cell r="S330">
            <v>0</v>
          </cell>
          <cell r="U330">
            <v>8</v>
          </cell>
          <cell r="V330">
            <v>8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</row>
        <row r="331">
          <cell r="C331">
            <v>1</v>
          </cell>
          <cell r="E331" t="str">
            <v>Mỗi bộ gồm:</v>
          </cell>
        </row>
        <row r="332">
          <cell r="B332" t="str">
            <v>D2200</v>
          </cell>
          <cell r="C332">
            <v>1</v>
          </cell>
          <cell r="D332">
            <v>0</v>
          </cell>
          <cell r="E332" t="str">
            <v>Đà sắt L75x75x8-2200 - 4 ốp</v>
          </cell>
          <cell r="F332" t="str">
            <v>cái</v>
          </cell>
          <cell r="G332">
            <v>2</v>
          </cell>
          <cell r="H332">
            <v>463000</v>
          </cell>
          <cell r="K332">
            <v>0</v>
          </cell>
          <cell r="M332">
            <v>0</v>
          </cell>
          <cell r="N332">
            <v>926000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U332">
            <v>16</v>
          </cell>
          <cell r="V332">
            <v>16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</row>
        <row r="333">
          <cell r="B333" t="str">
            <v>C810</v>
          </cell>
          <cell r="C333">
            <v>1</v>
          </cell>
          <cell r="D333">
            <v>0</v>
          </cell>
          <cell r="E333" t="str">
            <v>Thanh chống L50x50x5-810</v>
          </cell>
          <cell r="F333" t="str">
            <v>cái</v>
          </cell>
          <cell r="G333">
            <v>4</v>
          </cell>
          <cell r="H333">
            <v>70000</v>
          </cell>
          <cell r="K333">
            <v>0</v>
          </cell>
          <cell r="M333">
            <v>0</v>
          </cell>
          <cell r="N333">
            <v>280000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U333">
            <v>32</v>
          </cell>
          <cell r="V333">
            <v>32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</row>
        <row r="334">
          <cell r="B334" t="str">
            <v>B16450VR</v>
          </cell>
          <cell r="C334">
            <v>1</v>
          </cell>
          <cell r="D334">
            <v>0</v>
          </cell>
          <cell r="E334" t="str">
            <v>Boulon 16x450VRS + 2 long đền vuông D18-50x50x3/Zn</v>
          </cell>
          <cell r="F334" t="str">
            <v>bộ</v>
          </cell>
          <cell r="G334">
            <v>2</v>
          </cell>
          <cell r="H334">
            <v>0</v>
          </cell>
          <cell r="K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U334">
            <v>16</v>
          </cell>
          <cell r="V334">
            <v>16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</row>
        <row r="335">
          <cell r="B335" t="str">
            <v>B16450V</v>
          </cell>
          <cell r="C335">
            <v>1</v>
          </cell>
          <cell r="D335">
            <v>0</v>
          </cell>
          <cell r="E335" t="str">
            <v>Boulon 16x450VRS + 4 long đền vuông D18-50x50x3/Zn</v>
          </cell>
          <cell r="F335" t="str">
            <v>bộ</v>
          </cell>
          <cell r="G335">
            <v>4</v>
          </cell>
          <cell r="H335">
            <v>46000</v>
          </cell>
          <cell r="K335">
            <v>0</v>
          </cell>
          <cell r="M335">
            <v>0</v>
          </cell>
          <cell r="N335">
            <v>184000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U335">
            <v>32</v>
          </cell>
          <cell r="V335">
            <v>32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</row>
        <row r="336">
          <cell r="B336" t="str">
            <v>B1650</v>
          </cell>
          <cell r="C336">
            <v>1</v>
          </cell>
          <cell r="D336">
            <v>0</v>
          </cell>
          <cell r="E336" t="str">
            <v>Boulon 16x50+ 2 long đền vuông D18-50x50x3/Zn</v>
          </cell>
          <cell r="F336" t="str">
            <v>bộ</v>
          </cell>
          <cell r="G336">
            <v>4</v>
          </cell>
          <cell r="H336">
            <v>17000</v>
          </cell>
          <cell r="K336">
            <v>0</v>
          </cell>
          <cell r="M336">
            <v>0</v>
          </cell>
          <cell r="N336">
            <v>68000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U336">
            <v>32</v>
          </cell>
          <cell r="V336">
            <v>32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</row>
        <row r="337">
          <cell r="B337" t="str">
            <v>LX2200K</v>
          </cell>
          <cell r="C337">
            <v>1</v>
          </cell>
          <cell r="D337" t="str">
            <v>D2.6032b</v>
          </cell>
          <cell r="E337" t="str">
            <v>Lắp đặt xà thép L75x75x8x2200 kép cột néo (58,628 kg/bộ)</v>
          </cell>
          <cell r="F337" t="str">
            <v>bộ</v>
          </cell>
          <cell r="G337">
            <v>1</v>
          </cell>
          <cell r="K337">
            <v>534080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534080</v>
          </cell>
          <cell r="R337">
            <v>0</v>
          </cell>
          <cell r="S337">
            <v>0</v>
          </cell>
          <cell r="U337">
            <v>8</v>
          </cell>
          <cell r="V337">
            <v>8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</row>
        <row r="338">
          <cell r="A338" t="str">
            <v>DT160K</v>
          </cell>
          <cell r="C338">
            <v>0</v>
          </cell>
          <cell r="E338" t="str">
            <v>Bộ đà tháp kép U160x68x5 dài 2,2m</v>
          </cell>
          <cell r="F338" t="str">
            <v>Bộ</v>
          </cell>
          <cell r="G338">
            <v>0</v>
          </cell>
          <cell r="N338">
            <v>1714000</v>
          </cell>
          <cell r="O338">
            <v>0</v>
          </cell>
          <cell r="P338">
            <v>0</v>
          </cell>
          <cell r="Q338">
            <v>449132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</row>
        <row r="339">
          <cell r="C339">
            <v>0</v>
          </cell>
          <cell r="E339" t="str">
            <v>Mỗi bộ gồm:</v>
          </cell>
        </row>
        <row r="340">
          <cell r="B340" t="str">
            <v>U160-2200</v>
          </cell>
          <cell r="C340">
            <v>0</v>
          </cell>
          <cell r="D340">
            <v>0</v>
          </cell>
          <cell r="E340" t="str">
            <v>Đà U160x68x5x2200 - (13kg/m)</v>
          </cell>
          <cell r="F340" t="str">
            <v>cái</v>
          </cell>
          <cell r="G340">
            <v>2</v>
          </cell>
          <cell r="H340">
            <v>728000</v>
          </cell>
          <cell r="K340">
            <v>0</v>
          </cell>
          <cell r="M340">
            <v>0</v>
          </cell>
          <cell r="N340">
            <v>1456000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</row>
        <row r="341">
          <cell r="B341" t="str">
            <v>B16350v</v>
          </cell>
          <cell r="C341">
            <v>0</v>
          </cell>
          <cell r="D341">
            <v>0</v>
          </cell>
          <cell r="E341" t="str">
            <v>Boulon 16x350VRS+ 4 long đền vuông D18-50x50x3/Zn</v>
          </cell>
          <cell r="F341" t="str">
            <v>bộ</v>
          </cell>
          <cell r="G341">
            <v>4</v>
          </cell>
          <cell r="H341">
            <v>42000</v>
          </cell>
          <cell r="K341">
            <v>0</v>
          </cell>
          <cell r="M341">
            <v>0</v>
          </cell>
          <cell r="N341">
            <v>168000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</row>
        <row r="342">
          <cell r="B342" t="str">
            <v>B16300</v>
          </cell>
          <cell r="C342">
            <v>0</v>
          </cell>
          <cell r="D342">
            <v>0</v>
          </cell>
          <cell r="E342" t="str">
            <v>Boulon 16x300+ 2 long đền vuông D18-50x50x3/Zn</v>
          </cell>
          <cell r="F342" t="str">
            <v>bộ</v>
          </cell>
          <cell r="G342">
            <v>3</v>
          </cell>
          <cell r="H342">
            <v>30000</v>
          </cell>
          <cell r="K342">
            <v>0</v>
          </cell>
          <cell r="M342">
            <v>0</v>
          </cell>
          <cell r="N342">
            <v>90000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</row>
        <row r="343">
          <cell r="B343" t="str">
            <v>LXU160-22K</v>
          </cell>
          <cell r="C343">
            <v>0</v>
          </cell>
          <cell r="D343" t="str">
            <v>D2.6031b</v>
          </cell>
          <cell r="E343" t="str">
            <v>Lắp đặt xà tháp U160x68x5x2200 kép cột đỡ (76,74 kg/bộ)</v>
          </cell>
          <cell r="F343" t="str">
            <v>bộ</v>
          </cell>
          <cell r="G343">
            <v>1</v>
          </cell>
          <cell r="K343">
            <v>449132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449132</v>
          </cell>
          <cell r="R343">
            <v>0</v>
          </cell>
          <cell r="S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</row>
        <row r="344">
          <cell r="A344" t="str">
            <v>DT160D</v>
          </cell>
          <cell r="C344">
            <v>0</v>
          </cell>
          <cell r="E344" t="str">
            <v>Bộ đà tháp đơn U160x68x5 dài 2,2m</v>
          </cell>
          <cell r="F344" t="str">
            <v>Bộ</v>
          </cell>
          <cell r="G344">
            <v>0</v>
          </cell>
          <cell r="N344">
            <v>818000</v>
          </cell>
          <cell r="O344">
            <v>0</v>
          </cell>
          <cell r="P344">
            <v>0</v>
          </cell>
          <cell r="Q344">
            <v>279916</v>
          </cell>
          <cell r="R344">
            <v>0</v>
          </cell>
          <cell r="S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</row>
        <row r="345">
          <cell r="C345">
            <v>0</v>
          </cell>
          <cell r="E345" t="str">
            <v>Mỗi bộ gồm:</v>
          </cell>
        </row>
        <row r="346">
          <cell r="B346" t="str">
            <v>U160-2200</v>
          </cell>
          <cell r="C346">
            <v>0</v>
          </cell>
          <cell r="D346">
            <v>0</v>
          </cell>
          <cell r="E346" t="str">
            <v>Đà U160x68x5x2200 - (13kg/m)</v>
          </cell>
          <cell r="F346" t="str">
            <v>cái</v>
          </cell>
          <cell r="G346">
            <v>1</v>
          </cell>
          <cell r="H346">
            <v>728000</v>
          </cell>
          <cell r="K346">
            <v>0</v>
          </cell>
          <cell r="M346">
            <v>0</v>
          </cell>
          <cell r="N346">
            <v>728000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</row>
        <row r="347">
          <cell r="B347" t="str">
            <v>B16300</v>
          </cell>
          <cell r="C347">
            <v>0</v>
          </cell>
          <cell r="D347">
            <v>0</v>
          </cell>
          <cell r="E347" t="str">
            <v>Boulon 16x300+ 2 long đền vuông D18-50x50x3/Zn</v>
          </cell>
          <cell r="F347" t="str">
            <v>bộ</v>
          </cell>
          <cell r="G347">
            <v>3</v>
          </cell>
          <cell r="H347">
            <v>30000</v>
          </cell>
          <cell r="K347">
            <v>0</v>
          </cell>
          <cell r="M347">
            <v>0</v>
          </cell>
          <cell r="N347">
            <v>90000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</row>
        <row r="348">
          <cell r="B348" t="str">
            <v>LXU160-22D</v>
          </cell>
          <cell r="C348">
            <v>0</v>
          </cell>
          <cell r="D348" t="str">
            <v>D2.6021e</v>
          </cell>
          <cell r="E348" t="str">
            <v>Lắp đặt xà tháp U160x68x5x2200 đơn cột đỡ (29,759 kg/bộ)</v>
          </cell>
          <cell r="F348" t="str">
            <v>bộ</v>
          </cell>
          <cell r="G348">
            <v>1</v>
          </cell>
          <cell r="H348">
            <v>0</v>
          </cell>
          <cell r="K348">
            <v>279916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279916</v>
          </cell>
          <cell r="R348">
            <v>0</v>
          </cell>
          <cell r="S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</row>
        <row r="349">
          <cell r="A349" t="str">
            <v>CX85</v>
          </cell>
          <cell r="C349">
            <v>1</v>
          </cell>
          <cell r="E349" t="str">
            <v>Bộ chằng xuống đơn cho trụ hạ thế</v>
          </cell>
          <cell r="F349" t="str">
            <v>Bộ</v>
          </cell>
          <cell r="G349">
            <v>151</v>
          </cell>
          <cell r="N349">
            <v>417275</v>
          </cell>
          <cell r="O349">
            <v>0</v>
          </cell>
          <cell r="P349">
            <v>0</v>
          </cell>
          <cell r="Q349">
            <v>106623</v>
          </cell>
          <cell r="R349">
            <v>0</v>
          </cell>
          <cell r="S349">
            <v>0</v>
          </cell>
          <cell r="U349">
            <v>151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151</v>
          </cell>
        </row>
        <row r="350">
          <cell r="C350">
            <v>1</v>
          </cell>
          <cell r="E350" t="str">
            <v>Mỗi bộ gồm:</v>
          </cell>
        </row>
        <row r="351">
          <cell r="B351" t="str">
            <v>BM16250</v>
          </cell>
          <cell r="C351">
            <v>1</v>
          </cell>
          <cell r="D351">
            <v>0</v>
          </cell>
          <cell r="E351" t="str">
            <v>Boulon mắt 16x250+ long đền vuông D18-50x50x3/Zn</v>
          </cell>
          <cell r="F351" t="str">
            <v>bộ</v>
          </cell>
          <cell r="G351">
            <v>1</v>
          </cell>
          <cell r="H351">
            <v>35000</v>
          </cell>
          <cell r="K351">
            <v>0</v>
          </cell>
          <cell r="M351">
            <v>0</v>
          </cell>
          <cell r="N351">
            <v>35000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U351">
            <v>151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151</v>
          </cell>
        </row>
        <row r="352">
          <cell r="B352" t="str">
            <v>SCN</v>
          </cell>
          <cell r="C352">
            <v>1</v>
          </cell>
          <cell r="D352">
            <v>0</v>
          </cell>
          <cell r="E352" t="str">
            <v>Sứ chằng nhỏ</v>
          </cell>
          <cell r="F352" t="str">
            <v>cái</v>
          </cell>
          <cell r="G352">
            <v>1</v>
          </cell>
          <cell r="H352">
            <v>42000</v>
          </cell>
          <cell r="K352">
            <v>0</v>
          </cell>
          <cell r="M352">
            <v>0</v>
          </cell>
          <cell r="N352">
            <v>42000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U352">
            <v>151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151</v>
          </cell>
        </row>
        <row r="353">
          <cell r="B353" t="str">
            <v>K3B42</v>
          </cell>
          <cell r="C353">
            <v>1</v>
          </cell>
          <cell r="D353">
            <v>0</v>
          </cell>
          <cell r="E353" t="str">
            <v>Kẹp cáp 3 boulon B42x130</v>
          </cell>
          <cell r="F353" t="str">
            <v>cái</v>
          </cell>
          <cell r="G353">
            <v>4</v>
          </cell>
          <cell r="H353">
            <v>38000</v>
          </cell>
          <cell r="K353">
            <v>0</v>
          </cell>
          <cell r="M353">
            <v>0</v>
          </cell>
          <cell r="N353">
            <v>152000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U353">
            <v>604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604</v>
          </cell>
        </row>
        <row r="354">
          <cell r="B354" t="str">
            <v>C3/8</v>
          </cell>
          <cell r="C354">
            <v>1</v>
          </cell>
          <cell r="D354">
            <v>0</v>
          </cell>
          <cell r="E354" t="str">
            <v>Cáp thép 3/8"</v>
          </cell>
          <cell r="F354" t="str">
            <v>mét</v>
          </cell>
          <cell r="G354">
            <v>11</v>
          </cell>
          <cell r="H354">
            <v>11025</v>
          </cell>
          <cell r="K354">
            <v>0</v>
          </cell>
          <cell r="M354">
            <v>0</v>
          </cell>
          <cell r="N354">
            <v>121275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U354">
            <v>1661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1661</v>
          </cell>
        </row>
        <row r="355">
          <cell r="B355" t="str">
            <v>YC</v>
          </cell>
          <cell r="C355">
            <v>1</v>
          </cell>
          <cell r="D355">
            <v>0</v>
          </cell>
          <cell r="E355" t="str">
            <v>Yếm cáp dày 2mm</v>
          </cell>
          <cell r="F355" t="str">
            <v>cái</v>
          </cell>
          <cell r="G355">
            <v>2</v>
          </cell>
          <cell r="H355">
            <v>7000</v>
          </cell>
          <cell r="K355">
            <v>0</v>
          </cell>
          <cell r="M355">
            <v>0</v>
          </cell>
          <cell r="N355">
            <v>14000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U355">
            <v>302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302</v>
          </cell>
        </row>
        <row r="356">
          <cell r="B356" t="str">
            <v>MANGH</v>
          </cell>
          <cell r="C356">
            <v>1</v>
          </cell>
          <cell r="D356">
            <v>0</v>
          </cell>
          <cell r="E356" t="str">
            <v>Máng che dây chằng dày 0,4x2000mm</v>
          </cell>
          <cell r="F356" t="str">
            <v>cái</v>
          </cell>
          <cell r="G356">
            <v>1</v>
          </cell>
          <cell r="H356">
            <v>53000</v>
          </cell>
          <cell r="K356">
            <v>0</v>
          </cell>
          <cell r="M356">
            <v>0</v>
          </cell>
          <cell r="N356">
            <v>53000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U356">
            <v>151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151</v>
          </cell>
        </row>
        <row r="357">
          <cell r="B357" t="str">
            <v>LDN</v>
          </cell>
          <cell r="C357">
            <v>1</v>
          </cell>
          <cell r="D357" t="str">
            <v>D3.3251</v>
          </cell>
          <cell r="E357" t="str">
            <v>Lắp bộ dây néo</v>
          </cell>
          <cell r="F357" t="str">
            <v>bộ</v>
          </cell>
          <cell r="G357">
            <v>1</v>
          </cell>
          <cell r="K357">
            <v>106623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106623</v>
          </cell>
          <cell r="R357">
            <v>0</v>
          </cell>
          <cell r="S357">
            <v>0</v>
          </cell>
          <cell r="U357">
            <v>151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151</v>
          </cell>
        </row>
        <row r="358">
          <cell r="A358" t="str">
            <v>CL85</v>
          </cell>
          <cell r="C358">
            <v>1</v>
          </cell>
          <cell r="E358" t="str">
            <v>Bộ chằng lệch đơn cho trụ hạ thế</v>
          </cell>
          <cell r="F358" t="str">
            <v>Bộ</v>
          </cell>
          <cell r="G358">
            <v>18</v>
          </cell>
          <cell r="N358">
            <v>693225</v>
          </cell>
          <cell r="O358">
            <v>0</v>
          </cell>
          <cell r="P358">
            <v>0</v>
          </cell>
          <cell r="Q358">
            <v>106623</v>
          </cell>
          <cell r="R358">
            <v>0</v>
          </cell>
          <cell r="S358">
            <v>0</v>
          </cell>
          <cell r="U358">
            <v>18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18</v>
          </cell>
        </row>
        <row r="359">
          <cell r="C359">
            <v>1</v>
          </cell>
          <cell r="E359" t="str">
            <v>Mỗi bộ gồm:</v>
          </cell>
        </row>
        <row r="360">
          <cell r="B360" t="str">
            <v>BM16250</v>
          </cell>
          <cell r="C360">
            <v>1</v>
          </cell>
          <cell r="D360">
            <v>0</v>
          </cell>
          <cell r="E360" t="str">
            <v>Boulon mắt 16x250+ long đền vuông D18-50x50x3/Zn</v>
          </cell>
          <cell r="F360" t="str">
            <v>bộ</v>
          </cell>
          <cell r="G360">
            <v>1</v>
          </cell>
          <cell r="H360">
            <v>35000</v>
          </cell>
          <cell r="K360">
            <v>0</v>
          </cell>
          <cell r="M360">
            <v>0</v>
          </cell>
          <cell r="N360">
            <v>35000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U360">
            <v>18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18</v>
          </cell>
        </row>
        <row r="361">
          <cell r="B361" t="str">
            <v>SCN</v>
          </cell>
          <cell r="C361">
            <v>1</v>
          </cell>
          <cell r="D361">
            <v>0</v>
          </cell>
          <cell r="E361" t="str">
            <v>Sứ chằng nhỏ</v>
          </cell>
          <cell r="F361" t="str">
            <v>cái</v>
          </cell>
          <cell r="G361">
            <v>1</v>
          </cell>
          <cell r="H361">
            <v>42000</v>
          </cell>
          <cell r="K361">
            <v>0</v>
          </cell>
          <cell r="M361">
            <v>0</v>
          </cell>
          <cell r="N361">
            <v>42000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U361">
            <v>18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18</v>
          </cell>
        </row>
        <row r="362">
          <cell r="B362" t="str">
            <v>K3B42</v>
          </cell>
          <cell r="C362">
            <v>1</v>
          </cell>
          <cell r="D362">
            <v>0</v>
          </cell>
          <cell r="E362" t="str">
            <v>Kẹp cáp 3 boulon B42x130</v>
          </cell>
          <cell r="F362" t="str">
            <v>cái</v>
          </cell>
          <cell r="G362">
            <v>4</v>
          </cell>
          <cell r="H362">
            <v>38000</v>
          </cell>
          <cell r="K362">
            <v>0</v>
          </cell>
          <cell r="M362">
            <v>0</v>
          </cell>
          <cell r="N362">
            <v>152000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U362">
            <v>72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72</v>
          </cell>
        </row>
        <row r="363">
          <cell r="B363" t="str">
            <v>C3/8</v>
          </cell>
          <cell r="C363">
            <v>1</v>
          </cell>
          <cell r="D363">
            <v>0</v>
          </cell>
          <cell r="E363" t="str">
            <v>Cáp thép 3/8"</v>
          </cell>
          <cell r="F363" t="str">
            <v>mét</v>
          </cell>
          <cell r="G363">
            <v>9</v>
          </cell>
          <cell r="H363">
            <v>11025</v>
          </cell>
          <cell r="K363">
            <v>0</v>
          </cell>
          <cell r="M363">
            <v>0</v>
          </cell>
          <cell r="N363">
            <v>99225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U363">
            <v>162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162</v>
          </cell>
        </row>
        <row r="364">
          <cell r="B364" t="str">
            <v>CLHT</v>
          </cell>
          <cell r="C364">
            <v>1</v>
          </cell>
          <cell r="D364">
            <v>0</v>
          </cell>
          <cell r="E364" t="str">
            <v>Bộ chống chằng hẹp φ60/50x1200+2BL12x40+BL16x200/50</v>
          </cell>
          <cell r="F364" t="str">
            <v>bộ</v>
          </cell>
          <cell r="G364">
            <v>1</v>
          </cell>
          <cell r="H364">
            <v>298000</v>
          </cell>
          <cell r="K364">
            <v>0</v>
          </cell>
          <cell r="M364">
            <v>0</v>
          </cell>
          <cell r="N364">
            <v>298000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U364">
            <v>18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18</v>
          </cell>
        </row>
        <row r="365">
          <cell r="B365" t="str">
            <v>YC</v>
          </cell>
          <cell r="C365">
            <v>1</v>
          </cell>
          <cell r="D365">
            <v>0</v>
          </cell>
          <cell r="E365" t="str">
            <v>Yếm cáp dày 2mm</v>
          </cell>
          <cell r="F365" t="str">
            <v>cái</v>
          </cell>
          <cell r="G365">
            <v>2</v>
          </cell>
          <cell r="H365">
            <v>7000</v>
          </cell>
          <cell r="K365">
            <v>0</v>
          </cell>
          <cell r="M365">
            <v>0</v>
          </cell>
          <cell r="N365">
            <v>14000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U365">
            <v>36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36</v>
          </cell>
        </row>
        <row r="366">
          <cell r="B366" t="str">
            <v>MANGH</v>
          </cell>
          <cell r="C366">
            <v>1</v>
          </cell>
          <cell r="D366">
            <v>0</v>
          </cell>
          <cell r="E366" t="str">
            <v>Máng che dây chằng dày 0,4x2000mm</v>
          </cell>
          <cell r="F366" t="str">
            <v>cái</v>
          </cell>
          <cell r="G366">
            <v>1</v>
          </cell>
          <cell r="H366">
            <v>53000</v>
          </cell>
          <cell r="K366">
            <v>0</v>
          </cell>
          <cell r="M366">
            <v>0</v>
          </cell>
          <cell r="N366">
            <v>53000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U366">
            <v>18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18</v>
          </cell>
        </row>
        <row r="367">
          <cell r="B367" t="str">
            <v>LDN</v>
          </cell>
          <cell r="C367">
            <v>1</v>
          </cell>
          <cell r="D367" t="str">
            <v>D3.3251</v>
          </cell>
          <cell r="E367" t="str">
            <v>Lắp bộ dây néo</v>
          </cell>
          <cell r="F367" t="str">
            <v>bộ</v>
          </cell>
          <cell r="G367">
            <v>1</v>
          </cell>
          <cell r="K367">
            <v>106623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106623</v>
          </cell>
          <cell r="R367">
            <v>0</v>
          </cell>
          <cell r="S367">
            <v>0</v>
          </cell>
          <cell r="U367">
            <v>18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18</v>
          </cell>
        </row>
        <row r="368">
          <cell r="B368" t="str">
            <v>LCL</v>
          </cell>
          <cell r="C368">
            <v>1</v>
          </cell>
          <cell r="D368" t="str">
            <v>05.6011</v>
          </cell>
          <cell r="E368" t="str">
            <v>Lắp bộ chống lệch</v>
          </cell>
          <cell r="F368" t="str">
            <v>bộ</v>
          </cell>
          <cell r="G368">
            <v>1</v>
          </cell>
          <cell r="K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U368">
            <v>18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18</v>
          </cell>
        </row>
        <row r="369">
          <cell r="A369" t="str">
            <v>CX10</v>
          </cell>
          <cell r="C369">
            <v>0</v>
          </cell>
          <cell r="E369" t="str">
            <v>Bộ chằng xuống đơn cho trụ 10,5m</v>
          </cell>
          <cell r="F369" t="str">
            <v>Bộ</v>
          </cell>
          <cell r="G369">
            <v>0</v>
          </cell>
          <cell r="N369">
            <v>619325</v>
          </cell>
          <cell r="O369">
            <v>0</v>
          </cell>
          <cell r="P369">
            <v>0</v>
          </cell>
          <cell r="Q369">
            <v>106623</v>
          </cell>
          <cell r="R369">
            <v>0</v>
          </cell>
          <cell r="S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</row>
        <row r="370">
          <cell r="C370">
            <v>0</v>
          </cell>
          <cell r="E370" t="str">
            <v>Mỗi bộ gồm:</v>
          </cell>
        </row>
        <row r="371">
          <cell r="B371" t="str">
            <v>BM16250</v>
          </cell>
          <cell r="C371">
            <v>0</v>
          </cell>
          <cell r="D371">
            <v>0</v>
          </cell>
          <cell r="E371" t="str">
            <v>Boulon mắt 16x250+ long đền vuông D18-50x50x3/Zn</v>
          </cell>
          <cell r="F371" t="str">
            <v>bộ</v>
          </cell>
          <cell r="G371">
            <v>1</v>
          </cell>
          <cell r="H371">
            <v>35000</v>
          </cell>
          <cell r="K371">
            <v>0</v>
          </cell>
          <cell r="M371">
            <v>0</v>
          </cell>
          <cell r="N371">
            <v>35000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</row>
        <row r="372">
          <cell r="B372" t="str">
            <v>SCL</v>
          </cell>
          <cell r="C372">
            <v>0</v>
          </cell>
          <cell r="D372">
            <v>0</v>
          </cell>
          <cell r="E372" t="str">
            <v>Sứ chằng lớn</v>
          </cell>
          <cell r="F372" t="str">
            <v>cái</v>
          </cell>
          <cell r="G372">
            <v>1</v>
          </cell>
          <cell r="H372">
            <v>70000</v>
          </cell>
          <cell r="K372">
            <v>0</v>
          </cell>
          <cell r="M372">
            <v>0</v>
          </cell>
          <cell r="N372">
            <v>70000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</row>
        <row r="373">
          <cell r="B373" t="str">
            <v>K3B42</v>
          </cell>
          <cell r="C373">
            <v>0</v>
          </cell>
          <cell r="D373">
            <v>0</v>
          </cell>
          <cell r="E373" t="str">
            <v>Kẹp cáp 3 boulon B42x130</v>
          </cell>
          <cell r="F373" t="str">
            <v>cái</v>
          </cell>
          <cell r="G373">
            <v>8</v>
          </cell>
          <cell r="H373">
            <v>38000</v>
          </cell>
          <cell r="K373">
            <v>0</v>
          </cell>
          <cell r="M373">
            <v>0</v>
          </cell>
          <cell r="N373">
            <v>304000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</row>
        <row r="374">
          <cell r="B374" t="str">
            <v>C3/8</v>
          </cell>
          <cell r="C374">
            <v>0</v>
          </cell>
          <cell r="D374">
            <v>0</v>
          </cell>
          <cell r="E374" t="str">
            <v>Cáp thép 3/8"</v>
          </cell>
          <cell r="F374" t="str">
            <v>mét</v>
          </cell>
          <cell r="G374">
            <v>13</v>
          </cell>
          <cell r="H374">
            <v>11025</v>
          </cell>
          <cell r="K374">
            <v>0</v>
          </cell>
          <cell r="M374">
            <v>0</v>
          </cell>
          <cell r="N374">
            <v>143325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</row>
        <row r="375">
          <cell r="B375" t="str">
            <v>YC</v>
          </cell>
          <cell r="C375">
            <v>0</v>
          </cell>
          <cell r="D375">
            <v>0</v>
          </cell>
          <cell r="E375" t="str">
            <v>Yếm cáp dày 2mm</v>
          </cell>
          <cell r="F375" t="str">
            <v>cái</v>
          </cell>
          <cell r="G375">
            <v>2</v>
          </cell>
          <cell r="H375">
            <v>7000</v>
          </cell>
          <cell r="K375">
            <v>0</v>
          </cell>
          <cell r="M375">
            <v>0</v>
          </cell>
          <cell r="N375">
            <v>14000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</row>
        <row r="376">
          <cell r="B376" t="str">
            <v>MANGH</v>
          </cell>
          <cell r="C376">
            <v>0</v>
          </cell>
          <cell r="D376">
            <v>0</v>
          </cell>
          <cell r="E376" t="str">
            <v>Máng che dây chằng dày 0,4x2000mm</v>
          </cell>
          <cell r="F376" t="str">
            <v>cái</v>
          </cell>
          <cell r="G376">
            <v>1</v>
          </cell>
          <cell r="H376">
            <v>53000</v>
          </cell>
          <cell r="K376">
            <v>0</v>
          </cell>
          <cell r="M376">
            <v>0</v>
          </cell>
          <cell r="N376">
            <v>53000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</row>
        <row r="377">
          <cell r="B377" t="str">
            <v>LDN</v>
          </cell>
          <cell r="C377">
            <v>0</v>
          </cell>
          <cell r="D377" t="str">
            <v>D3.3251</v>
          </cell>
          <cell r="E377" t="str">
            <v>Lắp bộ dây néo</v>
          </cell>
          <cell r="F377" t="str">
            <v>bộ</v>
          </cell>
          <cell r="G377">
            <v>1</v>
          </cell>
          <cell r="K377">
            <v>106623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106623</v>
          </cell>
          <cell r="R377">
            <v>0</v>
          </cell>
          <cell r="S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</row>
        <row r="378">
          <cell r="A378" t="str">
            <v>CL10</v>
          </cell>
          <cell r="C378">
            <v>0</v>
          </cell>
          <cell r="E378" t="str">
            <v>Bộ chằng lệch đơn cho trụ 10,5m</v>
          </cell>
          <cell r="F378" t="str">
            <v>Bộ</v>
          </cell>
          <cell r="G378">
            <v>0</v>
          </cell>
          <cell r="N378">
            <v>937275</v>
          </cell>
          <cell r="O378">
            <v>0</v>
          </cell>
          <cell r="P378">
            <v>0</v>
          </cell>
          <cell r="Q378">
            <v>106623</v>
          </cell>
          <cell r="R378">
            <v>0</v>
          </cell>
          <cell r="S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</row>
        <row r="379">
          <cell r="C379">
            <v>0</v>
          </cell>
          <cell r="E379" t="str">
            <v>Mỗi bộ gồm:</v>
          </cell>
        </row>
        <row r="380">
          <cell r="B380" t="str">
            <v>BM16250</v>
          </cell>
          <cell r="C380">
            <v>0</v>
          </cell>
          <cell r="D380">
            <v>0</v>
          </cell>
          <cell r="E380" t="str">
            <v>Boulon mắt 16x250+ long đền vuông D18-50x50x3/Zn</v>
          </cell>
          <cell r="F380" t="str">
            <v>bộ</v>
          </cell>
          <cell r="G380">
            <v>1</v>
          </cell>
          <cell r="H380">
            <v>35000</v>
          </cell>
          <cell r="K380">
            <v>0</v>
          </cell>
          <cell r="M380">
            <v>0</v>
          </cell>
          <cell r="N380">
            <v>35000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</row>
        <row r="381">
          <cell r="B381" t="str">
            <v>SCL</v>
          </cell>
          <cell r="C381">
            <v>0</v>
          </cell>
          <cell r="D381">
            <v>0</v>
          </cell>
          <cell r="E381" t="str">
            <v>Sứ chằng lớn</v>
          </cell>
          <cell r="F381" t="str">
            <v>cái</v>
          </cell>
          <cell r="G381">
            <v>1</v>
          </cell>
          <cell r="H381">
            <v>70000</v>
          </cell>
          <cell r="K381">
            <v>0</v>
          </cell>
          <cell r="M381">
            <v>0</v>
          </cell>
          <cell r="N381">
            <v>70000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</row>
        <row r="382">
          <cell r="B382" t="str">
            <v>K3B42</v>
          </cell>
          <cell r="C382">
            <v>0</v>
          </cell>
          <cell r="D382">
            <v>0</v>
          </cell>
          <cell r="E382" t="str">
            <v>Kẹp cáp 3 boulon B42x130</v>
          </cell>
          <cell r="F382" t="str">
            <v>cái</v>
          </cell>
          <cell r="G382">
            <v>8</v>
          </cell>
          <cell r="H382">
            <v>38000</v>
          </cell>
          <cell r="K382">
            <v>0</v>
          </cell>
          <cell r="M382">
            <v>0</v>
          </cell>
          <cell r="N382">
            <v>304000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</row>
        <row r="383">
          <cell r="B383" t="str">
            <v>C3/8</v>
          </cell>
          <cell r="C383">
            <v>0</v>
          </cell>
          <cell r="D383">
            <v>0</v>
          </cell>
          <cell r="E383" t="str">
            <v>Cáp thép 3/8"</v>
          </cell>
          <cell r="F383" t="str">
            <v>mét</v>
          </cell>
          <cell r="G383">
            <v>11</v>
          </cell>
          <cell r="H383">
            <v>11025</v>
          </cell>
          <cell r="K383">
            <v>0</v>
          </cell>
          <cell r="M383">
            <v>0</v>
          </cell>
          <cell r="N383">
            <v>121275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</row>
        <row r="384">
          <cell r="B384" t="str">
            <v>CL</v>
          </cell>
          <cell r="C384">
            <v>0</v>
          </cell>
          <cell r="D384">
            <v>0</v>
          </cell>
          <cell r="E384" t="str">
            <v>Bộ chống chằng hẹp φ60/50x1500+2BL12x40+BL16x250/80</v>
          </cell>
          <cell r="F384" t="str">
            <v>bộ</v>
          </cell>
          <cell r="G384">
            <v>1</v>
          </cell>
          <cell r="H384">
            <v>340000</v>
          </cell>
          <cell r="K384">
            <v>0</v>
          </cell>
          <cell r="M384">
            <v>0</v>
          </cell>
          <cell r="N384">
            <v>340000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</row>
        <row r="385">
          <cell r="B385" t="str">
            <v>YC</v>
          </cell>
          <cell r="C385">
            <v>0</v>
          </cell>
          <cell r="D385">
            <v>0</v>
          </cell>
          <cell r="E385" t="str">
            <v>Yếm cáp dày 2mm</v>
          </cell>
          <cell r="F385" t="str">
            <v>cái</v>
          </cell>
          <cell r="G385">
            <v>2</v>
          </cell>
          <cell r="H385">
            <v>7000</v>
          </cell>
          <cell r="K385">
            <v>0</v>
          </cell>
          <cell r="M385">
            <v>0</v>
          </cell>
          <cell r="N385">
            <v>14000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</row>
        <row r="386">
          <cell r="B386" t="str">
            <v>MANGH</v>
          </cell>
          <cell r="C386">
            <v>0</v>
          </cell>
          <cell r="D386">
            <v>0</v>
          </cell>
          <cell r="E386" t="str">
            <v>Máng che dây chằng dày 0,4x2000mm</v>
          </cell>
          <cell r="F386" t="str">
            <v>cái</v>
          </cell>
          <cell r="G386">
            <v>1</v>
          </cell>
          <cell r="H386">
            <v>53000</v>
          </cell>
          <cell r="K386">
            <v>0</v>
          </cell>
          <cell r="M386">
            <v>0</v>
          </cell>
          <cell r="N386">
            <v>53000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</row>
        <row r="387">
          <cell r="B387" t="str">
            <v>LDN</v>
          </cell>
          <cell r="C387">
            <v>0</v>
          </cell>
          <cell r="D387" t="str">
            <v>D3.3251</v>
          </cell>
          <cell r="E387" t="str">
            <v>Lắp bộ dây néo</v>
          </cell>
          <cell r="F387" t="str">
            <v>bộ</v>
          </cell>
          <cell r="G387">
            <v>1</v>
          </cell>
          <cell r="K387">
            <v>106623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106623</v>
          </cell>
          <cell r="R387">
            <v>0</v>
          </cell>
          <cell r="S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</row>
        <row r="388">
          <cell r="B388" t="str">
            <v>LCL</v>
          </cell>
          <cell r="C388">
            <v>0</v>
          </cell>
          <cell r="D388" t="str">
            <v>05.6011</v>
          </cell>
          <cell r="E388" t="str">
            <v>Lắp bộ chống lệch</v>
          </cell>
          <cell r="F388" t="str">
            <v>bộ</v>
          </cell>
          <cell r="G388">
            <v>1</v>
          </cell>
          <cell r="K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</row>
        <row r="389">
          <cell r="A389" t="str">
            <v>CX12</v>
          </cell>
          <cell r="C389">
            <v>1</v>
          </cell>
          <cell r="E389" t="str">
            <v>Bộ chằng xuống đơn cho trụ 12m</v>
          </cell>
          <cell r="F389" t="str">
            <v>Bộ</v>
          </cell>
          <cell r="G389">
            <v>70</v>
          </cell>
          <cell r="N389">
            <v>828275</v>
          </cell>
          <cell r="O389">
            <v>0</v>
          </cell>
          <cell r="P389">
            <v>0</v>
          </cell>
          <cell r="Q389">
            <v>106623</v>
          </cell>
          <cell r="R389">
            <v>0</v>
          </cell>
          <cell r="S389">
            <v>0</v>
          </cell>
          <cell r="U389">
            <v>70</v>
          </cell>
          <cell r="V389">
            <v>68</v>
          </cell>
          <cell r="W389">
            <v>0</v>
          </cell>
          <cell r="X389">
            <v>2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</row>
        <row r="390">
          <cell r="C390">
            <v>1</v>
          </cell>
          <cell r="E390" t="str">
            <v>Mỗi bộ gồm:</v>
          </cell>
        </row>
        <row r="391">
          <cell r="B391" t="str">
            <v>BM16250</v>
          </cell>
          <cell r="C391">
            <v>1</v>
          </cell>
          <cell r="D391">
            <v>0</v>
          </cell>
          <cell r="E391" t="str">
            <v>Boulon mắt 16x250+ long đền vuông D18-50x50x3/Zn</v>
          </cell>
          <cell r="F391" t="str">
            <v>bộ</v>
          </cell>
          <cell r="G391">
            <v>1</v>
          </cell>
          <cell r="H391">
            <v>35000</v>
          </cell>
          <cell r="K391">
            <v>0</v>
          </cell>
          <cell r="M391">
            <v>0</v>
          </cell>
          <cell r="N391">
            <v>35000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U391">
            <v>70</v>
          </cell>
          <cell r="V391">
            <v>68</v>
          </cell>
          <cell r="W391">
            <v>0</v>
          </cell>
          <cell r="X391">
            <v>2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</row>
        <row r="392">
          <cell r="B392" t="str">
            <v>SCL</v>
          </cell>
          <cell r="C392">
            <v>1</v>
          </cell>
          <cell r="D392">
            <v>0</v>
          </cell>
          <cell r="E392" t="str">
            <v>Sứ chằng lớn</v>
          </cell>
          <cell r="F392" t="str">
            <v>cái</v>
          </cell>
          <cell r="G392">
            <v>1</v>
          </cell>
          <cell r="H392">
            <v>70000</v>
          </cell>
          <cell r="K392">
            <v>0</v>
          </cell>
          <cell r="M392">
            <v>0</v>
          </cell>
          <cell r="N392">
            <v>70000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U392">
            <v>70</v>
          </cell>
          <cell r="V392">
            <v>68</v>
          </cell>
          <cell r="W392">
            <v>0</v>
          </cell>
          <cell r="X392">
            <v>2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</row>
        <row r="393">
          <cell r="B393" t="str">
            <v>K3B</v>
          </cell>
          <cell r="C393">
            <v>1</v>
          </cell>
          <cell r="D393">
            <v>0</v>
          </cell>
          <cell r="E393" t="str">
            <v>Kẹp cáp 3 boulon B46x136</v>
          </cell>
          <cell r="F393" t="str">
            <v>cái</v>
          </cell>
          <cell r="G393">
            <v>8</v>
          </cell>
          <cell r="H393">
            <v>48000</v>
          </cell>
          <cell r="K393">
            <v>0</v>
          </cell>
          <cell r="M393">
            <v>0</v>
          </cell>
          <cell r="N393">
            <v>384000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U393">
            <v>560</v>
          </cell>
          <cell r="V393">
            <v>544</v>
          </cell>
          <cell r="W393">
            <v>0</v>
          </cell>
          <cell r="X393">
            <v>16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</row>
        <row r="394">
          <cell r="B394" t="str">
            <v>C5/8</v>
          </cell>
          <cell r="C394">
            <v>1</v>
          </cell>
          <cell r="D394">
            <v>0</v>
          </cell>
          <cell r="E394" t="str">
            <v>Cáp thép 5/8" (15m/bộ)</v>
          </cell>
          <cell r="F394" t="str">
            <v>mét</v>
          </cell>
          <cell r="G394">
            <v>15</v>
          </cell>
          <cell r="H394">
            <v>13685</v>
          </cell>
          <cell r="K394">
            <v>0</v>
          </cell>
          <cell r="M394">
            <v>0</v>
          </cell>
          <cell r="N394">
            <v>205275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U394">
            <v>1050</v>
          </cell>
          <cell r="V394">
            <v>1020</v>
          </cell>
          <cell r="W394">
            <v>0</v>
          </cell>
          <cell r="X394">
            <v>30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</row>
        <row r="395">
          <cell r="B395" t="str">
            <v>YC</v>
          </cell>
          <cell r="C395">
            <v>1</v>
          </cell>
          <cell r="D395">
            <v>0</v>
          </cell>
          <cell r="E395" t="str">
            <v>Yếm cáp dày 2mm</v>
          </cell>
          <cell r="F395" t="str">
            <v>cái</v>
          </cell>
          <cell r="G395">
            <v>2</v>
          </cell>
          <cell r="H395">
            <v>7000</v>
          </cell>
          <cell r="K395">
            <v>0</v>
          </cell>
          <cell r="M395">
            <v>0</v>
          </cell>
          <cell r="N395">
            <v>14000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U395">
            <v>140</v>
          </cell>
          <cell r="V395">
            <v>136</v>
          </cell>
          <cell r="W395">
            <v>0</v>
          </cell>
          <cell r="X395">
            <v>4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</row>
        <row r="396">
          <cell r="B396" t="str">
            <v>MANG</v>
          </cell>
          <cell r="C396">
            <v>1</v>
          </cell>
          <cell r="D396">
            <v>0</v>
          </cell>
          <cell r="E396" t="str">
            <v>Máng che dây chằng dày 0,8x2000mm</v>
          </cell>
          <cell r="F396" t="str">
            <v>cái</v>
          </cell>
          <cell r="G396">
            <v>1</v>
          </cell>
          <cell r="H396">
            <v>120000</v>
          </cell>
          <cell r="K396">
            <v>0</v>
          </cell>
          <cell r="M396">
            <v>0</v>
          </cell>
          <cell r="N396">
            <v>120000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U396">
            <v>70</v>
          </cell>
          <cell r="V396">
            <v>68</v>
          </cell>
          <cell r="W396">
            <v>0</v>
          </cell>
          <cell r="X396">
            <v>2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</row>
        <row r="397">
          <cell r="B397" t="str">
            <v>LDN</v>
          </cell>
          <cell r="C397">
            <v>1</v>
          </cell>
          <cell r="D397" t="str">
            <v>D3.3251</v>
          </cell>
          <cell r="E397" t="str">
            <v>Lắp bộ dây néo</v>
          </cell>
          <cell r="F397" t="str">
            <v>bộ</v>
          </cell>
          <cell r="G397">
            <v>1</v>
          </cell>
          <cell r="K397">
            <v>106623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106623</v>
          </cell>
          <cell r="R397">
            <v>0</v>
          </cell>
          <cell r="S397">
            <v>0</v>
          </cell>
          <cell r="U397">
            <v>70</v>
          </cell>
          <cell r="V397">
            <v>68</v>
          </cell>
          <cell r="W397">
            <v>0</v>
          </cell>
          <cell r="X397">
            <v>2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</row>
        <row r="398">
          <cell r="A398" t="str">
            <v>CL12</v>
          </cell>
          <cell r="C398">
            <v>1</v>
          </cell>
          <cell r="E398" t="str">
            <v>Bộ chằng lệch đơn cho trụ 12m</v>
          </cell>
          <cell r="F398" t="str">
            <v>Bộ</v>
          </cell>
          <cell r="G398">
            <v>13</v>
          </cell>
          <cell r="N398">
            <v>1140905</v>
          </cell>
          <cell r="O398">
            <v>0</v>
          </cell>
          <cell r="P398">
            <v>0</v>
          </cell>
          <cell r="Q398">
            <v>106623</v>
          </cell>
          <cell r="R398">
            <v>0</v>
          </cell>
          <cell r="S398">
            <v>0</v>
          </cell>
          <cell r="U398">
            <v>13</v>
          </cell>
          <cell r="V398">
            <v>13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</row>
        <row r="399">
          <cell r="C399">
            <v>1</v>
          </cell>
          <cell r="E399" t="str">
            <v>Mỗi bộ gồm:</v>
          </cell>
        </row>
        <row r="400">
          <cell r="B400" t="str">
            <v>BM16250</v>
          </cell>
          <cell r="C400">
            <v>1</v>
          </cell>
          <cell r="D400">
            <v>0</v>
          </cell>
          <cell r="E400" t="str">
            <v>Boulon mắt 16x250+ long đền vuông D18-50x50x3/Zn</v>
          </cell>
          <cell r="F400" t="str">
            <v>bộ</v>
          </cell>
          <cell r="G400">
            <v>1</v>
          </cell>
          <cell r="H400">
            <v>35000</v>
          </cell>
          <cell r="K400">
            <v>0</v>
          </cell>
          <cell r="M400">
            <v>0</v>
          </cell>
          <cell r="N400">
            <v>35000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U400">
            <v>13</v>
          </cell>
          <cell r="V400">
            <v>13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</row>
        <row r="401">
          <cell r="B401" t="str">
            <v>SCL</v>
          </cell>
          <cell r="C401">
            <v>1</v>
          </cell>
          <cell r="D401">
            <v>0</v>
          </cell>
          <cell r="E401" t="str">
            <v>Sứ chằng lớn</v>
          </cell>
          <cell r="F401" t="str">
            <v>cái</v>
          </cell>
          <cell r="G401">
            <v>1</v>
          </cell>
          <cell r="H401">
            <v>70000</v>
          </cell>
          <cell r="K401">
            <v>0</v>
          </cell>
          <cell r="M401">
            <v>0</v>
          </cell>
          <cell r="N401">
            <v>70000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U401">
            <v>13</v>
          </cell>
          <cell r="V401">
            <v>13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</row>
        <row r="402">
          <cell r="B402" t="str">
            <v>K3B</v>
          </cell>
          <cell r="C402">
            <v>1</v>
          </cell>
          <cell r="D402">
            <v>0</v>
          </cell>
          <cell r="E402" t="str">
            <v>Kẹp cáp 3 boulon B46x136</v>
          </cell>
          <cell r="F402" t="str">
            <v>cái</v>
          </cell>
          <cell r="G402">
            <v>8</v>
          </cell>
          <cell r="H402">
            <v>48000</v>
          </cell>
          <cell r="K402">
            <v>0</v>
          </cell>
          <cell r="M402">
            <v>0</v>
          </cell>
          <cell r="N402">
            <v>384000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U402">
            <v>104</v>
          </cell>
          <cell r="V402">
            <v>104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</row>
        <row r="403">
          <cell r="B403" t="str">
            <v>C5/8</v>
          </cell>
          <cell r="C403">
            <v>1</v>
          </cell>
          <cell r="D403">
            <v>0</v>
          </cell>
          <cell r="E403" t="str">
            <v>Cáp thép 5/8" (13m/bộ)</v>
          </cell>
          <cell r="F403" t="str">
            <v>mét</v>
          </cell>
          <cell r="G403">
            <v>13</v>
          </cell>
          <cell r="H403">
            <v>13685</v>
          </cell>
          <cell r="K403">
            <v>0</v>
          </cell>
          <cell r="M403">
            <v>0</v>
          </cell>
          <cell r="N403">
            <v>177905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U403">
            <v>169</v>
          </cell>
          <cell r="V403">
            <v>169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</row>
        <row r="404">
          <cell r="B404" t="str">
            <v>CL</v>
          </cell>
          <cell r="C404">
            <v>1</v>
          </cell>
          <cell r="D404">
            <v>0</v>
          </cell>
          <cell r="E404" t="str">
            <v>Bộ chống chằng hẹp φ60/50x1500+2BL12x40+BL16x250/80</v>
          </cell>
          <cell r="F404" t="str">
            <v>bộ</v>
          </cell>
          <cell r="G404">
            <v>1</v>
          </cell>
          <cell r="H404">
            <v>340000</v>
          </cell>
          <cell r="K404">
            <v>0</v>
          </cell>
          <cell r="M404">
            <v>0</v>
          </cell>
          <cell r="N404">
            <v>340000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U404">
            <v>13</v>
          </cell>
          <cell r="V404">
            <v>13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</row>
        <row r="405">
          <cell r="B405" t="str">
            <v>YC</v>
          </cell>
          <cell r="C405">
            <v>1</v>
          </cell>
          <cell r="D405">
            <v>0</v>
          </cell>
          <cell r="E405" t="str">
            <v>Yếm cáp dày 2mm</v>
          </cell>
          <cell r="F405" t="str">
            <v>cái</v>
          </cell>
          <cell r="G405">
            <v>2</v>
          </cell>
          <cell r="H405">
            <v>7000</v>
          </cell>
          <cell r="K405">
            <v>0</v>
          </cell>
          <cell r="M405">
            <v>0</v>
          </cell>
          <cell r="N405">
            <v>14000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U405">
            <v>26</v>
          </cell>
          <cell r="V405">
            <v>26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</row>
        <row r="406">
          <cell r="B406" t="str">
            <v>MANG</v>
          </cell>
          <cell r="C406">
            <v>1</v>
          </cell>
          <cell r="D406">
            <v>0</v>
          </cell>
          <cell r="E406" t="str">
            <v>Máng che dây chằng dày 0,8x2000mm</v>
          </cell>
          <cell r="F406" t="str">
            <v>cái</v>
          </cell>
          <cell r="G406">
            <v>1</v>
          </cell>
          <cell r="H406">
            <v>120000</v>
          </cell>
          <cell r="K406">
            <v>0</v>
          </cell>
          <cell r="M406">
            <v>0</v>
          </cell>
          <cell r="N406">
            <v>120000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U406">
            <v>13</v>
          </cell>
          <cell r="V406">
            <v>13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</row>
        <row r="407">
          <cell r="B407" t="str">
            <v>LDN</v>
          </cell>
          <cell r="C407">
            <v>1</v>
          </cell>
          <cell r="D407" t="str">
            <v>D3.3251</v>
          </cell>
          <cell r="E407" t="str">
            <v>Lắp bộ dây néo</v>
          </cell>
          <cell r="F407" t="str">
            <v>bộ</v>
          </cell>
          <cell r="G407">
            <v>1</v>
          </cell>
          <cell r="K407">
            <v>106623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106623</v>
          </cell>
          <cell r="R407">
            <v>0</v>
          </cell>
          <cell r="S407">
            <v>0</v>
          </cell>
          <cell r="U407">
            <v>13</v>
          </cell>
          <cell r="V407">
            <v>13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</row>
        <row r="408">
          <cell r="B408" t="str">
            <v>LCL</v>
          </cell>
          <cell r="C408">
            <v>0</v>
          </cell>
          <cell r="D408" t="str">
            <v>05.6011</v>
          </cell>
          <cell r="E408" t="str">
            <v>Lắp bộ chống lệch</v>
          </cell>
          <cell r="F408" t="str">
            <v>bộ</v>
          </cell>
          <cell r="K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</row>
        <row r="409">
          <cell r="A409" t="str">
            <v>CX14</v>
          </cell>
          <cell r="C409">
            <v>0</v>
          </cell>
          <cell r="E409" t="str">
            <v>Bộ chằng xuống đơn cho trụ 14m</v>
          </cell>
          <cell r="F409" t="str">
            <v>Bộ</v>
          </cell>
          <cell r="G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</row>
        <row r="410">
          <cell r="C410">
            <v>0</v>
          </cell>
          <cell r="E410" t="str">
            <v>Mỗi bộ gồm:</v>
          </cell>
        </row>
        <row r="411">
          <cell r="B411" t="str">
            <v>BM16250</v>
          </cell>
          <cell r="C411">
            <v>0</v>
          </cell>
          <cell r="D411">
            <v>0</v>
          </cell>
          <cell r="E411" t="str">
            <v>Boulon mắt 16x250+ long đền vuông D18-50x50x3/Zn</v>
          </cell>
          <cell r="F411" t="str">
            <v>bộ</v>
          </cell>
          <cell r="H411">
            <v>35000</v>
          </cell>
          <cell r="K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</row>
        <row r="412">
          <cell r="B412" t="str">
            <v>SCL</v>
          </cell>
          <cell r="C412">
            <v>0</v>
          </cell>
          <cell r="D412">
            <v>0</v>
          </cell>
          <cell r="E412" t="str">
            <v>Sứ chằng lớn</v>
          </cell>
          <cell r="F412" t="str">
            <v>cái</v>
          </cell>
          <cell r="H412">
            <v>70000</v>
          </cell>
          <cell r="K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</row>
        <row r="413">
          <cell r="B413" t="str">
            <v>K3B</v>
          </cell>
          <cell r="C413">
            <v>0</v>
          </cell>
          <cell r="D413">
            <v>0</v>
          </cell>
          <cell r="E413" t="str">
            <v>Kẹp cáp 3 boulon B46x136</v>
          </cell>
          <cell r="F413" t="str">
            <v>cái</v>
          </cell>
          <cell r="H413">
            <v>48000</v>
          </cell>
          <cell r="K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</row>
        <row r="414">
          <cell r="B414" t="str">
            <v>C3/8</v>
          </cell>
          <cell r="C414">
            <v>0</v>
          </cell>
          <cell r="D414">
            <v>0</v>
          </cell>
          <cell r="E414" t="str">
            <v>Cáp thép 3/8"</v>
          </cell>
          <cell r="F414" t="str">
            <v>mét</v>
          </cell>
          <cell r="H414">
            <v>11025</v>
          </cell>
          <cell r="K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</row>
        <row r="415">
          <cell r="B415" t="str">
            <v>YC</v>
          </cell>
          <cell r="C415">
            <v>0</v>
          </cell>
          <cell r="D415">
            <v>0</v>
          </cell>
          <cell r="E415" t="str">
            <v>Yếm cáp dày 2mm</v>
          </cell>
          <cell r="F415" t="str">
            <v>cái</v>
          </cell>
          <cell r="H415">
            <v>7000</v>
          </cell>
          <cell r="K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</row>
        <row r="416">
          <cell r="B416" t="str">
            <v>MANG</v>
          </cell>
          <cell r="C416">
            <v>0</v>
          </cell>
          <cell r="D416">
            <v>0</v>
          </cell>
          <cell r="E416" t="str">
            <v>Máng che dây chằng dày 0,8x2000mm</v>
          </cell>
          <cell r="F416" t="str">
            <v>cái</v>
          </cell>
          <cell r="H416">
            <v>120000</v>
          </cell>
          <cell r="K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</row>
        <row r="417">
          <cell r="B417" t="str">
            <v>LDN</v>
          </cell>
          <cell r="C417">
            <v>0</v>
          </cell>
          <cell r="D417" t="str">
            <v>D3.3251</v>
          </cell>
          <cell r="E417" t="str">
            <v>Lắp bộ dây néo</v>
          </cell>
          <cell r="F417" t="str">
            <v>bộ</v>
          </cell>
          <cell r="K417">
            <v>106623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</row>
        <row r="418">
          <cell r="A418" t="str">
            <v>CL14</v>
          </cell>
          <cell r="C418">
            <v>0</v>
          </cell>
          <cell r="E418" t="str">
            <v>Bộ chằng lệch đơn cho trụ 14m</v>
          </cell>
          <cell r="F418" t="str">
            <v>Bộ</v>
          </cell>
          <cell r="G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</row>
        <row r="419">
          <cell r="C419">
            <v>0</v>
          </cell>
          <cell r="E419" t="str">
            <v>Mỗi bộ gồm:</v>
          </cell>
        </row>
        <row r="420">
          <cell r="B420" t="str">
            <v>BM16250</v>
          </cell>
          <cell r="C420">
            <v>0</v>
          </cell>
          <cell r="D420">
            <v>0</v>
          </cell>
          <cell r="E420" t="str">
            <v>Boulon mắt 16x250+ long đền vuông D18-50x50x3/Zn</v>
          </cell>
          <cell r="F420" t="str">
            <v>bộ</v>
          </cell>
          <cell r="H420">
            <v>35000</v>
          </cell>
          <cell r="K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</row>
        <row r="421">
          <cell r="B421" t="str">
            <v>SCL</v>
          </cell>
          <cell r="C421">
            <v>0</v>
          </cell>
          <cell r="D421">
            <v>0</v>
          </cell>
          <cell r="E421" t="str">
            <v>Sứ chằng lớn</v>
          </cell>
          <cell r="F421" t="str">
            <v>cái</v>
          </cell>
          <cell r="H421">
            <v>70000</v>
          </cell>
          <cell r="K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</row>
        <row r="422">
          <cell r="B422" t="str">
            <v>K3B</v>
          </cell>
          <cell r="C422">
            <v>0</v>
          </cell>
          <cell r="D422">
            <v>0</v>
          </cell>
          <cell r="E422" t="str">
            <v>Kẹp cáp 3 boulon B46x136</v>
          </cell>
          <cell r="F422" t="str">
            <v>cái</v>
          </cell>
          <cell r="H422">
            <v>48000</v>
          </cell>
          <cell r="K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</row>
        <row r="423">
          <cell r="B423" t="str">
            <v>C3/8</v>
          </cell>
          <cell r="C423">
            <v>0</v>
          </cell>
          <cell r="D423">
            <v>0</v>
          </cell>
          <cell r="E423" t="str">
            <v>Cáp thép 3/8"</v>
          </cell>
          <cell r="F423" t="str">
            <v>mét</v>
          </cell>
          <cell r="H423">
            <v>11025</v>
          </cell>
          <cell r="K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</row>
        <row r="424">
          <cell r="B424" t="str">
            <v>CL</v>
          </cell>
          <cell r="C424">
            <v>0</v>
          </cell>
          <cell r="D424">
            <v>0</v>
          </cell>
          <cell r="E424" t="str">
            <v>Bộ chống chằng hẹp φ60/50x1500+2BL12x40+BL16x250/80</v>
          </cell>
          <cell r="F424" t="str">
            <v>bộ</v>
          </cell>
          <cell r="H424">
            <v>340000</v>
          </cell>
          <cell r="K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</row>
        <row r="425">
          <cell r="B425" t="str">
            <v>YC</v>
          </cell>
          <cell r="C425">
            <v>0</v>
          </cell>
          <cell r="D425">
            <v>0</v>
          </cell>
          <cell r="E425" t="str">
            <v>Yếm cáp dày 2mm</v>
          </cell>
          <cell r="F425" t="str">
            <v>cái</v>
          </cell>
          <cell r="H425">
            <v>7000</v>
          </cell>
          <cell r="K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</row>
        <row r="426">
          <cell r="B426" t="str">
            <v>MANG</v>
          </cell>
          <cell r="C426">
            <v>0</v>
          </cell>
          <cell r="D426">
            <v>0</v>
          </cell>
          <cell r="E426" t="str">
            <v>Máng che dây chằng dày 0,8x2000mm</v>
          </cell>
          <cell r="F426" t="str">
            <v>cái</v>
          </cell>
          <cell r="H426">
            <v>120000</v>
          </cell>
          <cell r="K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</row>
        <row r="427">
          <cell r="B427" t="str">
            <v>LDN</v>
          </cell>
          <cell r="C427">
            <v>0</v>
          </cell>
          <cell r="D427" t="str">
            <v>D3.3251</v>
          </cell>
          <cell r="E427" t="str">
            <v>Lắp bộ dây néo</v>
          </cell>
          <cell r="F427" t="str">
            <v>bộ</v>
          </cell>
          <cell r="K427">
            <v>106623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</row>
        <row r="428">
          <cell r="B428" t="str">
            <v>LCL</v>
          </cell>
          <cell r="C428">
            <v>0</v>
          </cell>
          <cell r="D428" t="str">
            <v>05.6011</v>
          </cell>
          <cell r="E428" t="str">
            <v>Lắp bộ chống lệch</v>
          </cell>
          <cell r="F428" t="str">
            <v>bộ</v>
          </cell>
          <cell r="K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</row>
        <row r="429">
          <cell r="A429" t="str">
            <v>CKB</v>
          </cell>
          <cell r="C429">
            <v>0</v>
          </cell>
          <cell r="E429" t="str">
            <v>Bộ chằng vượt đơn</v>
          </cell>
          <cell r="F429" t="str">
            <v>Bộ</v>
          </cell>
          <cell r="G429">
            <v>0</v>
          </cell>
          <cell r="N429">
            <v>1489440</v>
          </cell>
          <cell r="O429">
            <v>0</v>
          </cell>
          <cell r="P429">
            <v>0</v>
          </cell>
          <cell r="Q429">
            <v>213246</v>
          </cell>
          <cell r="R429">
            <v>0</v>
          </cell>
          <cell r="S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</row>
        <row r="430">
          <cell r="C430">
            <v>0</v>
          </cell>
          <cell r="E430" t="str">
            <v>Mỗi bộ gồm:</v>
          </cell>
        </row>
        <row r="431">
          <cell r="B431" t="str">
            <v>BM16250</v>
          </cell>
          <cell r="C431">
            <v>0</v>
          </cell>
          <cell r="D431">
            <v>0</v>
          </cell>
          <cell r="E431" t="str">
            <v>Boulon mắt 16x250+ long đền vuông D18-50x50x3/Zn</v>
          </cell>
          <cell r="F431" t="str">
            <v>bộ</v>
          </cell>
          <cell r="G431">
            <v>3</v>
          </cell>
          <cell r="H431">
            <v>35000</v>
          </cell>
          <cell r="K431">
            <v>0</v>
          </cell>
          <cell r="M431">
            <v>0</v>
          </cell>
          <cell r="N431">
            <v>105000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</row>
        <row r="432">
          <cell r="B432" t="str">
            <v>SCL</v>
          </cell>
          <cell r="C432">
            <v>0</v>
          </cell>
          <cell r="D432">
            <v>0</v>
          </cell>
          <cell r="E432" t="str">
            <v>Sứ chằng lớn</v>
          </cell>
          <cell r="F432" t="str">
            <v>cái</v>
          </cell>
          <cell r="G432">
            <v>2</v>
          </cell>
          <cell r="H432">
            <v>70000</v>
          </cell>
          <cell r="K432">
            <v>0</v>
          </cell>
          <cell r="M432">
            <v>0</v>
          </cell>
          <cell r="N432">
            <v>140000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</row>
        <row r="433">
          <cell r="B433" t="str">
            <v>K3B</v>
          </cell>
          <cell r="C433">
            <v>0</v>
          </cell>
          <cell r="D433">
            <v>0</v>
          </cell>
          <cell r="E433" t="str">
            <v>Kẹp cáp 3 boulon B46x136</v>
          </cell>
          <cell r="F433" t="str">
            <v>cái</v>
          </cell>
          <cell r="G433">
            <v>16</v>
          </cell>
          <cell r="H433">
            <v>48000</v>
          </cell>
          <cell r="K433">
            <v>0</v>
          </cell>
          <cell r="M433">
            <v>0</v>
          </cell>
          <cell r="N433">
            <v>768000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</row>
        <row r="434">
          <cell r="B434" t="str">
            <v>C5/8</v>
          </cell>
          <cell r="C434">
            <v>0</v>
          </cell>
          <cell r="D434">
            <v>0</v>
          </cell>
          <cell r="E434" t="str">
            <v>Cáp thép 5/8"</v>
          </cell>
          <cell r="F434" t="str">
            <v>mét</v>
          </cell>
          <cell r="G434">
            <v>24</v>
          </cell>
          <cell r="H434">
            <v>13685</v>
          </cell>
          <cell r="K434">
            <v>0</v>
          </cell>
          <cell r="M434">
            <v>0</v>
          </cell>
          <cell r="N434">
            <v>328440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</row>
        <row r="435">
          <cell r="B435" t="str">
            <v>YC</v>
          </cell>
          <cell r="C435">
            <v>0</v>
          </cell>
          <cell r="D435">
            <v>0</v>
          </cell>
          <cell r="E435" t="str">
            <v>Yếm cáp dày 2mm</v>
          </cell>
          <cell r="F435" t="str">
            <v>cái</v>
          </cell>
          <cell r="G435">
            <v>4</v>
          </cell>
          <cell r="H435">
            <v>7000</v>
          </cell>
          <cell r="K435">
            <v>0</v>
          </cell>
          <cell r="M435">
            <v>0</v>
          </cell>
          <cell r="N435">
            <v>28000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</row>
        <row r="436">
          <cell r="B436" t="str">
            <v>MANG</v>
          </cell>
          <cell r="C436">
            <v>0</v>
          </cell>
          <cell r="D436">
            <v>0</v>
          </cell>
          <cell r="E436" t="str">
            <v>Máng che dây chằng dày 0,8x2000mm</v>
          </cell>
          <cell r="F436" t="str">
            <v>cái</v>
          </cell>
          <cell r="G436">
            <v>1</v>
          </cell>
          <cell r="H436">
            <v>120000</v>
          </cell>
          <cell r="K436">
            <v>0</v>
          </cell>
          <cell r="M436">
            <v>0</v>
          </cell>
          <cell r="N436">
            <v>120000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</row>
        <row r="437">
          <cell r="B437" t="str">
            <v>LDN</v>
          </cell>
          <cell r="C437">
            <v>0</v>
          </cell>
          <cell r="D437" t="str">
            <v>D3.3251</v>
          </cell>
          <cell r="E437" t="str">
            <v>Lắp bộ dây néo</v>
          </cell>
          <cell r="F437" t="str">
            <v>bộ</v>
          </cell>
          <cell r="G437">
            <v>2</v>
          </cell>
          <cell r="K437">
            <v>106623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213246</v>
          </cell>
          <cell r="R437">
            <v>0</v>
          </cell>
          <cell r="S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</row>
        <row r="438">
          <cell r="A438" t="str">
            <v>NXX</v>
          </cell>
          <cell r="C438">
            <v>1</v>
          </cell>
          <cell r="E438" t="str">
            <v>Bộ móng neo xòe cho chằng xuống (TT)</v>
          </cell>
          <cell r="F438" t="str">
            <v>Bộ</v>
          </cell>
          <cell r="G438">
            <v>60</v>
          </cell>
          <cell r="N438">
            <v>421000</v>
          </cell>
          <cell r="O438">
            <v>0</v>
          </cell>
          <cell r="P438">
            <v>245344.902</v>
          </cell>
          <cell r="Q438">
            <v>0</v>
          </cell>
          <cell r="R438">
            <v>0</v>
          </cell>
          <cell r="S438">
            <v>0</v>
          </cell>
          <cell r="U438">
            <v>60</v>
          </cell>
          <cell r="V438">
            <v>58</v>
          </cell>
          <cell r="W438">
            <v>0</v>
          </cell>
          <cell r="X438">
            <v>2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</row>
        <row r="439">
          <cell r="C439">
            <v>1</v>
          </cell>
          <cell r="E439" t="str">
            <v>Mỗi bộ gồm:</v>
          </cell>
        </row>
        <row r="440">
          <cell r="B440" t="str">
            <v>TN2224</v>
          </cell>
          <cell r="C440">
            <v>1</v>
          </cell>
          <cell r="D440">
            <v>0</v>
          </cell>
          <cell r="E440" t="str">
            <v>Ty neo φ22x2400</v>
          </cell>
          <cell r="F440" t="str">
            <v>cái</v>
          </cell>
          <cell r="G440">
            <v>1</v>
          </cell>
          <cell r="H440">
            <v>320000</v>
          </cell>
          <cell r="K440">
            <v>0</v>
          </cell>
          <cell r="M440">
            <v>0</v>
          </cell>
          <cell r="N440">
            <v>320000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U440">
            <v>60</v>
          </cell>
          <cell r="V440">
            <v>58</v>
          </cell>
          <cell r="W440">
            <v>0</v>
          </cell>
          <cell r="X440">
            <v>2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</row>
        <row r="441">
          <cell r="B441" t="str">
            <v>NX</v>
          </cell>
          <cell r="C441">
            <v>1</v>
          </cell>
          <cell r="D441">
            <v>0</v>
          </cell>
          <cell r="E441" t="str">
            <v>Neo xòe 8 hướng (dày 3,2mm)</v>
          </cell>
          <cell r="F441" t="str">
            <v>cái</v>
          </cell>
          <cell r="G441">
            <v>1</v>
          </cell>
          <cell r="H441">
            <v>101000</v>
          </cell>
          <cell r="K441">
            <v>0</v>
          </cell>
          <cell r="M441">
            <v>0</v>
          </cell>
          <cell r="N441">
            <v>101000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U441">
            <v>60</v>
          </cell>
          <cell r="V441">
            <v>58</v>
          </cell>
          <cell r="W441">
            <v>0</v>
          </cell>
          <cell r="X441">
            <v>2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</row>
        <row r="442">
          <cell r="B442" t="str">
            <v>MDD3</v>
          </cell>
          <cell r="C442">
            <v>1</v>
          </cell>
          <cell r="D442" t="str">
            <v>AB.11423</v>
          </cell>
          <cell r="E442" t="str">
            <v>Đào hố móng đất cấp 3 sâu &gt;1m</v>
          </cell>
          <cell r="F442" t="str">
            <v>m3</v>
          </cell>
          <cell r="G442">
            <v>0.45100000000000001</v>
          </cell>
          <cell r="J442">
            <v>418738</v>
          </cell>
          <cell r="M442">
            <v>0</v>
          </cell>
          <cell r="N442">
            <v>0</v>
          </cell>
          <cell r="O442">
            <v>0</v>
          </cell>
          <cell r="P442">
            <v>188850.83800000002</v>
          </cell>
          <cell r="Q442">
            <v>0</v>
          </cell>
          <cell r="R442">
            <v>0</v>
          </cell>
          <cell r="S442">
            <v>0</v>
          </cell>
          <cell r="U442">
            <v>27.060000000000002</v>
          </cell>
          <cell r="V442">
            <v>26.158000000000001</v>
          </cell>
          <cell r="W442">
            <v>0</v>
          </cell>
          <cell r="X442">
            <v>0.90200000000000002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</row>
        <row r="443">
          <cell r="B443" t="str">
            <v>MDAP3</v>
          </cell>
          <cell r="C443">
            <v>1</v>
          </cell>
          <cell r="D443" t="str">
            <v>AB.13113</v>
          </cell>
          <cell r="E443" t="str">
            <v>Đắp đất hố móng (K=0,95)</v>
          </cell>
          <cell r="F443" t="str">
            <v>m3</v>
          </cell>
          <cell r="G443">
            <v>0.45100000000000001</v>
          </cell>
          <cell r="J443">
            <v>125264</v>
          </cell>
          <cell r="M443">
            <v>0</v>
          </cell>
          <cell r="N443">
            <v>0</v>
          </cell>
          <cell r="O443">
            <v>0</v>
          </cell>
          <cell r="P443">
            <v>56494.063999999998</v>
          </cell>
          <cell r="Q443">
            <v>0</v>
          </cell>
          <cell r="R443">
            <v>0</v>
          </cell>
          <cell r="S443">
            <v>0</v>
          </cell>
          <cell r="U443">
            <v>27.060000000000002</v>
          </cell>
          <cell r="V443">
            <v>26.158000000000001</v>
          </cell>
          <cell r="W443">
            <v>0</v>
          </cell>
          <cell r="X443">
            <v>0.90200000000000002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</row>
        <row r="444">
          <cell r="A444" t="str">
            <v>NXL</v>
          </cell>
          <cell r="C444">
            <v>1</v>
          </cell>
          <cell r="E444" t="str">
            <v>Bộ móng neo xòe cho chằng lệch (TT)</v>
          </cell>
          <cell r="F444" t="str">
            <v>Bộ</v>
          </cell>
          <cell r="G444">
            <v>11</v>
          </cell>
          <cell r="N444">
            <v>421000</v>
          </cell>
          <cell r="O444">
            <v>0</v>
          </cell>
          <cell r="P444">
            <v>136544.50200000001</v>
          </cell>
          <cell r="Q444">
            <v>0</v>
          </cell>
          <cell r="R444">
            <v>0</v>
          </cell>
          <cell r="S444">
            <v>0</v>
          </cell>
          <cell r="U444">
            <v>11</v>
          </cell>
          <cell r="V444">
            <v>11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</row>
        <row r="445">
          <cell r="C445">
            <v>1</v>
          </cell>
          <cell r="E445" t="str">
            <v>Mỗi bộ gồm:</v>
          </cell>
        </row>
        <row r="446">
          <cell r="B446" t="str">
            <v>TN2224</v>
          </cell>
          <cell r="C446">
            <v>1</v>
          </cell>
          <cell r="D446">
            <v>0</v>
          </cell>
          <cell r="E446" t="str">
            <v>Ty neo φ22x2400</v>
          </cell>
          <cell r="F446" t="str">
            <v>cái</v>
          </cell>
          <cell r="G446">
            <v>1</v>
          </cell>
          <cell r="H446">
            <v>320000</v>
          </cell>
          <cell r="K446">
            <v>0</v>
          </cell>
          <cell r="M446">
            <v>0</v>
          </cell>
          <cell r="N446">
            <v>320000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U446">
            <v>11</v>
          </cell>
          <cell r="V446">
            <v>11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</row>
        <row r="447">
          <cell r="B447" t="str">
            <v>NX</v>
          </cell>
          <cell r="C447">
            <v>1</v>
          </cell>
          <cell r="D447">
            <v>0</v>
          </cell>
          <cell r="E447" t="str">
            <v>Neo xòe 8 hướng (dày 3,2mm)</v>
          </cell>
          <cell r="F447" t="str">
            <v>cái</v>
          </cell>
          <cell r="G447">
            <v>1</v>
          </cell>
          <cell r="H447">
            <v>101000</v>
          </cell>
          <cell r="K447">
            <v>0</v>
          </cell>
          <cell r="M447">
            <v>0</v>
          </cell>
          <cell r="N447">
            <v>101000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U447">
            <v>11</v>
          </cell>
          <cell r="V447">
            <v>11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</row>
        <row r="448">
          <cell r="B448" t="str">
            <v>MDD3</v>
          </cell>
          <cell r="C448">
            <v>1</v>
          </cell>
          <cell r="D448" t="str">
            <v>AB.11423</v>
          </cell>
          <cell r="E448" t="str">
            <v>Đào hố móng đất cấp 3 sâu &gt;1m</v>
          </cell>
          <cell r="F448" t="str">
            <v>m3</v>
          </cell>
          <cell r="G448">
            <v>0.251</v>
          </cell>
          <cell r="J448">
            <v>418738</v>
          </cell>
          <cell r="M448">
            <v>0</v>
          </cell>
          <cell r="N448">
            <v>0</v>
          </cell>
          <cell r="O448">
            <v>0</v>
          </cell>
          <cell r="P448">
            <v>105103.238</v>
          </cell>
          <cell r="Q448">
            <v>0</v>
          </cell>
          <cell r="R448">
            <v>0</v>
          </cell>
          <cell r="S448">
            <v>0</v>
          </cell>
          <cell r="U448">
            <v>2.7610000000000001</v>
          </cell>
          <cell r="V448">
            <v>2.7610000000000001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</row>
        <row r="449">
          <cell r="B449" t="str">
            <v>MDAP3</v>
          </cell>
          <cell r="C449">
            <v>1</v>
          </cell>
          <cell r="D449" t="str">
            <v>AB.13113</v>
          </cell>
          <cell r="E449" t="str">
            <v>Đắp đất hố móng (K=0,95)</v>
          </cell>
          <cell r="F449" t="str">
            <v>m3</v>
          </cell>
          <cell r="G449">
            <v>0.251</v>
          </cell>
          <cell r="J449">
            <v>125264</v>
          </cell>
          <cell r="M449">
            <v>0</v>
          </cell>
          <cell r="N449">
            <v>0</v>
          </cell>
          <cell r="O449">
            <v>0</v>
          </cell>
          <cell r="P449">
            <v>31441.263999999999</v>
          </cell>
          <cell r="Q449">
            <v>0</v>
          </cell>
          <cell r="R449">
            <v>0</v>
          </cell>
          <cell r="S449">
            <v>0</v>
          </cell>
          <cell r="U449">
            <v>2.7610000000000001</v>
          </cell>
          <cell r="V449">
            <v>2.7610000000000001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</row>
        <row r="450">
          <cell r="A450" t="str">
            <v>NXXD</v>
          </cell>
          <cell r="C450">
            <v>1</v>
          </cell>
          <cell r="E450" t="str">
            <v>Bộ móng neo xòe cho chằng xuống (TT) - Lỗ đá</v>
          </cell>
          <cell r="F450" t="str">
            <v>Bộ</v>
          </cell>
          <cell r="G450">
            <v>10</v>
          </cell>
          <cell r="N450">
            <v>421000</v>
          </cell>
          <cell r="O450">
            <v>0</v>
          </cell>
          <cell r="P450">
            <v>1107718.6400000001</v>
          </cell>
          <cell r="Q450">
            <v>0</v>
          </cell>
          <cell r="R450">
            <v>0</v>
          </cell>
          <cell r="S450">
            <v>0</v>
          </cell>
          <cell r="U450">
            <v>10</v>
          </cell>
          <cell r="V450">
            <v>10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</row>
        <row r="451">
          <cell r="C451">
            <v>1</v>
          </cell>
          <cell r="E451" t="str">
            <v>Mỗi bộ gồm:</v>
          </cell>
        </row>
        <row r="452">
          <cell r="B452" t="str">
            <v>TN2224</v>
          </cell>
          <cell r="C452">
            <v>1</v>
          </cell>
          <cell r="D452">
            <v>0</v>
          </cell>
          <cell r="E452" t="str">
            <v>Ty neo φ22x2400</v>
          </cell>
          <cell r="F452" t="str">
            <v>cái</v>
          </cell>
          <cell r="G452">
            <v>1</v>
          </cell>
          <cell r="H452">
            <v>320000</v>
          </cell>
          <cell r="K452">
            <v>0</v>
          </cell>
          <cell r="M452">
            <v>0</v>
          </cell>
          <cell r="N452">
            <v>320000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U452">
            <v>10</v>
          </cell>
          <cell r="V452">
            <v>10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</row>
        <row r="453">
          <cell r="B453" t="str">
            <v>NX</v>
          </cell>
          <cell r="C453">
            <v>1</v>
          </cell>
          <cell r="D453">
            <v>0</v>
          </cell>
          <cell r="E453" t="str">
            <v>Neo xòe 8 hướng (dày 3,2mm)</v>
          </cell>
          <cell r="F453" t="str">
            <v>cái</v>
          </cell>
          <cell r="G453">
            <v>1</v>
          </cell>
          <cell r="H453">
            <v>101000</v>
          </cell>
          <cell r="K453">
            <v>0</v>
          </cell>
          <cell r="M453">
            <v>0</v>
          </cell>
          <cell r="N453">
            <v>101000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U453">
            <v>10</v>
          </cell>
          <cell r="V453">
            <v>10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</row>
        <row r="454">
          <cell r="B454" t="str">
            <v>MDD31</v>
          </cell>
          <cell r="C454">
            <v>1</v>
          </cell>
          <cell r="D454" t="str">
            <v>AB.11413</v>
          </cell>
          <cell r="E454" t="str">
            <v>Đào hố móng đất cấp 3 sâu &lt;=1m</v>
          </cell>
          <cell r="F454" t="str">
            <v>m3</v>
          </cell>
          <cell r="G454">
            <v>0.4</v>
          </cell>
          <cell r="J454">
            <v>340001</v>
          </cell>
          <cell r="M454">
            <v>0</v>
          </cell>
          <cell r="N454">
            <v>0</v>
          </cell>
          <cell r="O454">
            <v>0</v>
          </cell>
          <cell r="P454">
            <v>136000.4</v>
          </cell>
          <cell r="Q454">
            <v>0</v>
          </cell>
          <cell r="R454">
            <v>0</v>
          </cell>
          <cell r="S454">
            <v>0</v>
          </cell>
          <cell r="U454">
            <v>4</v>
          </cell>
          <cell r="V454">
            <v>4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</row>
        <row r="455">
          <cell r="B455" t="str">
            <v>MDDA3</v>
          </cell>
          <cell r="C455">
            <v>1</v>
          </cell>
          <cell r="D455" t="str">
            <v>AB.11213</v>
          </cell>
          <cell r="E455" t="str">
            <v>Phá đá chân hố móng, đá cấp III</v>
          </cell>
          <cell r="F455" t="str">
            <v>m3</v>
          </cell>
          <cell r="G455">
            <v>1.04</v>
          </cell>
          <cell r="J455">
            <v>760902</v>
          </cell>
          <cell r="M455">
            <v>0</v>
          </cell>
          <cell r="N455">
            <v>0</v>
          </cell>
          <cell r="O455">
            <v>0</v>
          </cell>
          <cell r="P455">
            <v>791338.08000000007</v>
          </cell>
          <cell r="Q455">
            <v>0</v>
          </cell>
          <cell r="R455">
            <v>0</v>
          </cell>
          <cell r="S455">
            <v>0</v>
          </cell>
          <cell r="U455">
            <v>10.4</v>
          </cell>
          <cell r="V455">
            <v>10.4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</row>
        <row r="456">
          <cell r="B456" t="str">
            <v>MDAP3</v>
          </cell>
          <cell r="C456">
            <v>1</v>
          </cell>
          <cell r="D456" t="str">
            <v>AB.13113</v>
          </cell>
          <cell r="E456" t="str">
            <v>Đắp đất hố móng (K=0,95)</v>
          </cell>
          <cell r="F456" t="str">
            <v>m3</v>
          </cell>
          <cell r="G456">
            <v>1.44</v>
          </cell>
          <cell r="J456">
            <v>125264</v>
          </cell>
          <cell r="M456">
            <v>0</v>
          </cell>
          <cell r="N456">
            <v>0</v>
          </cell>
          <cell r="O456">
            <v>0</v>
          </cell>
          <cell r="P456">
            <v>180380.16</v>
          </cell>
          <cell r="Q456">
            <v>0</v>
          </cell>
          <cell r="R456">
            <v>0</v>
          </cell>
          <cell r="S456">
            <v>0</v>
          </cell>
          <cell r="U456">
            <v>14.399999999999999</v>
          </cell>
          <cell r="V456">
            <v>14.399999999999999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</row>
        <row r="457">
          <cell r="A457" t="str">
            <v>NXLD</v>
          </cell>
          <cell r="C457">
            <v>1</v>
          </cell>
          <cell r="E457" t="str">
            <v>Bộ móng neo xòe cho chằng lệch (TT) - Lỗ đá</v>
          </cell>
          <cell r="F457" t="str">
            <v>Bộ</v>
          </cell>
          <cell r="G457">
            <v>2</v>
          </cell>
          <cell r="N457">
            <v>421000</v>
          </cell>
          <cell r="O457">
            <v>0</v>
          </cell>
          <cell r="P457">
            <v>1107718.6400000001</v>
          </cell>
          <cell r="Q457">
            <v>0</v>
          </cell>
          <cell r="R457">
            <v>0</v>
          </cell>
          <cell r="S457">
            <v>0</v>
          </cell>
          <cell r="U457">
            <v>2</v>
          </cell>
          <cell r="V457">
            <v>2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</row>
        <row r="458">
          <cell r="C458">
            <v>1</v>
          </cell>
          <cell r="E458" t="str">
            <v>Mỗi bộ gồm:</v>
          </cell>
        </row>
        <row r="459">
          <cell r="B459" t="str">
            <v>TN2224</v>
          </cell>
          <cell r="C459">
            <v>1</v>
          </cell>
          <cell r="D459">
            <v>0</v>
          </cell>
          <cell r="E459" t="str">
            <v>Ty neo φ22x2400</v>
          </cell>
          <cell r="F459" t="str">
            <v>cái</v>
          </cell>
          <cell r="G459">
            <v>1</v>
          </cell>
          <cell r="H459">
            <v>320000</v>
          </cell>
          <cell r="K459">
            <v>0</v>
          </cell>
          <cell r="M459">
            <v>0</v>
          </cell>
          <cell r="N459">
            <v>320000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U459">
            <v>2</v>
          </cell>
          <cell r="V459">
            <v>2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</row>
        <row r="460">
          <cell r="B460" t="str">
            <v>NX</v>
          </cell>
          <cell r="C460">
            <v>1</v>
          </cell>
          <cell r="D460">
            <v>0</v>
          </cell>
          <cell r="E460" t="str">
            <v>Neo xòe 8 hướng (dày 3,2mm)</v>
          </cell>
          <cell r="F460" t="str">
            <v>cái</v>
          </cell>
          <cell r="G460">
            <v>1</v>
          </cell>
          <cell r="H460">
            <v>101000</v>
          </cell>
          <cell r="K460">
            <v>0</v>
          </cell>
          <cell r="M460">
            <v>0</v>
          </cell>
          <cell r="N460">
            <v>101000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U460">
            <v>2</v>
          </cell>
          <cell r="V460">
            <v>2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</row>
        <row r="461">
          <cell r="B461" t="str">
            <v>MDD31</v>
          </cell>
          <cell r="C461">
            <v>1</v>
          </cell>
          <cell r="D461" t="str">
            <v>AB.11413</v>
          </cell>
          <cell r="E461" t="str">
            <v>Đào hố móng đất cấp 3 sâu &lt;=1m</v>
          </cell>
          <cell r="F461" t="str">
            <v>m3</v>
          </cell>
          <cell r="G461">
            <v>0.4</v>
          </cell>
          <cell r="J461">
            <v>340001</v>
          </cell>
          <cell r="M461">
            <v>0</v>
          </cell>
          <cell r="N461">
            <v>0</v>
          </cell>
          <cell r="O461">
            <v>0</v>
          </cell>
          <cell r="P461">
            <v>136000.4</v>
          </cell>
          <cell r="Q461">
            <v>0</v>
          </cell>
          <cell r="R461">
            <v>0</v>
          </cell>
          <cell r="S461">
            <v>0</v>
          </cell>
          <cell r="U461">
            <v>0.8</v>
          </cell>
          <cell r="V461">
            <v>0.8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</row>
        <row r="462">
          <cell r="B462" t="str">
            <v>MDDA3</v>
          </cell>
          <cell r="C462">
            <v>1</v>
          </cell>
          <cell r="D462" t="str">
            <v>AB.11213</v>
          </cell>
          <cell r="E462" t="str">
            <v>Phá đá chân hố móng, đá cấp III</v>
          </cell>
          <cell r="F462" t="str">
            <v>m3</v>
          </cell>
          <cell r="G462">
            <v>1.04</v>
          </cell>
          <cell r="J462">
            <v>760902</v>
          </cell>
          <cell r="M462">
            <v>0</v>
          </cell>
          <cell r="N462">
            <v>0</v>
          </cell>
          <cell r="O462">
            <v>0</v>
          </cell>
          <cell r="P462">
            <v>791338.08000000007</v>
          </cell>
          <cell r="Q462">
            <v>0</v>
          </cell>
          <cell r="R462">
            <v>0</v>
          </cell>
          <cell r="S462">
            <v>0</v>
          </cell>
          <cell r="U462">
            <v>2.08</v>
          </cell>
          <cell r="V462">
            <v>2.08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</row>
        <row r="463">
          <cell r="B463" t="str">
            <v>MDAP3</v>
          </cell>
          <cell r="C463">
            <v>1</v>
          </cell>
          <cell r="D463" t="str">
            <v>AB.13113</v>
          </cell>
          <cell r="E463" t="str">
            <v>Đắp đất hố móng (K=0,95)</v>
          </cell>
          <cell r="F463" t="str">
            <v>m3</v>
          </cell>
          <cell r="G463">
            <v>1.44</v>
          </cell>
          <cell r="J463">
            <v>125264</v>
          </cell>
          <cell r="M463">
            <v>0</v>
          </cell>
          <cell r="N463">
            <v>0</v>
          </cell>
          <cell r="O463">
            <v>0</v>
          </cell>
          <cell r="P463">
            <v>180380.16</v>
          </cell>
          <cell r="Q463">
            <v>0</v>
          </cell>
          <cell r="R463">
            <v>0</v>
          </cell>
          <cell r="S463">
            <v>0</v>
          </cell>
          <cell r="U463">
            <v>2.88</v>
          </cell>
          <cell r="V463">
            <v>2.88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</row>
        <row r="464">
          <cell r="A464" t="str">
            <v>NXX-H</v>
          </cell>
          <cell r="C464">
            <v>1</v>
          </cell>
          <cell r="E464" t="str">
            <v>Bộ móng neo xòe cho chằng xuống (HT)</v>
          </cell>
          <cell r="F464" t="str">
            <v>Bộ</v>
          </cell>
          <cell r="G464">
            <v>151</v>
          </cell>
          <cell r="N464">
            <v>271000</v>
          </cell>
          <cell r="O464">
            <v>0</v>
          </cell>
          <cell r="P464">
            <v>136544.50200000001</v>
          </cell>
          <cell r="Q464">
            <v>0</v>
          </cell>
          <cell r="R464">
            <v>0</v>
          </cell>
          <cell r="S464">
            <v>0</v>
          </cell>
          <cell r="U464">
            <v>151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151</v>
          </cell>
        </row>
        <row r="465">
          <cell r="C465">
            <v>1</v>
          </cell>
          <cell r="E465" t="str">
            <v>Mỗi bộ gồm:</v>
          </cell>
        </row>
        <row r="466">
          <cell r="B466" t="str">
            <v>TN1624</v>
          </cell>
          <cell r="C466">
            <v>1</v>
          </cell>
          <cell r="D466">
            <v>0</v>
          </cell>
          <cell r="E466" t="str">
            <v>Ty neo φ16x2400</v>
          </cell>
          <cell r="F466" t="str">
            <v>cái</v>
          </cell>
          <cell r="G466">
            <v>1</v>
          </cell>
          <cell r="H466">
            <v>170000</v>
          </cell>
          <cell r="J466">
            <v>0</v>
          </cell>
          <cell r="K466">
            <v>0</v>
          </cell>
          <cell r="M466">
            <v>0</v>
          </cell>
          <cell r="N466">
            <v>170000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U466">
            <v>151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151</v>
          </cell>
        </row>
        <row r="467">
          <cell r="B467" t="str">
            <v>NX</v>
          </cell>
          <cell r="C467">
            <v>1</v>
          </cell>
          <cell r="D467">
            <v>0</v>
          </cell>
          <cell r="E467" t="str">
            <v>Neo xòe 8 hướng (dày 3,2mm)</v>
          </cell>
          <cell r="F467" t="str">
            <v>cái</v>
          </cell>
          <cell r="G467">
            <v>1</v>
          </cell>
          <cell r="H467">
            <v>101000</v>
          </cell>
          <cell r="J467">
            <v>0</v>
          </cell>
          <cell r="K467">
            <v>0</v>
          </cell>
          <cell r="M467">
            <v>0</v>
          </cell>
          <cell r="N467">
            <v>101000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U467">
            <v>151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151</v>
          </cell>
        </row>
        <row r="468">
          <cell r="B468" t="str">
            <v>MDD3</v>
          </cell>
          <cell r="C468">
            <v>1</v>
          </cell>
          <cell r="D468" t="str">
            <v>AB.11423</v>
          </cell>
          <cell r="E468" t="str">
            <v>Đào hố móng đất cấp 3 sâu &gt;1m</v>
          </cell>
          <cell r="F468" t="str">
            <v>m3</v>
          </cell>
          <cell r="G468">
            <v>0.251</v>
          </cell>
          <cell r="J468">
            <v>418738</v>
          </cell>
          <cell r="M468">
            <v>0</v>
          </cell>
          <cell r="N468">
            <v>0</v>
          </cell>
          <cell r="O468">
            <v>0</v>
          </cell>
          <cell r="P468">
            <v>105103.238</v>
          </cell>
          <cell r="Q468">
            <v>0</v>
          </cell>
          <cell r="R468">
            <v>0</v>
          </cell>
          <cell r="S468">
            <v>0</v>
          </cell>
          <cell r="U468">
            <v>37.901000000000003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37.901000000000003</v>
          </cell>
        </row>
        <row r="469">
          <cell r="B469" t="str">
            <v>MDAP3</v>
          </cell>
          <cell r="C469">
            <v>1</v>
          </cell>
          <cell r="D469" t="str">
            <v>AB.13113</v>
          </cell>
          <cell r="E469" t="str">
            <v>Đắp đất hố móng (K=0,95)</v>
          </cell>
          <cell r="F469" t="str">
            <v>m3</v>
          </cell>
          <cell r="G469">
            <v>0.251</v>
          </cell>
          <cell r="J469">
            <v>125264</v>
          </cell>
          <cell r="M469">
            <v>0</v>
          </cell>
          <cell r="N469">
            <v>0</v>
          </cell>
          <cell r="O469">
            <v>0</v>
          </cell>
          <cell r="P469">
            <v>31441.263999999999</v>
          </cell>
          <cell r="Q469">
            <v>0</v>
          </cell>
          <cell r="R469">
            <v>0</v>
          </cell>
          <cell r="S469">
            <v>0</v>
          </cell>
          <cell r="U469">
            <v>37.901000000000003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37.901000000000003</v>
          </cell>
        </row>
        <row r="470">
          <cell r="A470" t="str">
            <v>NXL-H</v>
          </cell>
          <cell r="C470">
            <v>1</v>
          </cell>
          <cell r="E470" t="str">
            <v>Bộ móng neo xòe cho chằng lệch (HT)</v>
          </cell>
          <cell r="F470" t="str">
            <v>Bộ</v>
          </cell>
          <cell r="G470">
            <v>18</v>
          </cell>
          <cell r="N470">
            <v>271000</v>
          </cell>
          <cell r="O470">
            <v>0</v>
          </cell>
          <cell r="P470">
            <v>136544.50200000001</v>
          </cell>
          <cell r="Q470">
            <v>0</v>
          </cell>
          <cell r="R470">
            <v>0</v>
          </cell>
          <cell r="S470">
            <v>0</v>
          </cell>
          <cell r="U470">
            <v>18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18</v>
          </cell>
        </row>
        <row r="471">
          <cell r="C471">
            <v>1</v>
          </cell>
          <cell r="E471" t="str">
            <v>Mỗi bộ gồm:</v>
          </cell>
        </row>
        <row r="472">
          <cell r="B472" t="str">
            <v>TN1624</v>
          </cell>
          <cell r="C472">
            <v>1</v>
          </cell>
          <cell r="D472">
            <v>0</v>
          </cell>
          <cell r="E472" t="str">
            <v>Ty neo φ16x2400</v>
          </cell>
          <cell r="F472" t="str">
            <v>cái</v>
          </cell>
          <cell r="G472">
            <v>1</v>
          </cell>
          <cell r="H472">
            <v>170000</v>
          </cell>
          <cell r="K472">
            <v>0</v>
          </cell>
          <cell r="M472">
            <v>0</v>
          </cell>
          <cell r="N472">
            <v>170000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U472">
            <v>18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18</v>
          </cell>
        </row>
        <row r="473">
          <cell r="B473" t="str">
            <v>NX</v>
          </cell>
          <cell r="C473">
            <v>1</v>
          </cell>
          <cell r="D473">
            <v>0</v>
          </cell>
          <cell r="E473" t="str">
            <v>Neo xòe 8 hướng (dày 3,2mm)</v>
          </cell>
          <cell r="F473" t="str">
            <v>cái</v>
          </cell>
          <cell r="G473">
            <v>1</v>
          </cell>
          <cell r="H473">
            <v>101000</v>
          </cell>
          <cell r="K473">
            <v>0</v>
          </cell>
          <cell r="M473">
            <v>0</v>
          </cell>
          <cell r="N473">
            <v>101000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U473">
            <v>18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18</v>
          </cell>
        </row>
        <row r="474">
          <cell r="B474" t="str">
            <v>MDD3</v>
          </cell>
          <cell r="C474">
            <v>1</v>
          </cell>
          <cell r="D474" t="str">
            <v>AB.11423</v>
          </cell>
          <cell r="E474" t="str">
            <v>Đào hố móng đất cấp 3 sâu &gt;1m</v>
          </cell>
          <cell r="F474" t="str">
            <v>m3</v>
          </cell>
          <cell r="G474">
            <v>0.251</v>
          </cell>
          <cell r="J474">
            <v>418738</v>
          </cell>
          <cell r="M474">
            <v>0</v>
          </cell>
          <cell r="N474">
            <v>0</v>
          </cell>
          <cell r="O474">
            <v>0</v>
          </cell>
          <cell r="P474">
            <v>105103.238</v>
          </cell>
          <cell r="Q474">
            <v>0</v>
          </cell>
          <cell r="R474">
            <v>0</v>
          </cell>
          <cell r="S474">
            <v>0</v>
          </cell>
          <cell r="U474">
            <v>4.5179999999999998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4.5179999999999998</v>
          </cell>
        </row>
        <row r="475">
          <cell r="B475" t="str">
            <v>MDAP3</v>
          </cell>
          <cell r="C475">
            <v>1</v>
          </cell>
          <cell r="D475" t="str">
            <v>AB.13113</v>
          </cell>
          <cell r="E475" t="str">
            <v>Đắp đất hố móng (K=0,95)</v>
          </cell>
          <cell r="F475" t="str">
            <v>m3</v>
          </cell>
          <cell r="G475">
            <v>0.251</v>
          </cell>
          <cell r="J475">
            <v>125264</v>
          </cell>
          <cell r="M475">
            <v>0</v>
          </cell>
          <cell r="N475">
            <v>0</v>
          </cell>
          <cell r="O475">
            <v>0</v>
          </cell>
          <cell r="P475">
            <v>31441.263999999999</v>
          </cell>
          <cell r="Q475">
            <v>0</v>
          </cell>
          <cell r="R475">
            <v>0</v>
          </cell>
          <cell r="S475">
            <v>0</v>
          </cell>
          <cell r="U475">
            <v>4.5179999999999998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4.5179999999999998</v>
          </cell>
        </row>
        <row r="476">
          <cell r="A476" t="str">
            <v>R1</v>
          </cell>
          <cell r="C476">
            <v>1</v>
          </cell>
          <cell r="E476" t="str">
            <v>Bộ Uclevis đỡ dây hạ thế</v>
          </cell>
          <cell r="F476" t="str">
            <v>bộ</v>
          </cell>
          <cell r="G476">
            <v>10</v>
          </cell>
          <cell r="N476">
            <v>34000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U476">
            <v>10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10</v>
          </cell>
        </row>
        <row r="477">
          <cell r="C477">
            <v>1</v>
          </cell>
          <cell r="E477" t="str">
            <v>Mỗi bộ gồm:</v>
          </cell>
        </row>
        <row r="478">
          <cell r="B478" t="str">
            <v>R1</v>
          </cell>
          <cell r="C478">
            <v>1</v>
          </cell>
          <cell r="D478">
            <v>0</v>
          </cell>
          <cell r="E478" t="str">
            <v>Uclevis - 3mm (loại gân) 32</v>
          </cell>
          <cell r="F478" t="str">
            <v>cái</v>
          </cell>
          <cell r="G478">
            <v>1</v>
          </cell>
          <cell r="H478">
            <v>18000</v>
          </cell>
          <cell r="K478">
            <v>0</v>
          </cell>
          <cell r="M478">
            <v>0</v>
          </cell>
          <cell r="N478">
            <v>18000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U478">
            <v>10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10</v>
          </cell>
        </row>
        <row r="479">
          <cell r="B479" t="str">
            <v>SOC</v>
          </cell>
          <cell r="C479">
            <v>1</v>
          </cell>
          <cell r="D479">
            <v>0</v>
          </cell>
          <cell r="E479" t="str">
            <v xml:space="preserve">Sứ ống chỉ </v>
          </cell>
          <cell r="F479" t="str">
            <v>cái</v>
          </cell>
          <cell r="G479">
            <v>1</v>
          </cell>
          <cell r="H479">
            <v>16000</v>
          </cell>
          <cell r="K479">
            <v>0</v>
          </cell>
          <cell r="M479">
            <v>0</v>
          </cell>
          <cell r="N479">
            <v>16000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U479">
            <v>10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10</v>
          </cell>
        </row>
        <row r="480">
          <cell r="A480" t="str">
            <v>R3</v>
          </cell>
          <cell r="C480">
            <v>0</v>
          </cell>
          <cell r="E480" t="str">
            <v>Bộ Rack 3 đỡ dây hạ thế</v>
          </cell>
          <cell r="F480" t="str">
            <v>bộ</v>
          </cell>
          <cell r="G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</row>
        <row r="481">
          <cell r="C481">
            <v>0</v>
          </cell>
          <cell r="E481" t="str">
            <v>Mỗi bộ gồm:</v>
          </cell>
        </row>
        <row r="482">
          <cell r="B482" t="str">
            <v>R3</v>
          </cell>
          <cell r="C482">
            <v>0</v>
          </cell>
          <cell r="D482">
            <v>0</v>
          </cell>
          <cell r="E482" t="str">
            <v>Rack 3 sứ</v>
          </cell>
          <cell r="F482" t="str">
            <v>cái</v>
          </cell>
          <cell r="H482">
            <v>0</v>
          </cell>
          <cell r="K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</row>
        <row r="483">
          <cell r="B483" t="str">
            <v>SOC</v>
          </cell>
          <cell r="C483">
            <v>0</v>
          </cell>
          <cell r="D483">
            <v>0</v>
          </cell>
          <cell r="E483" t="str">
            <v xml:space="preserve">Sứ ống chỉ </v>
          </cell>
          <cell r="F483" t="str">
            <v>cái</v>
          </cell>
          <cell r="H483">
            <v>16000</v>
          </cell>
          <cell r="K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</row>
        <row r="484">
          <cell r="A484" t="str">
            <v>R4</v>
          </cell>
          <cell r="C484">
            <v>0</v>
          </cell>
          <cell r="E484" t="str">
            <v>Bộ Rack 4 đỡ dây hạ thế</v>
          </cell>
          <cell r="F484" t="str">
            <v>bộ</v>
          </cell>
          <cell r="G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</row>
        <row r="485">
          <cell r="C485">
            <v>0</v>
          </cell>
          <cell r="E485" t="str">
            <v>Mỗi bộ gồm:</v>
          </cell>
        </row>
        <row r="486">
          <cell r="B486" t="str">
            <v>R4</v>
          </cell>
          <cell r="C486">
            <v>0</v>
          </cell>
          <cell r="D486">
            <v>0</v>
          </cell>
          <cell r="E486" t="str">
            <v>Rack 4 sứ</v>
          </cell>
          <cell r="F486" t="str">
            <v>cái</v>
          </cell>
          <cell r="H486">
            <v>0</v>
          </cell>
          <cell r="K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</row>
        <row r="487">
          <cell r="B487" t="str">
            <v>SOC</v>
          </cell>
          <cell r="C487">
            <v>0</v>
          </cell>
          <cell r="D487">
            <v>0</v>
          </cell>
          <cell r="E487" t="str">
            <v xml:space="preserve">Sứ ống chỉ </v>
          </cell>
          <cell r="F487" t="str">
            <v>cái</v>
          </cell>
          <cell r="H487">
            <v>16000</v>
          </cell>
          <cell r="K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</row>
        <row r="488">
          <cell r="A488" t="str">
            <v>U-D</v>
          </cell>
          <cell r="C488">
            <v>1</v>
          </cell>
          <cell r="E488" t="str">
            <v>Bộ Uclevis đỡ dây trung hòa (trụ đơn)</v>
          </cell>
          <cell r="F488" t="str">
            <v>bộ</v>
          </cell>
          <cell r="G488">
            <v>126</v>
          </cell>
          <cell r="N488">
            <v>62000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U488">
            <v>126</v>
          </cell>
          <cell r="V488">
            <v>125</v>
          </cell>
          <cell r="W488">
            <v>1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</row>
        <row r="489">
          <cell r="C489">
            <v>1</v>
          </cell>
          <cell r="E489" t="str">
            <v>Mỗi bộ gồm:</v>
          </cell>
        </row>
        <row r="490">
          <cell r="B490" t="str">
            <v>R1</v>
          </cell>
          <cell r="C490">
            <v>1</v>
          </cell>
          <cell r="D490">
            <v>0</v>
          </cell>
          <cell r="E490" t="str">
            <v>Uclevis - 3mm (loại gân) 32</v>
          </cell>
          <cell r="F490" t="str">
            <v>cái</v>
          </cell>
          <cell r="G490">
            <v>1</v>
          </cell>
          <cell r="H490">
            <v>18000</v>
          </cell>
          <cell r="K490">
            <v>0</v>
          </cell>
          <cell r="M490">
            <v>0</v>
          </cell>
          <cell r="N490">
            <v>18000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U490">
            <v>126</v>
          </cell>
          <cell r="V490">
            <v>125</v>
          </cell>
          <cell r="W490">
            <v>1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</row>
        <row r="491">
          <cell r="B491" t="str">
            <v>SOC</v>
          </cell>
          <cell r="C491">
            <v>1</v>
          </cell>
          <cell r="D491">
            <v>0</v>
          </cell>
          <cell r="E491" t="str">
            <v xml:space="preserve">Sứ ống chỉ </v>
          </cell>
          <cell r="F491" t="str">
            <v>cái</v>
          </cell>
          <cell r="G491">
            <v>1</v>
          </cell>
          <cell r="H491">
            <v>16000</v>
          </cell>
          <cell r="K491">
            <v>0</v>
          </cell>
          <cell r="M491">
            <v>0</v>
          </cell>
          <cell r="N491">
            <v>16000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U491">
            <v>126</v>
          </cell>
          <cell r="V491">
            <v>125</v>
          </cell>
          <cell r="W491">
            <v>1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</row>
        <row r="492">
          <cell r="B492" t="str">
            <v>B16250</v>
          </cell>
          <cell r="C492">
            <v>1</v>
          </cell>
          <cell r="D492">
            <v>0</v>
          </cell>
          <cell r="E492" t="str">
            <v>Boulon 16x250+ 2 long đền vuông D18-50x50x3/Zn</v>
          </cell>
          <cell r="F492" t="str">
            <v>bộ</v>
          </cell>
          <cell r="G492">
            <v>1</v>
          </cell>
          <cell r="H492">
            <v>28000</v>
          </cell>
          <cell r="K492">
            <v>0</v>
          </cell>
          <cell r="M492">
            <v>0</v>
          </cell>
          <cell r="N492">
            <v>28000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U492">
            <v>126</v>
          </cell>
          <cell r="V492">
            <v>125</v>
          </cell>
          <cell r="W492">
            <v>1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</row>
        <row r="493">
          <cell r="A493" t="str">
            <v>U-K</v>
          </cell>
          <cell r="C493">
            <v>0</v>
          </cell>
          <cell r="E493" t="str">
            <v>Bộ Uclevis đỡ dây trung hòa trụ ghép</v>
          </cell>
          <cell r="F493" t="str">
            <v>bộ</v>
          </cell>
          <cell r="G493">
            <v>0</v>
          </cell>
          <cell r="N493">
            <v>79000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</row>
        <row r="494">
          <cell r="C494">
            <v>0</v>
          </cell>
          <cell r="E494" t="str">
            <v>Mỗi bộ gồm:</v>
          </cell>
        </row>
        <row r="495">
          <cell r="B495" t="str">
            <v>R1</v>
          </cell>
          <cell r="C495">
            <v>0</v>
          </cell>
          <cell r="D495">
            <v>0</v>
          </cell>
          <cell r="E495" t="str">
            <v>Uclevis - 3mm (loại gân) 32</v>
          </cell>
          <cell r="F495" t="str">
            <v>cái</v>
          </cell>
          <cell r="G495">
            <v>1</v>
          </cell>
          <cell r="H495">
            <v>18000</v>
          </cell>
          <cell r="K495">
            <v>0</v>
          </cell>
          <cell r="M495">
            <v>0</v>
          </cell>
          <cell r="N495">
            <v>18000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</row>
        <row r="496">
          <cell r="B496" t="str">
            <v>SOC</v>
          </cell>
          <cell r="C496">
            <v>0</v>
          </cell>
          <cell r="D496">
            <v>0</v>
          </cell>
          <cell r="E496" t="str">
            <v xml:space="preserve">Sứ ống chỉ </v>
          </cell>
          <cell r="F496" t="str">
            <v>cái</v>
          </cell>
          <cell r="G496">
            <v>1</v>
          </cell>
          <cell r="H496">
            <v>16000</v>
          </cell>
          <cell r="K496">
            <v>0</v>
          </cell>
          <cell r="M496">
            <v>0</v>
          </cell>
          <cell r="N496">
            <v>16000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</row>
        <row r="497">
          <cell r="B497" t="str">
            <v>B16550vr</v>
          </cell>
          <cell r="C497">
            <v>0</v>
          </cell>
          <cell r="D497">
            <v>0</v>
          </cell>
          <cell r="E497" t="str">
            <v>Boulon 16x550VRS + 2 long đền vuông D18-50x50x3/Zn</v>
          </cell>
          <cell r="F497" t="str">
            <v>bộ</v>
          </cell>
          <cell r="G497">
            <v>1</v>
          </cell>
          <cell r="H497">
            <v>45000</v>
          </cell>
          <cell r="K497">
            <v>0</v>
          </cell>
          <cell r="M497">
            <v>0</v>
          </cell>
          <cell r="N497">
            <v>45000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</row>
        <row r="498">
          <cell r="A498" t="str">
            <v>U-X</v>
          </cell>
          <cell r="C498">
            <v>0</v>
          </cell>
          <cell r="E498" t="str">
            <v>Bộ Uclevis đỡ dây trung hòa vào xà</v>
          </cell>
          <cell r="F498" t="str">
            <v>bộ</v>
          </cell>
          <cell r="G498">
            <v>0</v>
          </cell>
          <cell r="N498">
            <v>34000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</row>
        <row r="499">
          <cell r="C499">
            <v>0</v>
          </cell>
          <cell r="E499" t="str">
            <v>Mỗi bộ gồm:</v>
          </cell>
        </row>
        <row r="500">
          <cell r="B500" t="str">
            <v>R1</v>
          </cell>
          <cell r="C500">
            <v>0</v>
          </cell>
          <cell r="D500">
            <v>0</v>
          </cell>
          <cell r="E500" t="str">
            <v>Uclevis - 3mm (loại gân) 32</v>
          </cell>
          <cell r="F500" t="str">
            <v>cái</v>
          </cell>
          <cell r="G500">
            <v>1</v>
          </cell>
          <cell r="H500">
            <v>18000</v>
          </cell>
          <cell r="K500">
            <v>0</v>
          </cell>
          <cell r="M500">
            <v>0</v>
          </cell>
          <cell r="N500">
            <v>18000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</row>
        <row r="501">
          <cell r="B501" t="str">
            <v>SOC</v>
          </cell>
          <cell r="C501">
            <v>0</v>
          </cell>
          <cell r="D501">
            <v>0</v>
          </cell>
          <cell r="E501" t="str">
            <v xml:space="preserve">Sứ ống chỉ </v>
          </cell>
          <cell r="F501" t="str">
            <v>cái</v>
          </cell>
          <cell r="G501">
            <v>1</v>
          </cell>
          <cell r="H501">
            <v>16000</v>
          </cell>
          <cell r="K501">
            <v>0</v>
          </cell>
          <cell r="M501">
            <v>0</v>
          </cell>
          <cell r="N501">
            <v>16000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</row>
        <row r="502">
          <cell r="B502" t="str">
            <v>B16100</v>
          </cell>
          <cell r="C502">
            <v>0</v>
          </cell>
          <cell r="D502">
            <v>0</v>
          </cell>
          <cell r="E502" t="str">
            <v>Boulon 16x100+ 2 long đền vuông D18-50x50x3/Zn</v>
          </cell>
          <cell r="F502" t="str">
            <v>bộ</v>
          </cell>
          <cell r="G502">
            <v>1</v>
          </cell>
          <cell r="H502">
            <v>0</v>
          </cell>
          <cell r="K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</row>
        <row r="503">
          <cell r="A503" t="str">
            <v>KN50</v>
          </cell>
          <cell r="C503">
            <v>1</v>
          </cell>
          <cell r="E503" t="str">
            <v>Bộ khóa néo dây trung hòa vào trụ (cáp trần 50)</v>
          </cell>
          <cell r="F503" t="str">
            <v>bộ</v>
          </cell>
          <cell r="G503">
            <v>76</v>
          </cell>
          <cell r="N503">
            <v>97000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U503">
            <v>76</v>
          </cell>
          <cell r="V503">
            <v>74</v>
          </cell>
          <cell r="W503">
            <v>0</v>
          </cell>
          <cell r="X503">
            <v>2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</row>
        <row r="504">
          <cell r="C504">
            <v>1</v>
          </cell>
          <cell r="E504" t="str">
            <v>Mỗi bộ gồm:</v>
          </cell>
        </row>
        <row r="505">
          <cell r="B505" t="str">
            <v>kn50</v>
          </cell>
          <cell r="C505">
            <v>1</v>
          </cell>
          <cell r="D505">
            <v>0</v>
          </cell>
          <cell r="E505" t="str">
            <v>Khóa néo dây cỡ dây 50 (kẹp dừng dây 3U-3mm)</v>
          </cell>
          <cell r="F505" t="str">
            <v>cái</v>
          </cell>
          <cell r="G505">
            <v>1</v>
          </cell>
          <cell r="H505">
            <v>58000</v>
          </cell>
          <cell r="K505">
            <v>0</v>
          </cell>
          <cell r="M505">
            <v>0</v>
          </cell>
          <cell r="N505">
            <v>58000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U505">
            <v>76</v>
          </cell>
          <cell r="V505">
            <v>74</v>
          </cell>
          <cell r="W505">
            <v>0</v>
          </cell>
          <cell r="X505">
            <v>2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</row>
        <row r="506">
          <cell r="B506" t="str">
            <v>BM16300</v>
          </cell>
          <cell r="C506">
            <v>1</v>
          </cell>
          <cell r="D506">
            <v>0</v>
          </cell>
          <cell r="E506" t="str">
            <v>Boulon mắt 16x300+ long đền vuông D18-50x50x3/Zn</v>
          </cell>
          <cell r="F506" t="str">
            <v>bộ</v>
          </cell>
          <cell r="G506">
            <v>1</v>
          </cell>
          <cell r="H506">
            <v>39000</v>
          </cell>
          <cell r="K506">
            <v>0</v>
          </cell>
          <cell r="M506">
            <v>0</v>
          </cell>
          <cell r="N506">
            <v>39000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U506">
            <v>76</v>
          </cell>
          <cell r="V506">
            <v>74</v>
          </cell>
          <cell r="W506">
            <v>0</v>
          </cell>
          <cell r="X506">
            <v>2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</row>
        <row r="507">
          <cell r="A507" t="str">
            <v>KN70</v>
          </cell>
          <cell r="C507">
            <v>1</v>
          </cell>
          <cell r="E507" t="str">
            <v>Bộ khóa néo dây trung hòa vào trụ (cáp trần 70)</v>
          </cell>
          <cell r="F507" t="str">
            <v>bộ</v>
          </cell>
          <cell r="G507">
            <v>12</v>
          </cell>
          <cell r="N507">
            <v>97000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U507">
            <v>12</v>
          </cell>
          <cell r="V507">
            <v>12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</row>
        <row r="508">
          <cell r="C508">
            <v>1</v>
          </cell>
          <cell r="E508" t="str">
            <v>Mỗi bộ gồm:</v>
          </cell>
        </row>
        <row r="509">
          <cell r="B509" t="str">
            <v>kn70</v>
          </cell>
          <cell r="C509">
            <v>1</v>
          </cell>
          <cell r="D509">
            <v>0</v>
          </cell>
          <cell r="E509" t="str">
            <v>Khóa néo dây cỡ dây 70 (kẹp dừng dây 3U-3mm)</v>
          </cell>
          <cell r="F509" t="str">
            <v>cái</v>
          </cell>
          <cell r="G509">
            <v>1</v>
          </cell>
          <cell r="H509">
            <v>58000</v>
          </cell>
          <cell r="K509">
            <v>0</v>
          </cell>
          <cell r="M509">
            <v>0</v>
          </cell>
          <cell r="N509">
            <v>58000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U509">
            <v>12</v>
          </cell>
          <cell r="V509">
            <v>12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</row>
        <row r="510">
          <cell r="B510" t="str">
            <v>BM16300</v>
          </cell>
          <cell r="C510">
            <v>1</v>
          </cell>
          <cell r="D510">
            <v>0</v>
          </cell>
          <cell r="E510" t="str">
            <v>Boulon mắt 16x300+ long đền vuông D18-50x50x3/Zn</v>
          </cell>
          <cell r="F510" t="str">
            <v>bộ</v>
          </cell>
          <cell r="G510">
            <v>1</v>
          </cell>
          <cell r="H510">
            <v>39000</v>
          </cell>
          <cell r="K510">
            <v>0</v>
          </cell>
          <cell r="M510">
            <v>0</v>
          </cell>
          <cell r="N510">
            <v>39000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U510">
            <v>12</v>
          </cell>
          <cell r="V510">
            <v>12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</row>
        <row r="511">
          <cell r="A511" t="str">
            <v>KN95</v>
          </cell>
          <cell r="C511">
            <v>0</v>
          </cell>
          <cell r="E511" t="str">
            <v>Bộ khóa néo dây trung hòa vào trụ (cáp trần 95)</v>
          </cell>
          <cell r="F511" t="str">
            <v>bộ</v>
          </cell>
          <cell r="G511">
            <v>0</v>
          </cell>
          <cell r="N511">
            <v>165000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</row>
        <row r="512">
          <cell r="C512">
            <v>0</v>
          </cell>
          <cell r="E512" t="str">
            <v>Mỗi bộ gồm:</v>
          </cell>
        </row>
        <row r="513">
          <cell r="B513" t="str">
            <v>kn95</v>
          </cell>
          <cell r="C513">
            <v>0</v>
          </cell>
          <cell r="D513">
            <v>0</v>
          </cell>
          <cell r="E513" t="str">
            <v>Khóa néo dây cỡ dây 95 (kẹp dừng dây 5U-4mm)</v>
          </cell>
          <cell r="F513" t="str">
            <v>cái</v>
          </cell>
          <cell r="G513">
            <v>1</v>
          </cell>
          <cell r="H513">
            <v>126000</v>
          </cell>
          <cell r="K513">
            <v>0</v>
          </cell>
          <cell r="M513">
            <v>0</v>
          </cell>
          <cell r="N513">
            <v>126000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</row>
        <row r="514">
          <cell r="B514" t="str">
            <v>BM16300</v>
          </cell>
          <cell r="C514">
            <v>0</v>
          </cell>
          <cell r="D514">
            <v>0</v>
          </cell>
          <cell r="E514" t="str">
            <v>Boulon mắt 16x300+ long đền vuông D18-50x50x3/Zn</v>
          </cell>
          <cell r="F514" t="str">
            <v>bộ</v>
          </cell>
          <cell r="G514">
            <v>1</v>
          </cell>
          <cell r="H514">
            <v>39000</v>
          </cell>
          <cell r="K514">
            <v>0</v>
          </cell>
          <cell r="M514">
            <v>0</v>
          </cell>
          <cell r="N514">
            <v>39000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</row>
        <row r="515">
          <cell r="A515" t="str">
            <v>KN120</v>
          </cell>
          <cell r="C515">
            <v>0</v>
          </cell>
          <cell r="E515" t="str">
            <v>Bộ khóa néo dây trung hòa vào trụ (cáp trần 120)</v>
          </cell>
          <cell r="F515" t="str">
            <v>bộ</v>
          </cell>
          <cell r="G515">
            <v>0</v>
          </cell>
          <cell r="N515">
            <v>165000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</row>
        <row r="516">
          <cell r="C516">
            <v>0</v>
          </cell>
          <cell r="E516" t="str">
            <v>Mỗi bộ gồm:</v>
          </cell>
        </row>
        <row r="517">
          <cell r="B517" t="str">
            <v>kn120</v>
          </cell>
          <cell r="C517">
            <v>0</v>
          </cell>
          <cell r="D517">
            <v>0</v>
          </cell>
          <cell r="E517" t="str">
            <v>Khóa néo dây cỡ dây 120 (kẹp dừng dây 5U-4mm)</v>
          </cell>
          <cell r="F517" t="str">
            <v>cái</v>
          </cell>
          <cell r="G517">
            <v>1</v>
          </cell>
          <cell r="H517">
            <v>126000</v>
          </cell>
          <cell r="K517">
            <v>0</v>
          </cell>
          <cell r="M517">
            <v>0</v>
          </cell>
          <cell r="N517">
            <v>126000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</row>
        <row r="518">
          <cell r="B518" t="str">
            <v>BM16300</v>
          </cell>
          <cell r="C518">
            <v>0</v>
          </cell>
          <cell r="D518">
            <v>0</v>
          </cell>
          <cell r="E518" t="str">
            <v>Boulon mắt 16x300+ long đền vuông D18-50x50x3/Zn</v>
          </cell>
          <cell r="F518" t="str">
            <v>bộ</v>
          </cell>
          <cell r="G518">
            <v>1</v>
          </cell>
          <cell r="H518">
            <v>39000</v>
          </cell>
          <cell r="K518">
            <v>0</v>
          </cell>
          <cell r="M518">
            <v>0</v>
          </cell>
          <cell r="N518">
            <v>39000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</row>
        <row r="519">
          <cell r="A519" t="str">
            <v>SD</v>
          </cell>
          <cell r="C519">
            <v>1</v>
          </cell>
          <cell r="E519" t="str">
            <v>Bộ cách điện đứng+ty sứ : SĐU</v>
          </cell>
          <cell r="F519" t="str">
            <v>bộ</v>
          </cell>
          <cell r="G519">
            <v>184</v>
          </cell>
          <cell r="N519">
            <v>253000</v>
          </cell>
          <cell r="O519">
            <v>0</v>
          </cell>
          <cell r="P519">
            <v>0</v>
          </cell>
          <cell r="Q519">
            <v>49616</v>
          </cell>
          <cell r="R519">
            <v>0</v>
          </cell>
          <cell r="S519">
            <v>0</v>
          </cell>
          <cell r="U519">
            <v>184</v>
          </cell>
          <cell r="V519">
            <v>184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</row>
        <row r="520">
          <cell r="C520">
            <v>1</v>
          </cell>
          <cell r="E520" t="str">
            <v>Mỗi bộ gồm:</v>
          </cell>
        </row>
        <row r="521">
          <cell r="B521" t="str">
            <v>SD</v>
          </cell>
          <cell r="C521">
            <v>1</v>
          </cell>
          <cell r="D521" t="str">
            <v>D3.1115</v>
          </cell>
          <cell r="E521" t="str">
            <v>Sứ đứng 24KV, đường rò 540mm (bọc chì)</v>
          </cell>
          <cell r="F521" t="str">
            <v>cái</v>
          </cell>
          <cell r="G521">
            <v>1</v>
          </cell>
          <cell r="H521">
            <v>185000</v>
          </cell>
          <cell r="K521">
            <v>49616</v>
          </cell>
          <cell r="M521">
            <v>0</v>
          </cell>
          <cell r="N521">
            <v>185000</v>
          </cell>
          <cell r="O521">
            <v>0</v>
          </cell>
          <cell r="P521">
            <v>0</v>
          </cell>
          <cell r="Q521">
            <v>49616</v>
          </cell>
          <cell r="R521">
            <v>0</v>
          </cell>
          <cell r="S521">
            <v>0</v>
          </cell>
          <cell r="U521">
            <v>184</v>
          </cell>
          <cell r="V521">
            <v>184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</row>
        <row r="522">
          <cell r="B522" t="str">
            <v>CSD</v>
          </cell>
          <cell r="C522">
            <v>1</v>
          </cell>
          <cell r="D522">
            <v>0</v>
          </cell>
          <cell r="E522" t="str">
            <v>Chân sứ đứng 24kV bọc chì</v>
          </cell>
          <cell r="F522" t="str">
            <v>cái</v>
          </cell>
          <cell r="G522">
            <v>1</v>
          </cell>
          <cell r="H522">
            <v>68000</v>
          </cell>
          <cell r="K522">
            <v>0</v>
          </cell>
          <cell r="M522">
            <v>0</v>
          </cell>
          <cell r="N522">
            <v>68000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U522">
            <v>184</v>
          </cell>
          <cell r="V522">
            <v>184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</row>
        <row r="523">
          <cell r="A523" t="str">
            <v>SDI</v>
          </cell>
          <cell r="C523">
            <v>1</v>
          </cell>
          <cell r="E523" t="str">
            <v>Bộ cách điện đỉnh+ty sứ đơn : SĐI</v>
          </cell>
          <cell r="F523" t="str">
            <v>bộ</v>
          </cell>
          <cell r="G523">
            <v>54</v>
          </cell>
          <cell r="N523">
            <v>371000</v>
          </cell>
          <cell r="O523">
            <v>0</v>
          </cell>
          <cell r="P523">
            <v>0</v>
          </cell>
          <cell r="Q523">
            <v>49616</v>
          </cell>
          <cell r="R523">
            <v>0</v>
          </cell>
          <cell r="S523">
            <v>0</v>
          </cell>
          <cell r="U523">
            <v>54</v>
          </cell>
          <cell r="V523">
            <v>53</v>
          </cell>
          <cell r="W523">
            <v>0</v>
          </cell>
          <cell r="X523">
            <v>1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</row>
        <row r="524">
          <cell r="C524">
            <v>1</v>
          </cell>
          <cell r="E524" t="str">
            <v>Mỗi bộ gồm:</v>
          </cell>
        </row>
        <row r="525">
          <cell r="B525" t="str">
            <v>SD</v>
          </cell>
          <cell r="C525">
            <v>1</v>
          </cell>
          <cell r="D525" t="str">
            <v>D3.1115</v>
          </cell>
          <cell r="E525" t="str">
            <v>Sứ đứng 24KV, đường rò 540mm (bọc chì)</v>
          </cell>
          <cell r="F525" t="str">
            <v>cái</v>
          </cell>
          <cell r="G525">
            <v>1</v>
          </cell>
          <cell r="H525">
            <v>185000</v>
          </cell>
          <cell r="K525">
            <v>49616</v>
          </cell>
          <cell r="M525">
            <v>0</v>
          </cell>
          <cell r="N525">
            <v>185000</v>
          </cell>
          <cell r="O525">
            <v>0</v>
          </cell>
          <cell r="P525">
            <v>0</v>
          </cell>
          <cell r="Q525">
            <v>49616</v>
          </cell>
          <cell r="R525">
            <v>0</v>
          </cell>
          <cell r="S525">
            <v>0</v>
          </cell>
          <cell r="U525">
            <v>54</v>
          </cell>
          <cell r="V525">
            <v>53</v>
          </cell>
          <cell r="W525">
            <v>0</v>
          </cell>
          <cell r="X525">
            <v>1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</row>
        <row r="526">
          <cell r="B526" t="str">
            <v>CSDI</v>
          </cell>
          <cell r="C526">
            <v>1</v>
          </cell>
          <cell r="D526">
            <v>0</v>
          </cell>
          <cell r="E526" t="str">
            <v xml:space="preserve">Chân sứ đỉnh thẳng dài 870 dày 4mm bọc chì </v>
          </cell>
          <cell r="F526" t="str">
            <v>cái</v>
          </cell>
          <cell r="G526">
            <v>1</v>
          </cell>
          <cell r="H526">
            <v>130000</v>
          </cell>
          <cell r="K526">
            <v>0</v>
          </cell>
          <cell r="M526">
            <v>0</v>
          </cell>
          <cell r="N526">
            <v>130000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U526">
            <v>54</v>
          </cell>
          <cell r="V526">
            <v>53</v>
          </cell>
          <cell r="W526">
            <v>0</v>
          </cell>
          <cell r="X526">
            <v>1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</row>
        <row r="527">
          <cell r="B527" t="str">
            <v>B16250</v>
          </cell>
          <cell r="C527">
            <v>1</v>
          </cell>
          <cell r="D527">
            <v>0</v>
          </cell>
          <cell r="E527" t="str">
            <v>Boulon 16x250+ 2 long đền vuông D18-50x50x3/Zn</v>
          </cell>
          <cell r="F527" t="str">
            <v>bộ</v>
          </cell>
          <cell r="G527">
            <v>2</v>
          </cell>
          <cell r="H527">
            <v>28000</v>
          </cell>
          <cell r="K527">
            <v>0</v>
          </cell>
          <cell r="M527">
            <v>0</v>
          </cell>
          <cell r="N527">
            <v>56000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U527">
            <v>108</v>
          </cell>
          <cell r="V527">
            <v>106</v>
          </cell>
          <cell r="W527">
            <v>0</v>
          </cell>
          <cell r="X527">
            <v>2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</row>
        <row r="528">
          <cell r="A528" t="str">
            <v>SDG</v>
          </cell>
          <cell r="C528">
            <v>1</v>
          </cell>
          <cell r="E528" t="str">
            <v>Bộ cách điện đỉnh góc + ty sứ đơn : SĐG</v>
          </cell>
          <cell r="F528" t="str">
            <v>bộ</v>
          </cell>
          <cell r="G528">
            <v>74</v>
          </cell>
          <cell r="N528">
            <v>710000</v>
          </cell>
          <cell r="O528">
            <v>0</v>
          </cell>
          <cell r="P528">
            <v>0</v>
          </cell>
          <cell r="Q528">
            <v>99232</v>
          </cell>
          <cell r="R528">
            <v>0</v>
          </cell>
          <cell r="S528">
            <v>0</v>
          </cell>
          <cell r="U528">
            <v>74</v>
          </cell>
          <cell r="V528">
            <v>73</v>
          </cell>
          <cell r="W528">
            <v>1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</row>
        <row r="529">
          <cell r="C529">
            <v>1</v>
          </cell>
          <cell r="E529" t="str">
            <v>Mỗi bộ gồm:</v>
          </cell>
        </row>
        <row r="530">
          <cell r="B530" t="str">
            <v>SD</v>
          </cell>
          <cell r="C530">
            <v>1</v>
          </cell>
          <cell r="D530" t="str">
            <v>D3.1115</v>
          </cell>
          <cell r="E530" t="str">
            <v>Sứ đứng 24KV, đường rò 540mm (bọc chì)</v>
          </cell>
          <cell r="F530" t="str">
            <v>cái</v>
          </cell>
          <cell r="G530">
            <v>2</v>
          </cell>
          <cell r="H530">
            <v>185000</v>
          </cell>
          <cell r="K530">
            <v>49616</v>
          </cell>
          <cell r="M530">
            <v>0</v>
          </cell>
          <cell r="N530">
            <v>370000</v>
          </cell>
          <cell r="O530">
            <v>0</v>
          </cell>
          <cell r="P530">
            <v>0</v>
          </cell>
          <cell r="Q530">
            <v>99232</v>
          </cell>
          <cell r="R530">
            <v>0</v>
          </cell>
          <cell r="S530">
            <v>0</v>
          </cell>
          <cell r="U530">
            <v>148</v>
          </cell>
          <cell r="V530">
            <v>146</v>
          </cell>
          <cell r="W530">
            <v>2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</row>
        <row r="531">
          <cell r="B531" t="str">
            <v>CSDG</v>
          </cell>
          <cell r="C531">
            <v>1</v>
          </cell>
          <cell r="D531">
            <v>0</v>
          </cell>
          <cell r="E531" t="str">
            <v>Chân sứ đỉnh cong dài 870 dày 4mm bọc chì</v>
          </cell>
          <cell r="F531" t="str">
            <v>cái</v>
          </cell>
          <cell r="G531">
            <v>2</v>
          </cell>
          <cell r="H531">
            <v>140000</v>
          </cell>
          <cell r="K531">
            <v>0</v>
          </cell>
          <cell r="M531">
            <v>0</v>
          </cell>
          <cell r="N531">
            <v>280000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U531">
            <v>148</v>
          </cell>
          <cell r="V531">
            <v>146</v>
          </cell>
          <cell r="W531">
            <v>2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</row>
        <row r="532">
          <cell r="B532" t="str">
            <v>B16300</v>
          </cell>
          <cell r="C532">
            <v>1</v>
          </cell>
          <cell r="D532">
            <v>0</v>
          </cell>
          <cell r="E532" t="str">
            <v>Boulon 16x300+ 2 long đền vuông D18-50x50x3/Zn</v>
          </cell>
          <cell r="F532" t="str">
            <v>bộ</v>
          </cell>
          <cell r="G532">
            <v>2</v>
          </cell>
          <cell r="H532">
            <v>30000</v>
          </cell>
          <cell r="K532">
            <v>0</v>
          </cell>
          <cell r="M532">
            <v>0</v>
          </cell>
          <cell r="N532">
            <v>60000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U532">
            <v>148</v>
          </cell>
          <cell r="V532">
            <v>146</v>
          </cell>
          <cell r="W532">
            <v>2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</row>
        <row r="533">
          <cell r="A533" t="str">
            <v>PLY50X</v>
          </cell>
          <cell r="C533">
            <v>0</v>
          </cell>
          <cell r="E533" t="str">
            <v>Bộ sứ treo Polymer 25kV lắp vào xà (cáp bọc 50)</v>
          </cell>
          <cell r="F533" t="str">
            <v>bộ</v>
          </cell>
          <cell r="G533">
            <v>0</v>
          </cell>
          <cell r="N533">
            <v>612000</v>
          </cell>
          <cell r="O533">
            <v>0</v>
          </cell>
          <cell r="P533">
            <v>0</v>
          </cell>
          <cell r="Q533">
            <v>59709</v>
          </cell>
          <cell r="R533">
            <v>0</v>
          </cell>
          <cell r="S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</row>
        <row r="534">
          <cell r="C534">
            <v>0</v>
          </cell>
          <cell r="E534" t="str">
            <v>Mỗi bộ gồm:</v>
          </cell>
        </row>
        <row r="535">
          <cell r="B535" t="str">
            <v>Stply</v>
          </cell>
          <cell r="C535">
            <v>0</v>
          </cell>
          <cell r="D535" t="str">
            <v>D3.2411</v>
          </cell>
          <cell r="E535" t="str">
            <v>Sứ treo polymer</v>
          </cell>
          <cell r="F535" t="str">
            <v>chuỗi</v>
          </cell>
          <cell r="G535">
            <v>1</v>
          </cell>
          <cell r="H535">
            <v>210000</v>
          </cell>
          <cell r="K535">
            <v>59709</v>
          </cell>
          <cell r="M535">
            <v>0</v>
          </cell>
          <cell r="N535">
            <v>210000</v>
          </cell>
          <cell r="O535">
            <v>0</v>
          </cell>
          <cell r="P535">
            <v>0</v>
          </cell>
          <cell r="Q535">
            <v>59709</v>
          </cell>
          <cell r="R535">
            <v>0</v>
          </cell>
          <cell r="S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</row>
        <row r="536">
          <cell r="B536" t="str">
            <v>MT-D</v>
          </cell>
          <cell r="C536">
            <v>0</v>
          </cell>
          <cell r="D536">
            <v>0</v>
          </cell>
          <cell r="E536" t="str">
            <v>Móc treo chữ U D16-100</v>
          </cell>
          <cell r="F536" t="str">
            <v>cái</v>
          </cell>
          <cell r="G536">
            <v>1</v>
          </cell>
          <cell r="H536">
            <v>28000</v>
          </cell>
          <cell r="K536">
            <v>0</v>
          </cell>
          <cell r="M536">
            <v>0</v>
          </cell>
          <cell r="N536">
            <v>28000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</row>
        <row r="537">
          <cell r="B537" t="str">
            <v>GNIU50</v>
          </cell>
          <cell r="C537">
            <v>0</v>
          </cell>
          <cell r="D537">
            <v>0</v>
          </cell>
          <cell r="E537" t="str">
            <v>Giáp níu dừng dây bọc 50 + Yếm móng U + Mắt nối yếm</v>
          </cell>
          <cell r="F537" t="str">
            <v>bộ</v>
          </cell>
          <cell r="G537">
            <v>1</v>
          </cell>
          <cell r="H537">
            <v>374000</v>
          </cell>
          <cell r="K537">
            <v>0</v>
          </cell>
          <cell r="M537">
            <v>0</v>
          </cell>
          <cell r="N537">
            <v>374000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</row>
        <row r="538">
          <cell r="A538" t="str">
            <v>PLY70X</v>
          </cell>
          <cell r="C538">
            <v>1</v>
          </cell>
          <cell r="E538" t="str">
            <v>Bộ sứ treo Polymer 25kV lắp vào xà (cáp bọc 70)</v>
          </cell>
          <cell r="F538" t="str">
            <v>bộ</v>
          </cell>
          <cell r="G538">
            <v>72</v>
          </cell>
          <cell r="N538">
            <v>612000</v>
          </cell>
          <cell r="O538">
            <v>0</v>
          </cell>
          <cell r="P538">
            <v>0</v>
          </cell>
          <cell r="Q538">
            <v>59709</v>
          </cell>
          <cell r="R538">
            <v>0</v>
          </cell>
          <cell r="S538">
            <v>0</v>
          </cell>
          <cell r="U538">
            <v>72</v>
          </cell>
          <cell r="V538">
            <v>72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</row>
        <row r="539">
          <cell r="C539">
            <v>1</v>
          </cell>
          <cell r="E539" t="str">
            <v>Mỗi bộ gồm:</v>
          </cell>
        </row>
        <row r="540">
          <cell r="B540" t="str">
            <v>Stply</v>
          </cell>
          <cell r="C540">
            <v>1</v>
          </cell>
          <cell r="D540" t="str">
            <v>D3.2411</v>
          </cell>
          <cell r="E540" t="str">
            <v>Sứ treo polymer</v>
          </cell>
          <cell r="F540" t="str">
            <v>chuỗi</v>
          </cell>
          <cell r="G540">
            <v>1</v>
          </cell>
          <cell r="H540">
            <v>210000</v>
          </cell>
          <cell r="K540">
            <v>59709</v>
          </cell>
          <cell r="M540">
            <v>0</v>
          </cell>
          <cell r="N540">
            <v>210000</v>
          </cell>
          <cell r="O540">
            <v>0</v>
          </cell>
          <cell r="P540">
            <v>0</v>
          </cell>
          <cell r="Q540">
            <v>59709</v>
          </cell>
          <cell r="R540">
            <v>0</v>
          </cell>
          <cell r="S540">
            <v>0</v>
          </cell>
          <cell r="U540">
            <v>72</v>
          </cell>
          <cell r="V540">
            <v>72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</row>
        <row r="541">
          <cell r="B541" t="str">
            <v>MT-D</v>
          </cell>
          <cell r="C541">
            <v>1</v>
          </cell>
          <cell r="D541">
            <v>0</v>
          </cell>
          <cell r="E541" t="str">
            <v>Móc treo chữ U D16-100</v>
          </cell>
          <cell r="F541" t="str">
            <v>cái</v>
          </cell>
          <cell r="G541">
            <v>1</v>
          </cell>
          <cell r="H541">
            <v>28000</v>
          </cell>
          <cell r="K541">
            <v>0</v>
          </cell>
          <cell r="M541">
            <v>0</v>
          </cell>
          <cell r="N541">
            <v>28000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U541">
            <v>72</v>
          </cell>
          <cell r="V541">
            <v>72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</row>
        <row r="542">
          <cell r="B542" t="str">
            <v>GNIU70</v>
          </cell>
          <cell r="C542">
            <v>1</v>
          </cell>
          <cell r="D542">
            <v>0</v>
          </cell>
          <cell r="E542" t="str">
            <v>Giáp níu dừng dây bọc 70 + Yếm móng U + Mắt nối yếm</v>
          </cell>
          <cell r="F542" t="str">
            <v>bộ</v>
          </cell>
          <cell r="G542">
            <v>1</v>
          </cell>
          <cell r="H542">
            <v>374000</v>
          </cell>
          <cell r="K542">
            <v>0</v>
          </cell>
          <cell r="M542">
            <v>0</v>
          </cell>
          <cell r="N542">
            <v>374000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U542">
            <v>72</v>
          </cell>
          <cell r="V542">
            <v>72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</row>
        <row r="543">
          <cell r="A543" t="str">
            <v>PLY95X</v>
          </cell>
          <cell r="C543">
            <v>1</v>
          </cell>
          <cell r="E543" t="str">
            <v>Bộ sứ treo Polymer 25kV lắp vào xà (cáp bọc 95)</v>
          </cell>
          <cell r="F543" t="str">
            <v>bộ</v>
          </cell>
          <cell r="G543">
            <v>36</v>
          </cell>
          <cell r="N543">
            <v>632000</v>
          </cell>
          <cell r="O543">
            <v>0</v>
          </cell>
          <cell r="P543">
            <v>0</v>
          </cell>
          <cell r="Q543">
            <v>59709</v>
          </cell>
          <cell r="R543">
            <v>0</v>
          </cell>
          <cell r="S543">
            <v>0</v>
          </cell>
          <cell r="U543">
            <v>36</v>
          </cell>
          <cell r="V543">
            <v>36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</row>
        <row r="544">
          <cell r="C544">
            <v>1</v>
          </cell>
          <cell r="E544" t="str">
            <v>Mỗi bộ gồm:</v>
          </cell>
        </row>
        <row r="545">
          <cell r="B545" t="str">
            <v>Stply</v>
          </cell>
          <cell r="C545">
            <v>1</v>
          </cell>
          <cell r="D545" t="str">
            <v>D3.2411</v>
          </cell>
          <cell r="E545" t="str">
            <v>Sứ treo polymer</v>
          </cell>
          <cell r="F545" t="str">
            <v>chuỗi</v>
          </cell>
          <cell r="G545">
            <v>1</v>
          </cell>
          <cell r="H545">
            <v>210000</v>
          </cell>
          <cell r="K545">
            <v>59709</v>
          </cell>
          <cell r="M545">
            <v>0</v>
          </cell>
          <cell r="N545">
            <v>210000</v>
          </cell>
          <cell r="O545">
            <v>0</v>
          </cell>
          <cell r="P545">
            <v>0</v>
          </cell>
          <cell r="Q545">
            <v>59709</v>
          </cell>
          <cell r="R545">
            <v>0</v>
          </cell>
          <cell r="S545">
            <v>0</v>
          </cell>
          <cell r="U545">
            <v>36</v>
          </cell>
          <cell r="V545">
            <v>36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</row>
        <row r="546">
          <cell r="B546" t="str">
            <v>MT-D</v>
          </cell>
          <cell r="C546">
            <v>1</v>
          </cell>
          <cell r="D546">
            <v>0</v>
          </cell>
          <cell r="E546" t="str">
            <v>Móc treo chữ U D16-100</v>
          </cell>
          <cell r="F546" t="str">
            <v>cái</v>
          </cell>
          <cell r="G546">
            <v>1</v>
          </cell>
          <cell r="H546">
            <v>28000</v>
          </cell>
          <cell r="K546">
            <v>0</v>
          </cell>
          <cell r="M546">
            <v>0</v>
          </cell>
          <cell r="N546">
            <v>28000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U546">
            <v>36</v>
          </cell>
          <cell r="V546">
            <v>36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</row>
        <row r="547">
          <cell r="B547" t="str">
            <v>GNIU95</v>
          </cell>
          <cell r="C547">
            <v>1</v>
          </cell>
          <cell r="D547">
            <v>0</v>
          </cell>
          <cell r="E547" t="str">
            <v>Giáp níu dừng dây bọc 95 + Yếm móng U + Mắt nối yếm</v>
          </cell>
          <cell r="F547" t="str">
            <v>bộ</v>
          </cell>
          <cell r="G547">
            <v>1</v>
          </cell>
          <cell r="H547">
            <v>394000</v>
          </cell>
          <cell r="K547">
            <v>0</v>
          </cell>
          <cell r="M547">
            <v>0</v>
          </cell>
          <cell r="N547">
            <v>394000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U547">
            <v>36</v>
          </cell>
          <cell r="V547">
            <v>36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</row>
        <row r="548">
          <cell r="A548" t="str">
            <v>PLY120X</v>
          </cell>
          <cell r="C548">
            <v>0</v>
          </cell>
          <cell r="E548" t="str">
            <v>Bộ sứ treo Polymer 25kV lắp vào xà (cáp bọc 120)</v>
          </cell>
          <cell r="F548" t="str">
            <v>bộ</v>
          </cell>
          <cell r="G548">
            <v>0</v>
          </cell>
          <cell r="N548">
            <v>687000</v>
          </cell>
          <cell r="O548">
            <v>0</v>
          </cell>
          <cell r="P548">
            <v>0</v>
          </cell>
          <cell r="Q548">
            <v>59709</v>
          </cell>
          <cell r="R548">
            <v>0</v>
          </cell>
          <cell r="S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</row>
        <row r="549">
          <cell r="C549">
            <v>0</v>
          </cell>
          <cell r="E549" t="str">
            <v>Mỗi bộ gồm:</v>
          </cell>
        </row>
        <row r="550">
          <cell r="B550" t="str">
            <v>Stply</v>
          </cell>
          <cell r="C550">
            <v>0</v>
          </cell>
          <cell r="D550" t="str">
            <v>D3.2411</v>
          </cell>
          <cell r="E550" t="str">
            <v>Sứ treo polymer</v>
          </cell>
          <cell r="F550" t="str">
            <v>chuỗi</v>
          </cell>
          <cell r="G550">
            <v>1</v>
          </cell>
          <cell r="H550">
            <v>210000</v>
          </cell>
          <cell r="K550">
            <v>59709</v>
          </cell>
          <cell r="M550">
            <v>0</v>
          </cell>
          <cell r="N550">
            <v>210000</v>
          </cell>
          <cell r="O550">
            <v>0</v>
          </cell>
          <cell r="P550">
            <v>0</v>
          </cell>
          <cell r="Q550">
            <v>59709</v>
          </cell>
          <cell r="R550">
            <v>0</v>
          </cell>
          <cell r="S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</row>
        <row r="551">
          <cell r="B551" t="str">
            <v>MT-D</v>
          </cell>
          <cell r="C551">
            <v>0</v>
          </cell>
          <cell r="D551">
            <v>0</v>
          </cell>
          <cell r="E551" t="str">
            <v>Móc treo chữ U D16-100</v>
          </cell>
          <cell r="F551" t="str">
            <v>cái</v>
          </cell>
          <cell r="G551">
            <v>1</v>
          </cell>
          <cell r="H551">
            <v>28000</v>
          </cell>
          <cell r="K551">
            <v>0</v>
          </cell>
          <cell r="M551">
            <v>0</v>
          </cell>
          <cell r="N551">
            <v>28000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</row>
        <row r="552">
          <cell r="B552" t="str">
            <v>GNIU120</v>
          </cell>
          <cell r="C552">
            <v>0</v>
          </cell>
          <cell r="D552">
            <v>0</v>
          </cell>
          <cell r="E552" t="str">
            <v>Giáp níu dừng dây bọc 120 + Yếm móng U + Mắt nối yếm</v>
          </cell>
          <cell r="F552" t="str">
            <v>bộ</v>
          </cell>
          <cell r="G552">
            <v>1</v>
          </cell>
          <cell r="H552">
            <v>449000</v>
          </cell>
          <cell r="K552">
            <v>0</v>
          </cell>
          <cell r="M552">
            <v>0</v>
          </cell>
          <cell r="N552">
            <v>449000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</row>
        <row r="553">
          <cell r="A553" t="str">
            <v>PLY150X</v>
          </cell>
          <cell r="C553">
            <v>0</v>
          </cell>
          <cell r="E553" t="str">
            <v>Bộ sứ treo Polymer 25kV lắp vào xà (cáp bọc 150)</v>
          </cell>
          <cell r="F553" t="str">
            <v>bộ</v>
          </cell>
          <cell r="G553">
            <v>0</v>
          </cell>
          <cell r="N553">
            <v>687000</v>
          </cell>
          <cell r="O553">
            <v>0</v>
          </cell>
          <cell r="P553">
            <v>0</v>
          </cell>
          <cell r="Q553">
            <v>59709</v>
          </cell>
          <cell r="R553">
            <v>0</v>
          </cell>
          <cell r="S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</row>
        <row r="554">
          <cell r="C554">
            <v>0</v>
          </cell>
          <cell r="E554" t="str">
            <v>Mỗi bộ gồm:</v>
          </cell>
        </row>
        <row r="555">
          <cell r="B555" t="str">
            <v>Stply</v>
          </cell>
          <cell r="C555">
            <v>0</v>
          </cell>
          <cell r="D555" t="str">
            <v>D3.2411</v>
          </cell>
          <cell r="E555" t="str">
            <v>Sứ treo polymer</v>
          </cell>
          <cell r="F555" t="str">
            <v>chuỗi</v>
          </cell>
          <cell r="G555">
            <v>1</v>
          </cell>
          <cell r="H555">
            <v>210000</v>
          </cell>
          <cell r="K555">
            <v>59709</v>
          </cell>
          <cell r="M555">
            <v>0</v>
          </cell>
          <cell r="N555">
            <v>210000</v>
          </cell>
          <cell r="O555">
            <v>0</v>
          </cell>
          <cell r="P555">
            <v>0</v>
          </cell>
          <cell r="Q555">
            <v>59709</v>
          </cell>
          <cell r="R555">
            <v>0</v>
          </cell>
          <cell r="S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</row>
        <row r="556">
          <cell r="B556" t="str">
            <v>MT-D</v>
          </cell>
          <cell r="C556">
            <v>0</v>
          </cell>
          <cell r="D556">
            <v>0</v>
          </cell>
          <cell r="E556" t="str">
            <v>Móc treo chữ U D16-100</v>
          </cell>
          <cell r="F556" t="str">
            <v>cái</v>
          </cell>
          <cell r="G556">
            <v>1</v>
          </cell>
          <cell r="H556">
            <v>28000</v>
          </cell>
          <cell r="K556">
            <v>0</v>
          </cell>
          <cell r="M556">
            <v>0</v>
          </cell>
          <cell r="N556">
            <v>28000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</row>
        <row r="557">
          <cell r="B557" t="str">
            <v>GNIU150</v>
          </cell>
          <cell r="C557">
            <v>0</v>
          </cell>
          <cell r="D557">
            <v>0</v>
          </cell>
          <cell r="E557" t="str">
            <v>Giáp níu dừng dây bọc 150 + Yếm móng U + Mắt nối yếm</v>
          </cell>
          <cell r="F557" t="str">
            <v>bộ</v>
          </cell>
          <cell r="G557">
            <v>1</v>
          </cell>
          <cell r="H557">
            <v>449000</v>
          </cell>
          <cell r="K557">
            <v>0</v>
          </cell>
          <cell r="M557">
            <v>0</v>
          </cell>
          <cell r="N557">
            <v>449000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</row>
        <row r="558">
          <cell r="A558" t="str">
            <v>PLY185X</v>
          </cell>
          <cell r="C558">
            <v>0</v>
          </cell>
          <cell r="E558" t="str">
            <v>Bộ sứ treo Polymer 25kV lắp vào xà (cáp bọc 185)</v>
          </cell>
          <cell r="F558" t="str">
            <v>bộ</v>
          </cell>
          <cell r="G558">
            <v>0</v>
          </cell>
          <cell r="N558">
            <v>238000</v>
          </cell>
          <cell r="O558">
            <v>0</v>
          </cell>
          <cell r="P558">
            <v>0</v>
          </cell>
          <cell r="Q558">
            <v>59709</v>
          </cell>
          <cell r="R558">
            <v>0</v>
          </cell>
          <cell r="S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</row>
        <row r="559">
          <cell r="C559">
            <v>0</v>
          </cell>
          <cell r="E559" t="str">
            <v>Mỗi bộ gồm:</v>
          </cell>
        </row>
        <row r="560">
          <cell r="B560" t="str">
            <v>Stply</v>
          </cell>
          <cell r="C560">
            <v>0</v>
          </cell>
          <cell r="D560" t="str">
            <v>D3.2411</v>
          </cell>
          <cell r="E560" t="str">
            <v>Sứ treo polymer</v>
          </cell>
          <cell r="F560" t="str">
            <v>chuỗi</v>
          </cell>
          <cell r="G560">
            <v>1</v>
          </cell>
          <cell r="H560">
            <v>210000</v>
          </cell>
          <cell r="K560">
            <v>59709</v>
          </cell>
          <cell r="M560">
            <v>0</v>
          </cell>
          <cell r="N560">
            <v>210000</v>
          </cell>
          <cell r="O560">
            <v>0</v>
          </cell>
          <cell r="P560">
            <v>0</v>
          </cell>
          <cell r="Q560">
            <v>59709</v>
          </cell>
          <cell r="R560">
            <v>0</v>
          </cell>
          <cell r="S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</row>
        <row r="561">
          <cell r="B561" t="str">
            <v>MT-D</v>
          </cell>
          <cell r="C561">
            <v>0</v>
          </cell>
          <cell r="D561">
            <v>0</v>
          </cell>
          <cell r="E561" t="str">
            <v>Móc treo chữ U D16-100</v>
          </cell>
          <cell r="F561" t="str">
            <v>cái</v>
          </cell>
          <cell r="G561">
            <v>1</v>
          </cell>
          <cell r="H561">
            <v>28000</v>
          </cell>
          <cell r="K561">
            <v>0</v>
          </cell>
          <cell r="M561">
            <v>0</v>
          </cell>
          <cell r="N561">
            <v>28000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</row>
        <row r="562">
          <cell r="B562" t="str">
            <v>GNIU185</v>
          </cell>
          <cell r="C562">
            <v>0</v>
          </cell>
          <cell r="D562">
            <v>0</v>
          </cell>
          <cell r="E562" t="str">
            <v>Giáp níu dừng dây bọc 185 + Yếm móng U + Mắt nối yếm</v>
          </cell>
          <cell r="F562" t="str">
            <v>bộ</v>
          </cell>
          <cell r="G562">
            <v>1</v>
          </cell>
          <cell r="H562">
            <v>0</v>
          </cell>
          <cell r="K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</row>
        <row r="563">
          <cell r="A563" t="str">
            <v>PLY240X</v>
          </cell>
          <cell r="C563">
            <v>0</v>
          </cell>
          <cell r="E563" t="str">
            <v>Bộ sứ treo Polymer 25kV lắp vào xà (cáp bọc 240)</v>
          </cell>
          <cell r="F563" t="str">
            <v>bộ</v>
          </cell>
          <cell r="G563">
            <v>0</v>
          </cell>
          <cell r="N563">
            <v>238000</v>
          </cell>
          <cell r="O563">
            <v>0</v>
          </cell>
          <cell r="P563">
            <v>0</v>
          </cell>
          <cell r="Q563">
            <v>59709</v>
          </cell>
          <cell r="R563">
            <v>0</v>
          </cell>
          <cell r="S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</row>
        <row r="564">
          <cell r="C564">
            <v>0</v>
          </cell>
          <cell r="E564" t="str">
            <v>Mỗi bộ gồm:</v>
          </cell>
        </row>
        <row r="565">
          <cell r="B565" t="str">
            <v>Stply</v>
          </cell>
          <cell r="C565">
            <v>0</v>
          </cell>
          <cell r="D565" t="str">
            <v>D3.2411</v>
          </cell>
          <cell r="E565" t="str">
            <v>Sứ treo polymer</v>
          </cell>
          <cell r="F565" t="str">
            <v>chuỗi</v>
          </cell>
          <cell r="G565">
            <v>1</v>
          </cell>
          <cell r="H565">
            <v>210000</v>
          </cell>
          <cell r="K565">
            <v>59709</v>
          </cell>
          <cell r="M565">
            <v>0</v>
          </cell>
          <cell r="N565">
            <v>210000</v>
          </cell>
          <cell r="O565">
            <v>0</v>
          </cell>
          <cell r="P565">
            <v>0</v>
          </cell>
          <cell r="Q565">
            <v>59709</v>
          </cell>
          <cell r="R565">
            <v>0</v>
          </cell>
          <cell r="S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</row>
        <row r="566">
          <cell r="B566" t="str">
            <v>MT-D</v>
          </cell>
          <cell r="C566">
            <v>0</v>
          </cell>
          <cell r="D566">
            <v>0</v>
          </cell>
          <cell r="E566" t="str">
            <v>Móc treo chữ U D16-100</v>
          </cell>
          <cell r="F566" t="str">
            <v>cái</v>
          </cell>
          <cell r="G566">
            <v>1</v>
          </cell>
          <cell r="H566">
            <v>28000</v>
          </cell>
          <cell r="K566">
            <v>0</v>
          </cell>
          <cell r="M566">
            <v>0</v>
          </cell>
          <cell r="N566">
            <v>28000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</row>
        <row r="567">
          <cell r="B567" t="str">
            <v>GNIU240</v>
          </cell>
          <cell r="C567">
            <v>0</v>
          </cell>
          <cell r="D567">
            <v>0</v>
          </cell>
          <cell r="E567" t="str">
            <v>Giáp níu dừng dây bọc 240 + Yếm móng U + Mắt nối yếm</v>
          </cell>
          <cell r="F567" t="str">
            <v>bộ</v>
          </cell>
          <cell r="G567">
            <v>1</v>
          </cell>
          <cell r="H567">
            <v>0</v>
          </cell>
          <cell r="K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</row>
        <row r="568">
          <cell r="A568" t="str">
            <v>PLY50T</v>
          </cell>
          <cell r="C568">
            <v>0</v>
          </cell>
          <cell r="E568" t="str">
            <v>Bộ sứ treo Polymer 25kV lắp vào trụ (cáp bọc 50)</v>
          </cell>
          <cell r="F568" t="str">
            <v>bộ</v>
          </cell>
          <cell r="G568">
            <v>0</v>
          </cell>
          <cell r="N568">
            <v>619000</v>
          </cell>
          <cell r="O568">
            <v>0</v>
          </cell>
          <cell r="P568">
            <v>0</v>
          </cell>
          <cell r="Q568">
            <v>59709</v>
          </cell>
          <cell r="R568">
            <v>0</v>
          </cell>
          <cell r="S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</row>
        <row r="569">
          <cell r="C569">
            <v>0</v>
          </cell>
          <cell r="E569" t="str">
            <v>Mỗi bộ gồm:</v>
          </cell>
        </row>
        <row r="570">
          <cell r="B570" t="str">
            <v>Stply</v>
          </cell>
          <cell r="C570">
            <v>0</v>
          </cell>
          <cell r="D570" t="str">
            <v>D3.2411</v>
          </cell>
          <cell r="E570" t="str">
            <v>Sứ treo polymer</v>
          </cell>
          <cell r="F570" t="str">
            <v>chuỗi</v>
          </cell>
          <cell r="G570">
            <v>1</v>
          </cell>
          <cell r="H570">
            <v>210000</v>
          </cell>
          <cell r="K570">
            <v>59709</v>
          </cell>
          <cell r="M570">
            <v>0</v>
          </cell>
          <cell r="N570">
            <v>210000</v>
          </cell>
          <cell r="O570">
            <v>0</v>
          </cell>
          <cell r="P570">
            <v>0</v>
          </cell>
          <cell r="Q570">
            <v>59709</v>
          </cell>
          <cell r="R570">
            <v>0</v>
          </cell>
          <cell r="S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</row>
        <row r="571">
          <cell r="B571" t="str">
            <v>GNIU50</v>
          </cell>
          <cell r="C571">
            <v>0</v>
          </cell>
          <cell r="D571">
            <v>0</v>
          </cell>
          <cell r="E571" t="str">
            <v>Giáp níu dừng dây bọc 50 + Yếm móng U + Mắt nối yếm</v>
          </cell>
          <cell r="F571" t="str">
            <v>bộ</v>
          </cell>
          <cell r="G571">
            <v>1</v>
          </cell>
          <cell r="H571">
            <v>374000</v>
          </cell>
          <cell r="K571">
            <v>0</v>
          </cell>
          <cell r="M571">
            <v>0</v>
          </cell>
          <cell r="N571">
            <v>374000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</row>
        <row r="572">
          <cell r="B572" t="str">
            <v>BM16250</v>
          </cell>
          <cell r="C572">
            <v>0</v>
          </cell>
          <cell r="D572">
            <v>0</v>
          </cell>
          <cell r="E572" t="str">
            <v>Boulon mắt 16x250+ long đền vuông D18-50x50x3/Zn</v>
          </cell>
          <cell r="F572" t="str">
            <v>bộ</v>
          </cell>
          <cell r="G572">
            <v>1</v>
          </cell>
          <cell r="H572">
            <v>35000</v>
          </cell>
          <cell r="K572">
            <v>0</v>
          </cell>
          <cell r="M572">
            <v>0</v>
          </cell>
          <cell r="N572">
            <v>35000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</row>
        <row r="573">
          <cell r="A573" t="str">
            <v>PLY70T</v>
          </cell>
          <cell r="C573">
            <v>1</v>
          </cell>
          <cell r="E573" t="str">
            <v>Bộ sứ treo Polymer 25kV lắp vào trụ (cáp bọc 70)</v>
          </cell>
          <cell r="F573" t="str">
            <v>bộ</v>
          </cell>
          <cell r="G573">
            <v>54</v>
          </cell>
          <cell r="N573">
            <v>619000</v>
          </cell>
          <cell r="O573">
            <v>0</v>
          </cell>
          <cell r="P573">
            <v>0</v>
          </cell>
          <cell r="Q573">
            <v>59709</v>
          </cell>
          <cell r="R573">
            <v>0</v>
          </cell>
          <cell r="S573">
            <v>0</v>
          </cell>
          <cell r="U573">
            <v>54</v>
          </cell>
          <cell r="V573">
            <v>52</v>
          </cell>
          <cell r="W573">
            <v>0</v>
          </cell>
          <cell r="X573">
            <v>2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</row>
        <row r="574">
          <cell r="C574">
            <v>1</v>
          </cell>
          <cell r="E574" t="str">
            <v>Mỗi bộ gồm:</v>
          </cell>
        </row>
        <row r="575">
          <cell r="B575" t="str">
            <v>Stply</v>
          </cell>
          <cell r="C575">
            <v>1</v>
          </cell>
          <cell r="D575" t="str">
            <v>D3.2411</v>
          </cell>
          <cell r="E575" t="str">
            <v>Sứ treo polymer</v>
          </cell>
          <cell r="F575" t="str">
            <v>chuỗi</v>
          </cell>
          <cell r="G575">
            <v>1</v>
          </cell>
          <cell r="H575">
            <v>210000</v>
          </cell>
          <cell r="K575">
            <v>59709</v>
          </cell>
          <cell r="M575">
            <v>0</v>
          </cell>
          <cell r="N575">
            <v>210000</v>
          </cell>
          <cell r="O575">
            <v>0</v>
          </cell>
          <cell r="P575">
            <v>0</v>
          </cell>
          <cell r="Q575">
            <v>59709</v>
          </cell>
          <cell r="R575">
            <v>0</v>
          </cell>
          <cell r="S575">
            <v>0</v>
          </cell>
          <cell r="U575">
            <v>54</v>
          </cell>
          <cell r="V575">
            <v>52</v>
          </cell>
          <cell r="W575">
            <v>0</v>
          </cell>
          <cell r="X575">
            <v>2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</row>
        <row r="576">
          <cell r="B576" t="str">
            <v>GNIU70</v>
          </cell>
          <cell r="C576">
            <v>1</v>
          </cell>
          <cell r="D576">
            <v>0</v>
          </cell>
          <cell r="E576" t="str">
            <v>Giáp níu dừng dây bọc 70 + Yếm móng U + Mắt nối yếm</v>
          </cell>
          <cell r="F576" t="str">
            <v>bộ</v>
          </cell>
          <cell r="G576">
            <v>1</v>
          </cell>
          <cell r="H576">
            <v>374000</v>
          </cell>
          <cell r="K576">
            <v>0</v>
          </cell>
          <cell r="M576">
            <v>0</v>
          </cell>
          <cell r="N576">
            <v>374000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U576">
            <v>54</v>
          </cell>
          <cell r="V576">
            <v>52</v>
          </cell>
          <cell r="W576">
            <v>0</v>
          </cell>
          <cell r="X576">
            <v>2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</row>
        <row r="577">
          <cell r="B577" t="str">
            <v>BM16250</v>
          </cell>
          <cell r="C577">
            <v>1</v>
          </cell>
          <cell r="D577">
            <v>0</v>
          </cell>
          <cell r="E577" t="str">
            <v>Boulon mắt 16x250+ long đền vuông D18-50x50x3/Zn</v>
          </cell>
          <cell r="F577" t="str">
            <v>bộ</v>
          </cell>
          <cell r="G577">
            <v>1</v>
          </cell>
          <cell r="H577">
            <v>35000</v>
          </cell>
          <cell r="K577">
            <v>0</v>
          </cell>
          <cell r="M577">
            <v>0</v>
          </cell>
          <cell r="N577">
            <v>35000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U577">
            <v>54</v>
          </cell>
          <cell r="V577">
            <v>52</v>
          </cell>
          <cell r="W577">
            <v>0</v>
          </cell>
          <cell r="X577">
            <v>2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</row>
        <row r="578">
          <cell r="C578">
            <v>1</v>
          </cell>
          <cell r="D578" t="str">
            <v>IV</v>
          </cell>
          <cell r="E578" t="str">
            <v>Phần dây, sứ và phụ kiện</v>
          </cell>
        </row>
        <row r="579">
          <cell r="A579" t="str">
            <v>DDTT3P</v>
          </cell>
          <cell r="B579" t="str">
            <v>TT3P</v>
          </cell>
          <cell r="C579">
            <v>1</v>
          </cell>
          <cell r="D579">
            <v>1</v>
          </cell>
          <cell r="E579" t="str">
            <v>Đường dây trung thế</v>
          </cell>
          <cell r="F579" t="str">
            <v>Tbộ</v>
          </cell>
          <cell r="G579">
            <v>1</v>
          </cell>
          <cell r="N579">
            <v>785503800</v>
          </cell>
          <cell r="O579">
            <v>0</v>
          </cell>
          <cell r="P579">
            <v>0</v>
          </cell>
          <cell r="Q579">
            <v>44210280.962000005</v>
          </cell>
          <cell r="R579">
            <v>0</v>
          </cell>
          <cell r="S579">
            <v>3098627.6680000001</v>
          </cell>
          <cell r="V579">
            <v>1</v>
          </cell>
        </row>
        <row r="580">
          <cell r="B580" t="str">
            <v>AC50</v>
          </cell>
          <cell r="C580">
            <v>1</v>
          </cell>
          <cell r="D580">
            <v>0.19500000000000001</v>
          </cell>
          <cell r="E580" t="str">
            <v>Cáp nhôm lõi thép AC-50/8</v>
          </cell>
          <cell r="F580" t="str">
            <v>kg</v>
          </cell>
          <cell r="G580">
            <v>1382.6999999999998</v>
          </cell>
          <cell r="H580">
            <v>54400</v>
          </cell>
          <cell r="K580">
            <v>0</v>
          </cell>
          <cell r="M580">
            <v>0</v>
          </cell>
          <cell r="N580">
            <v>75218879.999999985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V580">
            <v>1382.6999999999998</v>
          </cell>
        </row>
        <row r="581">
          <cell r="B581" t="str">
            <v>AC70</v>
          </cell>
          <cell r="C581">
            <v>0</v>
          </cell>
          <cell r="D581">
            <v>0.27600000000000002</v>
          </cell>
          <cell r="E581" t="str">
            <v>Cáp nhôm lõi thép AC-70/11</v>
          </cell>
          <cell r="F581" t="str">
            <v>kg</v>
          </cell>
          <cell r="G581">
            <v>0</v>
          </cell>
          <cell r="H581">
            <v>54400</v>
          </cell>
          <cell r="K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V581">
            <v>0</v>
          </cell>
        </row>
        <row r="582">
          <cell r="B582" t="str">
            <v>AC95</v>
          </cell>
          <cell r="C582">
            <v>0</v>
          </cell>
          <cell r="D582">
            <v>0.38500000000000001</v>
          </cell>
          <cell r="E582" t="str">
            <v>Cáp nhôm lõi thép AC-95/16</v>
          </cell>
          <cell r="F582" t="str">
            <v>kg</v>
          </cell>
          <cell r="G582">
            <v>0</v>
          </cell>
          <cell r="H582">
            <v>60000</v>
          </cell>
          <cell r="K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V582">
            <v>0</v>
          </cell>
        </row>
        <row r="583">
          <cell r="B583" t="str">
            <v>AC120</v>
          </cell>
          <cell r="C583">
            <v>0</v>
          </cell>
          <cell r="D583">
            <v>0.47099999999999997</v>
          </cell>
          <cell r="E583" t="str">
            <v>Cáp nhôm lõi thép AC-120/19</v>
          </cell>
          <cell r="F583" t="str">
            <v>kg</v>
          </cell>
          <cell r="G583">
            <v>0</v>
          </cell>
          <cell r="H583">
            <v>61900</v>
          </cell>
          <cell r="K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V583">
            <v>0</v>
          </cell>
        </row>
        <row r="584">
          <cell r="B584" t="str">
            <v>ACX50</v>
          </cell>
          <cell r="C584">
            <v>0</v>
          </cell>
          <cell r="D584">
            <v>0</v>
          </cell>
          <cell r="E584" t="str">
            <v>Cáp 24KV ACX 50/8mm2</v>
          </cell>
          <cell r="F584" t="str">
            <v>mét</v>
          </cell>
          <cell r="G584">
            <v>0</v>
          </cell>
          <cell r="H584">
            <v>35590</v>
          </cell>
          <cell r="K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V584">
            <v>0</v>
          </cell>
        </row>
        <row r="585">
          <cell r="B585" t="str">
            <v>ACX70</v>
          </cell>
          <cell r="C585">
            <v>1</v>
          </cell>
          <cell r="D585">
            <v>0</v>
          </cell>
          <cell r="E585" t="str">
            <v>Cáp 24KV ACX 70/11mm2</v>
          </cell>
          <cell r="F585" t="str">
            <v>mét</v>
          </cell>
          <cell r="G585">
            <v>10598</v>
          </cell>
          <cell r="H585">
            <v>42940</v>
          </cell>
          <cell r="K585">
            <v>0</v>
          </cell>
          <cell r="M585">
            <v>0</v>
          </cell>
          <cell r="N585">
            <v>455078120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V585">
            <v>10598</v>
          </cell>
        </row>
        <row r="586">
          <cell r="B586" t="str">
            <v>ACX95</v>
          </cell>
          <cell r="C586">
            <v>1</v>
          </cell>
          <cell r="D586">
            <v>0</v>
          </cell>
          <cell r="E586" t="str">
            <v>Cáp 24KV ACX 95/16mm2</v>
          </cell>
          <cell r="F586" t="str">
            <v>mét</v>
          </cell>
          <cell r="G586">
            <v>2274</v>
          </cell>
          <cell r="H586">
            <v>61425</v>
          </cell>
          <cell r="K586">
            <v>0</v>
          </cell>
          <cell r="M586">
            <v>0</v>
          </cell>
          <cell r="N586">
            <v>139680450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V586">
            <v>2274</v>
          </cell>
        </row>
        <row r="587">
          <cell r="B587" t="str">
            <v>ACX120</v>
          </cell>
          <cell r="C587">
            <v>0</v>
          </cell>
          <cell r="D587">
            <v>0</v>
          </cell>
          <cell r="E587" t="str">
            <v>Cáp 24KV ACX 120/19mm2</v>
          </cell>
          <cell r="F587" t="str">
            <v>mét</v>
          </cell>
          <cell r="G587">
            <v>0</v>
          </cell>
          <cell r="H587">
            <v>87500</v>
          </cell>
          <cell r="K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V587">
            <v>0</v>
          </cell>
        </row>
        <row r="588">
          <cell r="B588" t="str">
            <v>ACX150</v>
          </cell>
          <cell r="C588">
            <v>0</v>
          </cell>
          <cell r="D588">
            <v>0</v>
          </cell>
          <cell r="E588" t="str">
            <v>Cáp 24KV ACX 150/19mm2</v>
          </cell>
          <cell r="F588" t="str">
            <v>mét</v>
          </cell>
          <cell r="G588">
            <v>0</v>
          </cell>
          <cell r="H588">
            <v>98800</v>
          </cell>
          <cell r="K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V588">
            <v>0</v>
          </cell>
        </row>
        <row r="589">
          <cell r="B589" t="str">
            <v>ACX185</v>
          </cell>
          <cell r="C589">
            <v>0</v>
          </cell>
          <cell r="D589">
            <v>0</v>
          </cell>
          <cell r="E589" t="str">
            <v>Cáp 24KV ACX 185/24mm2</v>
          </cell>
          <cell r="F589" t="str">
            <v>mét</v>
          </cell>
          <cell r="G589">
            <v>0</v>
          </cell>
          <cell r="H589">
            <v>116500</v>
          </cell>
          <cell r="K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V589">
            <v>0</v>
          </cell>
        </row>
        <row r="590">
          <cell r="B590" t="str">
            <v>CXV25</v>
          </cell>
          <cell r="C590">
            <v>0</v>
          </cell>
          <cell r="D590">
            <v>0</v>
          </cell>
          <cell r="E590" t="str">
            <v>Cáp 24KV C/XLPE/PVC 25mm2</v>
          </cell>
          <cell r="F590" t="str">
            <v>mét</v>
          </cell>
          <cell r="G590">
            <v>0</v>
          </cell>
          <cell r="H590">
            <v>69890</v>
          </cell>
          <cell r="K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V590">
            <v>0</v>
          </cell>
        </row>
        <row r="591">
          <cell r="B591" t="str">
            <v>CXV50</v>
          </cell>
          <cell r="C591">
            <v>1</v>
          </cell>
          <cell r="D591">
            <v>0</v>
          </cell>
          <cell r="E591" t="str">
            <v>Cáp 24KV C/XLPE/PVC 50mm2</v>
          </cell>
          <cell r="F591" t="str">
            <v>mét</v>
          </cell>
          <cell r="G591">
            <v>36</v>
          </cell>
          <cell r="H591">
            <v>149500</v>
          </cell>
          <cell r="K591">
            <v>0</v>
          </cell>
          <cell r="M591">
            <v>0</v>
          </cell>
          <cell r="N591">
            <v>5382000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V591">
            <v>36</v>
          </cell>
        </row>
        <row r="592">
          <cell r="B592" t="str">
            <v>ke50</v>
          </cell>
          <cell r="C592">
            <v>1</v>
          </cell>
          <cell r="D592">
            <v>0</v>
          </cell>
          <cell r="E592" t="str">
            <v>Kẹp ép WR cỡ dây 50mm2</v>
          </cell>
          <cell r="F592" t="str">
            <v>cái</v>
          </cell>
          <cell r="G592">
            <v>16</v>
          </cell>
          <cell r="H592">
            <v>8500</v>
          </cell>
          <cell r="K592">
            <v>0</v>
          </cell>
          <cell r="M592">
            <v>0</v>
          </cell>
          <cell r="N592">
            <v>136000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V592">
            <v>16</v>
          </cell>
        </row>
        <row r="593">
          <cell r="B593" t="str">
            <v>ke70</v>
          </cell>
          <cell r="C593">
            <v>1</v>
          </cell>
          <cell r="D593">
            <v>0</v>
          </cell>
          <cell r="E593" t="str">
            <v>Kẹp ép WR cỡ dây 70mm2</v>
          </cell>
          <cell r="F593" t="str">
            <v>cái</v>
          </cell>
          <cell r="G593">
            <v>8</v>
          </cell>
          <cell r="H593">
            <v>10500</v>
          </cell>
          <cell r="K593">
            <v>0</v>
          </cell>
          <cell r="M593">
            <v>0</v>
          </cell>
          <cell r="N593">
            <v>84000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V593">
            <v>8</v>
          </cell>
        </row>
        <row r="594">
          <cell r="B594" t="str">
            <v>ke95</v>
          </cell>
          <cell r="C594">
            <v>1</v>
          </cell>
          <cell r="D594">
            <v>0</v>
          </cell>
          <cell r="E594" t="str">
            <v>Kẹp ép WR cỡ dây 95mm2</v>
          </cell>
          <cell r="F594" t="str">
            <v>cái</v>
          </cell>
          <cell r="G594">
            <v>6</v>
          </cell>
          <cell r="H594">
            <v>14700</v>
          </cell>
          <cell r="K594">
            <v>0</v>
          </cell>
          <cell r="M594">
            <v>0</v>
          </cell>
          <cell r="N594">
            <v>88200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V594">
            <v>6</v>
          </cell>
        </row>
        <row r="595">
          <cell r="B595" t="str">
            <v>ke120</v>
          </cell>
          <cell r="C595">
            <v>0</v>
          </cell>
          <cell r="D595">
            <v>0</v>
          </cell>
          <cell r="E595" t="str">
            <v>Kẹp ép WR cỡ dây 120mm2</v>
          </cell>
          <cell r="F595" t="str">
            <v>cái</v>
          </cell>
          <cell r="G595">
            <v>0</v>
          </cell>
          <cell r="H595">
            <v>18900</v>
          </cell>
          <cell r="K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V595">
            <v>0</v>
          </cell>
        </row>
        <row r="596">
          <cell r="B596" t="str">
            <v>ke150</v>
          </cell>
          <cell r="C596">
            <v>0</v>
          </cell>
          <cell r="D596">
            <v>0</v>
          </cell>
          <cell r="E596" t="str">
            <v>Kẹp ép WR cỡ dây 150mm2</v>
          </cell>
          <cell r="F596" t="str">
            <v>cái</v>
          </cell>
          <cell r="G596">
            <v>0</v>
          </cell>
          <cell r="H596">
            <v>0</v>
          </cell>
          <cell r="K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V596">
            <v>0</v>
          </cell>
        </row>
        <row r="597">
          <cell r="B597" t="str">
            <v>ke185</v>
          </cell>
          <cell r="C597">
            <v>0</v>
          </cell>
          <cell r="D597">
            <v>0</v>
          </cell>
          <cell r="E597" t="str">
            <v>Kẹp ép WR cỡ dây 185mm2</v>
          </cell>
          <cell r="F597" t="str">
            <v>cái</v>
          </cell>
          <cell r="G597">
            <v>0</v>
          </cell>
          <cell r="H597">
            <v>0</v>
          </cell>
          <cell r="K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V597">
            <v>0</v>
          </cell>
        </row>
        <row r="598">
          <cell r="B598" t="str">
            <v>ke240</v>
          </cell>
          <cell r="C598">
            <v>0</v>
          </cell>
          <cell r="D598">
            <v>0</v>
          </cell>
          <cell r="E598" t="str">
            <v>Kẹp ép WR cỡ dây 240mm2</v>
          </cell>
          <cell r="F598" t="str">
            <v>cái</v>
          </cell>
          <cell r="G598">
            <v>0</v>
          </cell>
          <cell r="H598">
            <v>0</v>
          </cell>
          <cell r="K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V598">
            <v>0</v>
          </cell>
        </row>
        <row r="599">
          <cell r="B599" t="str">
            <v>KQ2</v>
          </cell>
          <cell r="C599">
            <v>1</v>
          </cell>
          <cell r="E599" t="str">
            <v>Kẹp quai 2/0 (quai đồng 8mm)</v>
          </cell>
          <cell r="F599" t="str">
            <v>cái</v>
          </cell>
          <cell r="G599">
            <v>4</v>
          </cell>
          <cell r="H599">
            <v>47000</v>
          </cell>
          <cell r="K599">
            <v>0</v>
          </cell>
          <cell r="M599">
            <v>0</v>
          </cell>
          <cell r="N599">
            <v>188000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V599">
            <v>4</v>
          </cell>
        </row>
        <row r="600">
          <cell r="B600" t="str">
            <v>KQ4</v>
          </cell>
          <cell r="C600">
            <v>1</v>
          </cell>
          <cell r="E600" t="str">
            <v>Kẹp quai 4/0 (quai đồng 8mm)</v>
          </cell>
          <cell r="F600" t="str">
            <v>cái</v>
          </cell>
          <cell r="G600">
            <v>35</v>
          </cell>
          <cell r="H600">
            <v>63000</v>
          </cell>
          <cell r="K600">
            <v>0</v>
          </cell>
          <cell r="M600">
            <v>0</v>
          </cell>
          <cell r="N600">
            <v>2205000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V600">
            <v>35</v>
          </cell>
        </row>
        <row r="601">
          <cell r="B601" t="str">
            <v>CKQ</v>
          </cell>
          <cell r="C601">
            <v>1</v>
          </cell>
          <cell r="E601" t="str">
            <v>Chụp cách điện kẹp quai</v>
          </cell>
          <cell r="F601" t="str">
            <v>cái</v>
          </cell>
          <cell r="G601">
            <v>39</v>
          </cell>
          <cell r="H601">
            <v>122000</v>
          </cell>
          <cell r="K601">
            <v>0</v>
          </cell>
          <cell r="M601">
            <v>0</v>
          </cell>
          <cell r="N601">
            <v>4758000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V601">
            <v>39</v>
          </cell>
        </row>
        <row r="602">
          <cell r="B602" t="str">
            <v>HL2</v>
          </cell>
          <cell r="C602">
            <v>1</v>
          </cell>
          <cell r="E602" t="str">
            <v>Kẹp hotline 2/0</v>
          </cell>
          <cell r="F602" t="str">
            <v>cái</v>
          </cell>
          <cell r="G602">
            <v>10</v>
          </cell>
          <cell r="H602">
            <v>68000</v>
          </cell>
          <cell r="K602">
            <v>0</v>
          </cell>
          <cell r="M602">
            <v>0</v>
          </cell>
          <cell r="N602">
            <v>680000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V602">
            <v>10</v>
          </cell>
        </row>
        <row r="603">
          <cell r="B603" t="str">
            <v>HL4</v>
          </cell>
          <cell r="C603">
            <v>1</v>
          </cell>
          <cell r="E603" t="str">
            <v>Kẹp hotline 4/0</v>
          </cell>
          <cell r="F603" t="str">
            <v>cái</v>
          </cell>
          <cell r="G603">
            <v>9</v>
          </cell>
          <cell r="H603">
            <v>94500</v>
          </cell>
          <cell r="K603">
            <v>0</v>
          </cell>
          <cell r="M603">
            <v>0</v>
          </cell>
          <cell r="N603">
            <v>850500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V603">
            <v>9</v>
          </cell>
        </row>
        <row r="604">
          <cell r="B604" t="str">
            <v>ON50</v>
          </cell>
          <cell r="C604">
            <v>1</v>
          </cell>
          <cell r="E604" t="str">
            <v>Ống nối dây AC cỡ 50mm2 (Không lõi thép)</v>
          </cell>
          <cell r="F604" t="str">
            <v>cái</v>
          </cell>
          <cell r="G604">
            <v>19</v>
          </cell>
          <cell r="H604">
            <v>32000</v>
          </cell>
          <cell r="N604">
            <v>608000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V604">
            <v>19</v>
          </cell>
        </row>
        <row r="605">
          <cell r="B605" t="str">
            <v>ON70</v>
          </cell>
          <cell r="C605">
            <v>1</v>
          </cell>
          <cell r="E605" t="str">
            <v>Ống nối dây AC cỡ 70mm2 (Không lõi thép)</v>
          </cell>
          <cell r="F605" t="str">
            <v>cái</v>
          </cell>
          <cell r="G605">
            <v>52.5</v>
          </cell>
          <cell r="H605">
            <v>40000</v>
          </cell>
          <cell r="K605">
            <v>0</v>
          </cell>
          <cell r="M605">
            <v>0</v>
          </cell>
          <cell r="N605">
            <v>2100000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V605">
            <v>52.5</v>
          </cell>
        </row>
        <row r="606">
          <cell r="B606" t="str">
            <v>ON95</v>
          </cell>
          <cell r="C606">
            <v>1</v>
          </cell>
          <cell r="E606" t="str">
            <v>Ống nối dây AC cỡ 95mm2 (Không lõi thép)</v>
          </cell>
          <cell r="F606" t="str">
            <v>cái</v>
          </cell>
          <cell r="G606">
            <v>7.5</v>
          </cell>
          <cell r="H606">
            <v>47500</v>
          </cell>
          <cell r="K606">
            <v>0</v>
          </cell>
          <cell r="M606">
            <v>0</v>
          </cell>
          <cell r="N606">
            <v>356250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V606">
            <v>7.5</v>
          </cell>
        </row>
        <row r="607">
          <cell r="B607" t="str">
            <v>ON120</v>
          </cell>
          <cell r="C607">
            <v>0</v>
          </cell>
          <cell r="E607" t="str">
            <v>Ống nối dây AC cỡ 120mm2 (Không lõi thép)</v>
          </cell>
          <cell r="F607" t="str">
            <v>cái</v>
          </cell>
          <cell r="G607">
            <v>0</v>
          </cell>
          <cell r="H607">
            <v>65500</v>
          </cell>
          <cell r="K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V607">
            <v>0</v>
          </cell>
        </row>
        <row r="608">
          <cell r="B608" t="str">
            <v>ON150</v>
          </cell>
          <cell r="C608">
            <v>0</v>
          </cell>
          <cell r="E608" t="str">
            <v>Ống nối dây AC cỡ 150mm2 (Không lõi thép)</v>
          </cell>
          <cell r="F608" t="str">
            <v>cái</v>
          </cell>
          <cell r="G608">
            <v>0</v>
          </cell>
          <cell r="H608">
            <v>89500</v>
          </cell>
          <cell r="K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V608">
            <v>0</v>
          </cell>
        </row>
        <row r="609">
          <cell r="B609" t="str">
            <v>ON185</v>
          </cell>
          <cell r="C609">
            <v>0</v>
          </cell>
          <cell r="E609" t="str">
            <v>Ống nối dây AC cỡ 185mm2 (Không lõi thép)</v>
          </cell>
          <cell r="F609" t="str">
            <v>cái</v>
          </cell>
          <cell r="G609">
            <v>0</v>
          </cell>
          <cell r="H609">
            <v>0</v>
          </cell>
          <cell r="K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V609">
            <v>0</v>
          </cell>
        </row>
        <row r="610">
          <cell r="B610" t="str">
            <v>ON240</v>
          </cell>
          <cell r="C610">
            <v>0</v>
          </cell>
          <cell r="E610" t="str">
            <v>Ống nối dây AC cỡ 240mm2 (Không lõi thép)</v>
          </cell>
          <cell r="F610" t="str">
            <v>cái</v>
          </cell>
          <cell r="G610">
            <v>0</v>
          </cell>
          <cell r="H610">
            <v>0</v>
          </cell>
          <cell r="K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V610">
            <v>0</v>
          </cell>
        </row>
        <row r="611">
          <cell r="B611" t="str">
            <v>OBCD</v>
          </cell>
          <cell r="C611">
            <v>1</v>
          </cell>
          <cell r="D611">
            <v>0</v>
          </cell>
          <cell r="E611" t="str">
            <v>Ống bọc cách điện D30</v>
          </cell>
          <cell r="F611" t="str">
            <v>mét</v>
          </cell>
          <cell r="G611">
            <v>58.5</v>
          </cell>
          <cell r="H611">
            <v>95000</v>
          </cell>
          <cell r="N611">
            <v>5557500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V611">
            <v>58.5</v>
          </cell>
        </row>
        <row r="612">
          <cell r="B612" t="str">
            <v>BCST</v>
          </cell>
          <cell r="C612">
            <v>1</v>
          </cell>
          <cell r="D612">
            <v>0</v>
          </cell>
          <cell r="E612" t="str">
            <v>Dây Buộc sứ đứng gắn trên đà vtrí đỡ thẳng</v>
          </cell>
          <cell r="F612" t="str">
            <v>cái</v>
          </cell>
          <cell r="G612">
            <v>113</v>
          </cell>
          <cell r="H612">
            <v>236000</v>
          </cell>
          <cell r="K612">
            <v>0</v>
          </cell>
          <cell r="M612">
            <v>0</v>
          </cell>
          <cell r="N612">
            <v>26668000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V612">
            <v>113</v>
          </cell>
        </row>
        <row r="613">
          <cell r="B613" t="str">
            <v>BCSG</v>
          </cell>
          <cell r="C613">
            <v>1</v>
          </cell>
          <cell r="D613">
            <v>0</v>
          </cell>
          <cell r="E613" t="str">
            <v>Dây Buộc sứ đứng gắn trên đà vtrí góc</v>
          </cell>
          <cell r="F613" t="str">
            <v>cái</v>
          </cell>
          <cell r="G613">
            <v>234</v>
          </cell>
          <cell r="H613">
            <v>236000</v>
          </cell>
          <cell r="K613">
            <v>0</v>
          </cell>
          <cell r="M613">
            <v>0</v>
          </cell>
          <cell r="N613">
            <v>55224000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V613">
            <v>234</v>
          </cell>
        </row>
        <row r="614">
          <cell r="B614" t="str">
            <v>A70</v>
          </cell>
          <cell r="C614">
            <v>1</v>
          </cell>
          <cell r="D614">
            <v>0</v>
          </cell>
          <cell r="E614" t="str">
            <v>Cáp nhôm A-70 (Buộc cổ ống chỉ+ sứ đứng lèo)</v>
          </cell>
          <cell r="F614" t="str">
            <v>kg</v>
          </cell>
          <cell r="G614">
            <v>37.200000000000003</v>
          </cell>
          <cell r="H614">
            <v>68250</v>
          </cell>
          <cell r="K614">
            <v>0</v>
          </cell>
          <cell r="M614">
            <v>0</v>
          </cell>
          <cell r="N614">
            <v>2538900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V614">
            <v>37.200000000000003</v>
          </cell>
        </row>
        <row r="615">
          <cell r="B615" t="str">
            <v>BCDTB</v>
          </cell>
          <cell r="C615">
            <v>1</v>
          </cell>
          <cell r="D615">
            <v>0</v>
          </cell>
          <cell r="E615" t="str">
            <v>Bảng chỉn danh thiết bị đầu nhánh</v>
          </cell>
          <cell r="F615" t="str">
            <v>bộ</v>
          </cell>
          <cell r="G615">
            <v>12</v>
          </cell>
          <cell r="H615">
            <v>150000</v>
          </cell>
          <cell r="K615">
            <v>0</v>
          </cell>
          <cell r="M615">
            <v>0</v>
          </cell>
          <cell r="N615">
            <v>1800000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V615">
            <v>106</v>
          </cell>
          <cell r="Z615">
            <v>0</v>
          </cell>
          <cell r="AA615">
            <v>0</v>
          </cell>
          <cell r="AB615">
            <v>0</v>
          </cell>
        </row>
        <row r="616">
          <cell r="B616" t="str">
            <v>chi8k</v>
          </cell>
          <cell r="C616">
            <v>1</v>
          </cell>
          <cell r="D616">
            <v>0</v>
          </cell>
          <cell r="E616" t="str">
            <v>Dây chảy 8K</v>
          </cell>
          <cell r="F616" t="str">
            <v>Sợi</v>
          </cell>
          <cell r="G616">
            <v>23</v>
          </cell>
          <cell r="H616">
            <v>84000</v>
          </cell>
          <cell r="K616">
            <v>0</v>
          </cell>
          <cell r="M616">
            <v>0</v>
          </cell>
          <cell r="N616">
            <v>1932000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V616">
            <v>106</v>
          </cell>
          <cell r="Z616">
            <v>0</v>
          </cell>
          <cell r="AA616">
            <v>0</v>
          </cell>
          <cell r="AB616">
            <v>0</v>
          </cell>
        </row>
        <row r="617">
          <cell r="B617" t="str">
            <v>chupfco</v>
          </cell>
          <cell r="C617">
            <v>1</v>
          </cell>
          <cell r="D617">
            <v>0</v>
          </cell>
          <cell r="E617" t="str">
            <v>Chụp đầu FCO (Trên + Dưới)</v>
          </cell>
          <cell r="F617" t="str">
            <v>bộ</v>
          </cell>
          <cell r="G617">
            <v>23</v>
          </cell>
          <cell r="H617">
            <v>190000</v>
          </cell>
          <cell r="K617">
            <v>0</v>
          </cell>
          <cell r="M617">
            <v>0</v>
          </cell>
          <cell r="N617">
            <v>4370000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V617">
            <v>106</v>
          </cell>
          <cell r="Z617">
            <v>0</v>
          </cell>
          <cell r="AA617">
            <v>0</v>
          </cell>
          <cell r="AB617">
            <v>0</v>
          </cell>
        </row>
        <row r="618">
          <cell r="B618" t="str">
            <v>KDAC50</v>
          </cell>
          <cell r="C618">
            <v>1</v>
          </cell>
          <cell r="D618" t="str">
            <v>D3.6211</v>
          </cell>
          <cell r="E618" t="str">
            <v>Kéo dây nhôm lõi thép cỡ dây 50mm2</v>
          </cell>
          <cell r="F618" t="str">
            <v>km</v>
          </cell>
          <cell r="G618">
            <v>6.952</v>
          </cell>
          <cell r="H618">
            <v>0</v>
          </cell>
          <cell r="K618">
            <v>1577041</v>
          </cell>
          <cell r="M618">
            <v>142765</v>
          </cell>
          <cell r="N618">
            <v>0</v>
          </cell>
          <cell r="O618">
            <v>0</v>
          </cell>
          <cell r="P618">
            <v>0</v>
          </cell>
          <cell r="Q618">
            <v>10963589.032</v>
          </cell>
          <cell r="R618">
            <v>0</v>
          </cell>
          <cell r="S618">
            <v>992502.28</v>
          </cell>
          <cell r="V618">
            <v>6.952</v>
          </cell>
        </row>
        <row r="619">
          <cell r="B619" t="str">
            <v>KDAC70</v>
          </cell>
          <cell r="C619">
            <v>0</v>
          </cell>
          <cell r="D619" t="str">
            <v>D3.6211</v>
          </cell>
          <cell r="E619" t="str">
            <v>Kéo dây nhôm lõi thép cỡ dây 70mm2</v>
          </cell>
          <cell r="F619" t="str">
            <v>km</v>
          </cell>
          <cell r="G619">
            <v>0</v>
          </cell>
          <cell r="H619">
            <v>0</v>
          </cell>
          <cell r="K619">
            <v>1577041</v>
          </cell>
          <cell r="M619">
            <v>142765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V619">
            <v>0</v>
          </cell>
        </row>
        <row r="620">
          <cell r="B620" t="str">
            <v>KDAC95</v>
          </cell>
          <cell r="C620">
            <v>0</v>
          </cell>
          <cell r="D620" t="str">
            <v>D3.6212</v>
          </cell>
          <cell r="E620" t="str">
            <v>Kéo dây nhôm lõi thép cỡ dây 95mm2</v>
          </cell>
          <cell r="F620" t="str">
            <v>km</v>
          </cell>
          <cell r="G620">
            <v>0</v>
          </cell>
          <cell r="H620">
            <v>0</v>
          </cell>
          <cell r="K620">
            <v>2140657</v>
          </cell>
          <cell r="M620">
            <v>193511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V620">
            <v>0</v>
          </cell>
        </row>
        <row r="621">
          <cell r="B621" t="str">
            <v>KDAC120</v>
          </cell>
          <cell r="C621">
            <v>0</v>
          </cell>
          <cell r="D621" t="str">
            <v>06.6161</v>
          </cell>
          <cell r="E621" t="str">
            <v>Kéo dây nhôm lõi thép cỡ dây 120mm2</v>
          </cell>
          <cell r="F621" t="str">
            <v>km</v>
          </cell>
          <cell r="G621">
            <v>0</v>
          </cell>
          <cell r="H621">
            <v>0</v>
          </cell>
          <cell r="K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V621">
            <v>0</v>
          </cell>
        </row>
        <row r="622">
          <cell r="B622" t="str">
            <v>KDAC150</v>
          </cell>
          <cell r="C622">
            <v>0</v>
          </cell>
          <cell r="D622" t="str">
            <v>06.6162</v>
          </cell>
          <cell r="E622" t="str">
            <v>Kéo dây nhôm lõi thép cỡ dây 150mm2</v>
          </cell>
          <cell r="F622" t="str">
            <v>km</v>
          </cell>
          <cell r="H622">
            <v>0</v>
          </cell>
          <cell r="K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V622">
            <v>0</v>
          </cell>
        </row>
        <row r="623">
          <cell r="B623" t="str">
            <v>KDAC185</v>
          </cell>
          <cell r="C623">
            <v>0</v>
          </cell>
          <cell r="D623" t="str">
            <v>06.6163</v>
          </cell>
          <cell r="E623" t="str">
            <v>Kéo dây nhôm lõi thép cỡ dây 185mm2</v>
          </cell>
          <cell r="F623" t="str">
            <v>km</v>
          </cell>
          <cell r="H623">
            <v>0</v>
          </cell>
          <cell r="K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V623">
            <v>0</v>
          </cell>
        </row>
        <row r="624">
          <cell r="B624" t="str">
            <v>KDAC240</v>
          </cell>
          <cell r="C624">
            <v>0</v>
          </cell>
          <cell r="D624" t="str">
            <v>06.6164</v>
          </cell>
          <cell r="E624" t="str">
            <v>Kéo dây nhôm lõi thép cỡ dây 240mm2</v>
          </cell>
          <cell r="F624" t="str">
            <v>km</v>
          </cell>
          <cell r="H624">
            <v>0</v>
          </cell>
          <cell r="K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V624">
            <v>0</v>
          </cell>
        </row>
        <row r="625">
          <cell r="B625" t="str">
            <v>KDAC50T</v>
          </cell>
          <cell r="C625">
            <v>0</v>
          </cell>
          <cell r="D625" t="str">
            <v>06.6114</v>
          </cell>
          <cell r="E625" t="str">
            <v>Kéo dây nhôm lõi thép cỡ dây 50mm2 (TC)</v>
          </cell>
          <cell r="F625" t="str">
            <v>km</v>
          </cell>
          <cell r="H625">
            <v>0</v>
          </cell>
          <cell r="K625">
            <v>2665338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V625">
            <v>0</v>
          </cell>
        </row>
        <row r="626">
          <cell r="B626" t="str">
            <v>KDM25</v>
          </cell>
          <cell r="C626">
            <v>0</v>
          </cell>
          <cell r="D626" t="str">
            <v>06.6142</v>
          </cell>
          <cell r="E626" t="str">
            <v>Kéo dây đồng trần 25mm2</v>
          </cell>
          <cell r="F626" t="str">
            <v>km</v>
          </cell>
          <cell r="H626">
            <v>0</v>
          </cell>
          <cell r="K626">
            <v>2717702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V626">
            <v>0</v>
          </cell>
        </row>
        <row r="627">
          <cell r="B627" t="str">
            <v>KDM25b</v>
          </cell>
          <cell r="C627">
            <v>0</v>
          </cell>
          <cell r="D627" t="str">
            <v>06.6142</v>
          </cell>
          <cell r="E627" t="str">
            <v>Kéo dây đồng bọc 25mm2</v>
          </cell>
          <cell r="F627" t="str">
            <v>km</v>
          </cell>
          <cell r="H627">
            <v>0</v>
          </cell>
          <cell r="K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V627">
            <v>0</v>
          </cell>
        </row>
        <row r="628">
          <cell r="B628" t="str">
            <v>KDM50b</v>
          </cell>
          <cell r="C628">
            <v>0</v>
          </cell>
          <cell r="D628" t="str">
            <v>06.6144</v>
          </cell>
          <cell r="E628" t="str">
            <v>Kéo dây đồng bọc 50mm3</v>
          </cell>
          <cell r="F628" t="str">
            <v>km</v>
          </cell>
          <cell r="H628">
            <v>0</v>
          </cell>
          <cell r="K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V628">
            <v>0</v>
          </cell>
        </row>
        <row r="629">
          <cell r="B629" t="str">
            <v>KDAC50B</v>
          </cell>
          <cell r="C629">
            <v>0</v>
          </cell>
          <cell r="D629" t="str">
            <v>D3.6211</v>
          </cell>
          <cell r="E629" t="str">
            <v>Kéo dây nhôm lõi thép bọc XLPE cỡ dây 50mm2</v>
          </cell>
          <cell r="F629" t="str">
            <v>km</v>
          </cell>
          <cell r="G629">
            <v>0</v>
          </cell>
          <cell r="H629">
            <v>0</v>
          </cell>
          <cell r="K629">
            <v>2478208</v>
          </cell>
          <cell r="M629">
            <v>157041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V629">
            <v>0</v>
          </cell>
        </row>
        <row r="630">
          <cell r="B630" t="str">
            <v>KDAC70B</v>
          </cell>
          <cell r="C630">
            <v>1</v>
          </cell>
          <cell r="D630" t="str">
            <v>D3.6211</v>
          </cell>
          <cell r="E630" t="str">
            <v>Kéo dây nhôm lõi thép bọc XLPE cỡ dây 70mm2</v>
          </cell>
          <cell r="F630" t="str">
            <v>km</v>
          </cell>
          <cell r="G630">
            <v>10.39</v>
          </cell>
          <cell r="H630">
            <v>0</v>
          </cell>
          <cell r="K630">
            <v>2478208</v>
          </cell>
          <cell r="M630">
            <v>157041</v>
          </cell>
          <cell r="N630">
            <v>0</v>
          </cell>
          <cell r="O630">
            <v>0</v>
          </cell>
          <cell r="P630">
            <v>0</v>
          </cell>
          <cell r="Q630">
            <v>25748581.120000001</v>
          </cell>
          <cell r="R630">
            <v>0</v>
          </cell>
          <cell r="S630">
            <v>1631655.99</v>
          </cell>
          <cell r="V630">
            <v>10.39</v>
          </cell>
        </row>
        <row r="631">
          <cell r="B631" t="str">
            <v>KDAC95B</v>
          </cell>
          <cell r="C631">
            <v>1</v>
          </cell>
          <cell r="D631" t="str">
            <v>D3.6212</v>
          </cell>
          <cell r="E631" t="str">
            <v>Kéo dây nhôm lõi thép bọc XLPE cỡ dây 95mm2</v>
          </cell>
          <cell r="F631" t="str">
            <v>km</v>
          </cell>
          <cell r="G631">
            <v>2.2290000000000001</v>
          </cell>
          <cell r="H631">
            <v>0</v>
          </cell>
          <cell r="K631">
            <v>3363890</v>
          </cell>
          <cell r="M631">
            <v>212862</v>
          </cell>
          <cell r="N631">
            <v>0</v>
          </cell>
          <cell r="O631">
            <v>0</v>
          </cell>
          <cell r="P631">
            <v>0</v>
          </cell>
          <cell r="Q631">
            <v>7498110.8100000005</v>
          </cell>
          <cell r="R631">
            <v>0</v>
          </cell>
          <cell r="S631">
            <v>474469.39800000004</v>
          </cell>
        </row>
        <row r="632">
          <cell r="B632" t="str">
            <v>KDAC120B</v>
          </cell>
          <cell r="C632">
            <v>0</v>
          </cell>
          <cell r="D632" t="str">
            <v>D3.6251</v>
          </cell>
          <cell r="E632" t="str">
            <v>Kéo dây nhôm lõi thép bọc XLPE cỡ dây 120mm2</v>
          </cell>
          <cell r="F632" t="str">
            <v>km</v>
          </cell>
          <cell r="G632">
            <v>0</v>
          </cell>
          <cell r="H632">
            <v>0</v>
          </cell>
          <cell r="K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</row>
        <row r="633">
          <cell r="B633" t="str">
            <v>KDAC150B</v>
          </cell>
          <cell r="C633">
            <v>0</v>
          </cell>
          <cell r="D633" t="str">
            <v>D3.6252</v>
          </cell>
          <cell r="E633" t="str">
            <v>Kéo dây nhôm lõi thép bọc XLPE cỡ dây 150mm2</v>
          </cell>
          <cell r="F633" t="str">
            <v>km</v>
          </cell>
          <cell r="G633">
            <v>0</v>
          </cell>
          <cell r="H633">
            <v>0</v>
          </cell>
          <cell r="K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</row>
        <row r="634">
          <cell r="B634" t="str">
            <v>KDAC185B</v>
          </cell>
          <cell r="C634">
            <v>0</v>
          </cell>
          <cell r="D634" t="str">
            <v>D3.6252</v>
          </cell>
          <cell r="E634" t="str">
            <v>Kéo dây nhôm lõi thép bọc XLPE cỡ dây 185mm2</v>
          </cell>
          <cell r="F634" t="str">
            <v>km</v>
          </cell>
          <cell r="G634">
            <v>0</v>
          </cell>
          <cell r="H634">
            <v>0</v>
          </cell>
          <cell r="K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</row>
        <row r="635">
          <cell r="B635" t="str">
            <v>KDAC50BT</v>
          </cell>
          <cell r="C635">
            <v>0</v>
          </cell>
          <cell r="D635" t="str">
            <v>D3.6114</v>
          </cell>
          <cell r="E635" t="str">
            <v>Kéo dây nhôm lõi thép bọc XLPE cỡ dây 50mm2 (TC)</v>
          </cell>
          <cell r="F635" t="str">
            <v>km</v>
          </cell>
          <cell r="H635">
            <v>0</v>
          </cell>
          <cell r="K635">
            <v>3807626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V635">
            <v>0</v>
          </cell>
        </row>
        <row r="636">
          <cell r="A636" t="str">
            <v>TBTT3P</v>
          </cell>
          <cell r="C636">
            <v>1</v>
          </cell>
          <cell r="E636" t="str">
            <v>Phần thiết bị đường dây trung thế 3 pha</v>
          </cell>
          <cell r="G636">
            <v>1</v>
          </cell>
          <cell r="N636">
            <v>23460000</v>
          </cell>
          <cell r="O636">
            <v>0</v>
          </cell>
          <cell r="P636">
            <v>0</v>
          </cell>
          <cell r="Q636">
            <v>4359696</v>
          </cell>
          <cell r="R636">
            <v>0</v>
          </cell>
          <cell r="S636">
            <v>0</v>
          </cell>
          <cell r="V636">
            <v>1</v>
          </cell>
        </row>
        <row r="637">
          <cell r="B637" t="str">
            <v>FCO100</v>
          </cell>
          <cell r="C637">
            <v>1</v>
          </cell>
          <cell r="D637" t="str">
            <v>T2.3505</v>
          </cell>
          <cell r="E637" t="str">
            <v>FCO 27kV - 100A</v>
          </cell>
          <cell r="F637" t="str">
            <v>cái</v>
          </cell>
          <cell r="G637">
            <v>23</v>
          </cell>
          <cell r="H637">
            <v>1020000</v>
          </cell>
          <cell r="K637">
            <v>189552</v>
          </cell>
          <cell r="M637">
            <v>0</v>
          </cell>
          <cell r="N637">
            <v>23460000</v>
          </cell>
          <cell r="O637">
            <v>0</v>
          </cell>
          <cell r="P637">
            <v>0</v>
          </cell>
          <cell r="Q637">
            <v>4359696</v>
          </cell>
          <cell r="R637">
            <v>0</v>
          </cell>
          <cell r="S637">
            <v>0</v>
          </cell>
          <cell r="V637">
            <v>23</v>
          </cell>
        </row>
        <row r="638">
          <cell r="B638" t="str">
            <v>LA18</v>
          </cell>
          <cell r="C638">
            <v>0</v>
          </cell>
          <cell r="D638" t="str">
            <v>T2.5004</v>
          </cell>
          <cell r="E638" t="str">
            <v>LA 18kV 10kA</v>
          </cell>
          <cell r="F638" t="str">
            <v>cái</v>
          </cell>
          <cell r="G638">
            <v>0</v>
          </cell>
          <cell r="H638">
            <v>910000</v>
          </cell>
          <cell r="K638">
            <v>71082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V638">
            <v>0</v>
          </cell>
        </row>
        <row r="639">
          <cell r="A639" t="str">
            <v>DDHT</v>
          </cell>
          <cell r="C639">
            <v>1</v>
          </cell>
          <cell r="D639">
            <v>2</v>
          </cell>
          <cell r="E639" t="str">
            <v>Phần đường dây hạ thế</v>
          </cell>
          <cell r="F639" t="str">
            <v>Tbộ</v>
          </cell>
          <cell r="G639">
            <v>1</v>
          </cell>
          <cell r="N639">
            <v>2504766645</v>
          </cell>
          <cell r="O639">
            <v>0</v>
          </cell>
          <cell r="P639">
            <v>0</v>
          </cell>
          <cell r="Q639">
            <v>146240060.19000003</v>
          </cell>
          <cell r="R639">
            <v>0</v>
          </cell>
          <cell r="S639">
            <v>0</v>
          </cell>
          <cell r="AB639">
            <v>1</v>
          </cell>
        </row>
        <row r="640">
          <cell r="B640" t="str">
            <v>AV95</v>
          </cell>
          <cell r="C640">
            <v>0</v>
          </cell>
          <cell r="D640">
            <v>0</v>
          </cell>
          <cell r="E640" t="str">
            <v>Cáp nhôm bọc AV95</v>
          </cell>
          <cell r="F640" t="str">
            <v>mét</v>
          </cell>
          <cell r="G640">
            <v>0</v>
          </cell>
          <cell r="H640">
            <v>0</v>
          </cell>
          <cell r="K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AB640">
            <v>0</v>
          </cell>
        </row>
        <row r="641">
          <cell r="B641" t="str">
            <v>AV120</v>
          </cell>
          <cell r="C641">
            <v>0</v>
          </cell>
          <cell r="D641">
            <v>0</v>
          </cell>
          <cell r="E641" t="str">
            <v>Cáp nhôm bọc AV120</v>
          </cell>
          <cell r="F641" t="str">
            <v>mét</v>
          </cell>
          <cell r="G641">
            <v>0</v>
          </cell>
          <cell r="H641">
            <v>0</v>
          </cell>
          <cell r="K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AB641">
            <v>0</v>
          </cell>
        </row>
        <row r="642">
          <cell r="B642" t="str">
            <v>AV150</v>
          </cell>
          <cell r="C642">
            <v>0</v>
          </cell>
          <cell r="D642">
            <v>0</v>
          </cell>
          <cell r="E642" t="str">
            <v>Cáp nhôm bọc AV150</v>
          </cell>
          <cell r="F642" t="str">
            <v>mét</v>
          </cell>
          <cell r="G642">
            <v>0</v>
          </cell>
          <cell r="H642">
            <v>0</v>
          </cell>
          <cell r="K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AB642">
            <v>0</v>
          </cell>
        </row>
        <row r="643">
          <cell r="B643" t="str">
            <v>AC70</v>
          </cell>
          <cell r="C643">
            <v>0</v>
          </cell>
          <cell r="D643">
            <v>0.27600000000000002</v>
          </cell>
          <cell r="E643" t="str">
            <v>Cáp nhôm lõi thép AC-70/11</v>
          </cell>
          <cell r="F643" t="str">
            <v>kg</v>
          </cell>
          <cell r="G643">
            <v>0</v>
          </cell>
          <cell r="H643">
            <v>54400</v>
          </cell>
          <cell r="K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AB643">
            <v>0</v>
          </cell>
        </row>
        <row r="644">
          <cell r="B644" t="str">
            <v>AC95</v>
          </cell>
          <cell r="C644">
            <v>0</v>
          </cell>
          <cell r="D644">
            <v>0.38500000000000001</v>
          </cell>
          <cell r="E644" t="str">
            <v>Cáp nhôm lõi thép AC-95/16</v>
          </cell>
          <cell r="F644" t="str">
            <v>kg</v>
          </cell>
          <cell r="G644">
            <v>0</v>
          </cell>
          <cell r="H644">
            <v>60000</v>
          </cell>
          <cell r="K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AB644">
            <v>0</v>
          </cell>
        </row>
        <row r="645">
          <cell r="B645" t="str">
            <v>ABC3x70</v>
          </cell>
          <cell r="C645">
            <v>0</v>
          </cell>
          <cell r="D645">
            <v>0</v>
          </cell>
          <cell r="E645" t="str">
            <v>Cáp nhôm ABC 3x70mm2</v>
          </cell>
          <cell r="F645" t="str">
            <v>mét</v>
          </cell>
          <cell r="G645">
            <v>0</v>
          </cell>
          <cell r="H645">
            <v>0</v>
          </cell>
          <cell r="K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AB645">
            <v>0</v>
          </cell>
        </row>
        <row r="646">
          <cell r="B646" t="str">
            <v>ABC4x70</v>
          </cell>
          <cell r="C646">
            <v>0</v>
          </cell>
          <cell r="D646">
            <v>0</v>
          </cell>
          <cell r="E646" t="str">
            <v>Cáp nhôm ABC 4x70mm2</v>
          </cell>
          <cell r="F646" t="str">
            <v>mét</v>
          </cell>
          <cell r="G646">
            <v>0</v>
          </cell>
          <cell r="H646">
            <v>0</v>
          </cell>
          <cell r="K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AB646">
            <v>0</v>
          </cell>
        </row>
        <row r="647">
          <cell r="B647" t="str">
            <v>ABC3x95</v>
          </cell>
          <cell r="C647">
            <v>0</v>
          </cell>
          <cell r="D647">
            <v>0</v>
          </cell>
          <cell r="E647" t="str">
            <v>Cáp nhôm ABC 3x95mm2</v>
          </cell>
          <cell r="F647" t="str">
            <v>mét</v>
          </cell>
          <cell r="G647">
            <v>0</v>
          </cell>
          <cell r="H647">
            <v>0</v>
          </cell>
          <cell r="K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AB647">
            <v>0</v>
          </cell>
        </row>
        <row r="648">
          <cell r="B648" t="str">
            <v>ABC4x95</v>
          </cell>
          <cell r="C648">
            <v>0</v>
          </cell>
          <cell r="D648">
            <v>0</v>
          </cell>
          <cell r="E648" t="str">
            <v>Cáp nhôm ABC 4x95mm2</v>
          </cell>
          <cell r="F648" t="str">
            <v>mét</v>
          </cell>
          <cell r="G648">
            <v>0</v>
          </cell>
          <cell r="H648">
            <v>0</v>
          </cell>
          <cell r="K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AB648">
            <v>0</v>
          </cell>
        </row>
        <row r="649">
          <cell r="B649" t="str">
            <v>ABC3x120</v>
          </cell>
          <cell r="C649">
            <v>1</v>
          </cell>
          <cell r="D649">
            <v>0</v>
          </cell>
          <cell r="E649" t="str">
            <v>Cáp nhôm ABC 3x120mm2</v>
          </cell>
          <cell r="F649" t="str">
            <v>mét</v>
          </cell>
          <cell r="G649">
            <v>1645</v>
          </cell>
          <cell r="H649">
            <v>90210</v>
          </cell>
          <cell r="K649">
            <v>0</v>
          </cell>
          <cell r="M649">
            <v>0</v>
          </cell>
          <cell r="N649">
            <v>148395450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AB649">
            <v>1645</v>
          </cell>
        </row>
        <row r="650">
          <cell r="B650" t="str">
            <v>ABC4x120</v>
          </cell>
          <cell r="C650">
            <v>1</v>
          </cell>
          <cell r="D650">
            <v>0</v>
          </cell>
          <cell r="E650" t="str">
            <v>Cáp nhôm ABC 4x120mm2</v>
          </cell>
          <cell r="F650" t="str">
            <v>mét</v>
          </cell>
          <cell r="G650">
            <v>16035</v>
          </cell>
          <cell r="H650">
            <v>119230</v>
          </cell>
          <cell r="K650">
            <v>0</v>
          </cell>
          <cell r="M650">
            <v>0</v>
          </cell>
          <cell r="N650">
            <v>1911853050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AB650">
            <v>16035</v>
          </cell>
        </row>
        <row r="651">
          <cell r="B651" t="str">
            <v>ABC4x150</v>
          </cell>
          <cell r="C651">
            <v>0</v>
          </cell>
          <cell r="D651">
            <v>0</v>
          </cell>
          <cell r="E651" t="str">
            <v>Cáp nhôm ABC 4x150mm2</v>
          </cell>
          <cell r="F651" t="str">
            <v>mét</v>
          </cell>
          <cell r="G651">
            <v>0</v>
          </cell>
          <cell r="H651">
            <v>0</v>
          </cell>
          <cell r="K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AB651">
            <v>0</v>
          </cell>
        </row>
        <row r="652">
          <cell r="B652" t="str">
            <v>GIP70-35</v>
          </cell>
          <cell r="C652">
            <v>0</v>
          </cell>
          <cell r="E652" t="str">
            <v>Ghíp nối IPC 70-35</v>
          </cell>
          <cell r="F652" t="str">
            <v>cái</v>
          </cell>
          <cell r="G652">
            <v>0</v>
          </cell>
          <cell r="H652">
            <v>0</v>
          </cell>
          <cell r="K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AB652">
            <v>0</v>
          </cell>
        </row>
        <row r="653">
          <cell r="B653" t="str">
            <v>GIP95-35</v>
          </cell>
          <cell r="C653">
            <v>0</v>
          </cell>
          <cell r="E653" t="str">
            <v>Ghíp nối IPC 95-35</v>
          </cell>
          <cell r="F653" t="str">
            <v>cái</v>
          </cell>
          <cell r="G653">
            <v>0</v>
          </cell>
          <cell r="H653">
            <v>22000</v>
          </cell>
          <cell r="K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AB653">
            <v>0</v>
          </cell>
        </row>
        <row r="654">
          <cell r="B654" t="str">
            <v>GIP120-35</v>
          </cell>
          <cell r="C654">
            <v>1</v>
          </cell>
          <cell r="E654" t="str">
            <v>Ghíp nối IPC 120-35</v>
          </cell>
          <cell r="F654" t="str">
            <v>cái</v>
          </cell>
          <cell r="G654">
            <v>2000</v>
          </cell>
          <cell r="H654">
            <v>42000</v>
          </cell>
          <cell r="K654">
            <v>0</v>
          </cell>
          <cell r="M654">
            <v>0</v>
          </cell>
          <cell r="N654">
            <v>84000000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AB654">
            <v>2000</v>
          </cell>
        </row>
        <row r="655">
          <cell r="B655" t="str">
            <v>GIP150-35</v>
          </cell>
          <cell r="C655">
            <v>0</v>
          </cell>
          <cell r="E655" t="str">
            <v>Ghíp nối IPC 150-35</v>
          </cell>
          <cell r="F655" t="str">
            <v>cái</v>
          </cell>
          <cell r="G655">
            <v>0</v>
          </cell>
          <cell r="H655">
            <v>42000</v>
          </cell>
          <cell r="K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AB655">
            <v>0</v>
          </cell>
        </row>
        <row r="656">
          <cell r="B656" t="str">
            <v>GIP120-120</v>
          </cell>
          <cell r="C656">
            <v>0</v>
          </cell>
          <cell r="E656" t="str">
            <v>Ghíp nối IPC 120-120</v>
          </cell>
          <cell r="F656" t="str">
            <v>cái</v>
          </cell>
          <cell r="G656">
            <v>0</v>
          </cell>
          <cell r="H656">
            <v>42000</v>
          </cell>
          <cell r="K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AB656">
            <v>0</v>
          </cell>
        </row>
        <row r="657">
          <cell r="B657" t="str">
            <v>HOPCB</v>
          </cell>
          <cell r="C657">
            <v>1</v>
          </cell>
          <cell r="D657">
            <v>0</v>
          </cell>
          <cell r="E657" t="str">
            <v>Hộp gắn CB phân đoạn</v>
          </cell>
          <cell r="F657" t="str">
            <v>cái</v>
          </cell>
          <cell r="G657">
            <v>10</v>
          </cell>
          <cell r="H657">
            <v>450000</v>
          </cell>
          <cell r="K657">
            <v>0</v>
          </cell>
          <cell r="M657">
            <v>0</v>
          </cell>
          <cell r="N657">
            <v>4500000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AB657">
            <v>10</v>
          </cell>
        </row>
        <row r="658">
          <cell r="B658" t="str">
            <v>HOP9C</v>
          </cell>
          <cell r="C658">
            <v>1</v>
          </cell>
          <cell r="D658">
            <v>0</v>
          </cell>
          <cell r="E658" t="str">
            <v>Hộp phân phối 9 cực bắt trực tiếp</v>
          </cell>
          <cell r="F658" t="str">
            <v>cái</v>
          </cell>
          <cell r="G658">
            <v>360</v>
          </cell>
          <cell r="H658">
            <v>390000</v>
          </cell>
          <cell r="K658">
            <v>0</v>
          </cell>
          <cell r="M658">
            <v>0</v>
          </cell>
          <cell r="N658">
            <v>140400000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AB658">
            <v>360</v>
          </cell>
        </row>
        <row r="659">
          <cell r="B659" t="str">
            <v>HOP6C</v>
          </cell>
          <cell r="C659">
            <v>0</v>
          </cell>
          <cell r="D659">
            <v>0</v>
          </cell>
          <cell r="E659" t="str">
            <v>Hộp phân phối 6 cực bắt trực tiếp</v>
          </cell>
          <cell r="F659" t="str">
            <v>cái</v>
          </cell>
          <cell r="G659">
            <v>0</v>
          </cell>
          <cell r="H659">
            <v>370000</v>
          </cell>
          <cell r="K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AB659">
            <v>0</v>
          </cell>
        </row>
        <row r="660">
          <cell r="B660" t="str">
            <v>CV25</v>
          </cell>
          <cell r="C660">
            <v>1</v>
          </cell>
          <cell r="D660">
            <v>0</v>
          </cell>
          <cell r="E660" t="str">
            <v>Cáp đồng bọc CV25</v>
          </cell>
          <cell r="F660" t="str">
            <v>mét</v>
          </cell>
          <cell r="G660">
            <v>1411</v>
          </cell>
          <cell r="H660">
            <v>46540</v>
          </cell>
          <cell r="K660">
            <v>0</v>
          </cell>
          <cell r="M660">
            <v>0</v>
          </cell>
          <cell r="N660">
            <v>65667940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AB660">
            <v>1411</v>
          </cell>
        </row>
        <row r="661">
          <cell r="B661" t="str">
            <v>KT70</v>
          </cell>
          <cell r="C661">
            <v>0</v>
          </cell>
          <cell r="D661">
            <v>0</v>
          </cell>
          <cell r="E661" t="str">
            <v>Kẹp treo cáp ABC4x70mm2</v>
          </cell>
          <cell r="F661" t="str">
            <v>cái</v>
          </cell>
          <cell r="G661">
            <v>0</v>
          </cell>
          <cell r="H661">
            <v>0</v>
          </cell>
          <cell r="K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AB661">
            <v>0</v>
          </cell>
        </row>
        <row r="662">
          <cell r="B662" t="str">
            <v>KT95</v>
          </cell>
          <cell r="C662">
            <v>0</v>
          </cell>
          <cell r="D662">
            <v>0</v>
          </cell>
          <cell r="E662" t="str">
            <v>Kẹp treo cáp ABC4x95mm2</v>
          </cell>
          <cell r="F662" t="str">
            <v>cái</v>
          </cell>
          <cell r="G662">
            <v>0</v>
          </cell>
          <cell r="H662">
            <v>0</v>
          </cell>
          <cell r="K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AB662">
            <v>0</v>
          </cell>
        </row>
        <row r="663">
          <cell r="B663" t="str">
            <v>KT120</v>
          </cell>
          <cell r="C663">
            <v>1</v>
          </cell>
          <cell r="D663">
            <v>0</v>
          </cell>
          <cell r="E663" t="str">
            <v>Kẹp treo cáp ABC4x120mm2</v>
          </cell>
          <cell r="F663" t="str">
            <v>cái</v>
          </cell>
          <cell r="G663">
            <v>497</v>
          </cell>
          <cell r="H663">
            <v>53000</v>
          </cell>
          <cell r="K663">
            <v>0</v>
          </cell>
          <cell r="M663">
            <v>0</v>
          </cell>
          <cell r="N663">
            <v>26341000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AB663">
            <v>497</v>
          </cell>
        </row>
        <row r="664">
          <cell r="B664" t="str">
            <v>KT150</v>
          </cell>
          <cell r="C664">
            <v>0</v>
          </cell>
          <cell r="D664">
            <v>0</v>
          </cell>
          <cell r="E664" t="str">
            <v>Kẹp treo cáp ABC4x150mm2</v>
          </cell>
          <cell r="F664" t="str">
            <v>cái</v>
          </cell>
          <cell r="G664">
            <v>0</v>
          </cell>
          <cell r="H664">
            <v>0</v>
          </cell>
          <cell r="K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AB664">
            <v>0</v>
          </cell>
        </row>
        <row r="665">
          <cell r="B665" t="str">
            <v>MT-A</v>
          </cell>
          <cell r="C665">
            <v>1</v>
          </cell>
          <cell r="D665">
            <v>0</v>
          </cell>
          <cell r="E665" t="str">
            <v>Móc treo chữ A</v>
          </cell>
          <cell r="F665" t="str">
            <v>cái</v>
          </cell>
          <cell r="G665">
            <v>125</v>
          </cell>
          <cell r="H665">
            <v>39000</v>
          </cell>
          <cell r="K665">
            <v>0</v>
          </cell>
          <cell r="M665">
            <v>0</v>
          </cell>
          <cell r="N665">
            <v>4875000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AB665">
            <v>125</v>
          </cell>
        </row>
        <row r="666">
          <cell r="B666" t="str">
            <v>KNGUNG70</v>
          </cell>
          <cell r="C666">
            <v>0</v>
          </cell>
          <cell r="E666" t="str">
            <v>Kẹp ngừng cáp ABC4x70mm2</v>
          </cell>
          <cell r="F666" t="str">
            <v>cái</v>
          </cell>
          <cell r="G666">
            <v>0</v>
          </cell>
          <cell r="H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AB666">
            <v>0</v>
          </cell>
        </row>
        <row r="667">
          <cell r="B667" t="str">
            <v>KNGUNG95</v>
          </cell>
          <cell r="C667">
            <v>0</v>
          </cell>
          <cell r="E667" t="str">
            <v>Kẹp ngừng cáp ABC4x95mm2</v>
          </cell>
          <cell r="F667" t="str">
            <v>cái</v>
          </cell>
          <cell r="G667">
            <v>0</v>
          </cell>
          <cell r="H667">
            <v>0</v>
          </cell>
          <cell r="K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AB667">
            <v>0</v>
          </cell>
        </row>
        <row r="668">
          <cell r="B668" t="str">
            <v>KNGUNG120</v>
          </cell>
          <cell r="C668">
            <v>1</v>
          </cell>
          <cell r="E668" t="str">
            <v>Kẹp ngừng cáp ABC4x120mm2</v>
          </cell>
          <cell r="F668" t="str">
            <v>cái</v>
          </cell>
          <cell r="G668">
            <v>219</v>
          </cell>
          <cell r="H668">
            <v>74000</v>
          </cell>
          <cell r="K668">
            <v>0</v>
          </cell>
          <cell r="M668">
            <v>0</v>
          </cell>
          <cell r="N668">
            <v>16206000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AB668">
            <v>219</v>
          </cell>
        </row>
        <row r="669">
          <cell r="B669" t="str">
            <v>KNGUNG150</v>
          </cell>
          <cell r="C669">
            <v>0</v>
          </cell>
          <cell r="E669" t="str">
            <v>Kẹp ngừng cáp ABC4x150mm2</v>
          </cell>
          <cell r="F669" t="str">
            <v>cái</v>
          </cell>
          <cell r="G669">
            <v>0</v>
          </cell>
          <cell r="H669">
            <v>85000</v>
          </cell>
          <cell r="K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AB669">
            <v>0</v>
          </cell>
        </row>
        <row r="670">
          <cell r="B670" t="str">
            <v>BIT70</v>
          </cell>
          <cell r="C670">
            <v>0</v>
          </cell>
          <cell r="D670">
            <v>0</v>
          </cell>
          <cell r="E670" t="str">
            <v>Nắp bịt đầu cáp ABC70mm2</v>
          </cell>
          <cell r="F670" t="str">
            <v>cái</v>
          </cell>
          <cell r="H670">
            <v>0</v>
          </cell>
          <cell r="K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AB670">
            <v>0</v>
          </cell>
        </row>
        <row r="671">
          <cell r="B671" t="str">
            <v>BIT95</v>
          </cell>
          <cell r="C671">
            <v>0</v>
          </cell>
          <cell r="D671">
            <v>0</v>
          </cell>
          <cell r="E671" t="str">
            <v>Nắp bịt đầu cáp ABC95mm2</v>
          </cell>
          <cell r="F671" t="str">
            <v>cái</v>
          </cell>
          <cell r="H671">
            <v>0</v>
          </cell>
          <cell r="K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AB671">
            <v>0</v>
          </cell>
        </row>
        <row r="672">
          <cell r="B672" t="str">
            <v>BIT120</v>
          </cell>
          <cell r="C672">
            <v>0</v>
          </cell>
          <cell r="D672">
            <v>0</v>
          </cell>
          <cell r="E672" t="str">
            <v>Nắp bịt đầu cáp ABC120mm2</v>
          </cell>
          <cell r="F672" t="str">
            <v>cái</v>
          </cell>
          <cell r="H672">
            <v>0</v>
          </cell>
          <cell r="K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AB672">
            <v>0</v>
          </cell>
        </row>
        <row r="673">
          <cell r="B673" t="str">
            <v>BIT150</v>
          </cell>
          <cell r="C673">
            <v>0</v>
          </cell>
          <cell r="D673">
            <v>0</v>
          </cell>
          <cell r="E673" t="str">
            <v>Nắp bịt đầu cáp ABC150mm2</v>
          </cell>
          <cell r="F673" t="str">
            <v>cái</v>
          </cell>
          <cell r="H673">
            <v>0</v>
          </cell>
          <cell r="K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AB673">
            <v>0</v>
          </cell>
        </row>
        <row r="674">
          <cell r="B674" t="str">
            <v>R1</v>
          </cell>
          <cell r="C674">
            <v>1</v>
          </cell>
          <cell r="D674">
            <v>0</v>
          </cell>
          <cell r="E674" t="str">
            <v>Uclevis - 3mm (loại gân) 32</v>
          </cell>
          <cell r="F674" t="str">
            <v>cái</v>
          </cell>
          <cell r="G674">
            <v>10</v>
          </cell>
          <cell r="H674">
            <v>18000</v>
          </cell>
          <cell r="K674">
            <v>0</v>
          </cell>
          <cell r="M674">
            <v>0</v>
          </cell>
          <cell r="N674">
            <v>180000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AB674">
            <v>10</v>
          </cell>
        </row>
        <row r="675">
          <cell r="B675" t="str">
            <v>r3</v>
          </cell>
          <cell r="C675">
            <v>0</v>
          </cell>
          <cell r="D675">
            <v>0</v>
          </cell>
          <cell r="E675" t="str">
            <v>Rack 3 sứ</v>
          </cell>
          <cell r="F675" t="str">
            <v>cái</v>
          </cell>
          <cell r="G675">
            <v>0</v>
          </cell>
          <cell r="H675">
            <v>0</v>
          </cell>
          <cell r="K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AB675">
            <v>0</v>
          </cell>
        </row>
        <row r="676">
          <cell r="B676" t="str">
            <v>r4</v>
          </cell>
          <cell r="C676">
            <v>0</v>
          </cell>
          <cell r="D676">
            <v>0</v>
          </cell>
          <cell r="E676" t="str">
            <v>Rack 4 sứ</v>
          </cell>
          <cell r="F676" t="str">
            <v>cái</v>
          </cell>
          <cell r="G676">
            <v>0</v>
          </cell>
          <cell r="H676">
            <v>0</v>
          </cell>
          <cell r="K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AB676">
            <v>0</v>
          </cell>
        </row>
        <row r="677">
          <cell r="B677" t="str">
            <v>SOC</v>
          </cell>
          <cell r="C677">
            <v>1</v>
          </cell>
          <cell r="E677" t="str">
            <v xml:space="preserve">Sứ ống chỉ </v>
          </cell>
          <cell r="F677" t="str">
            <v>cái</v>
          </cell>
          <cell r="G677">
            <v>10</v>
          </cell>
          <cell r="H677">
            <v>16000</v>
          </cell>
          <cell r="K677">
            <v>0</v>
          </cell>
          <cell r="M677">
            <v>0</v>
          </cell>
          <cell r="N677">
            <v>160000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AB677">
            <v>10</v>
          </cell>
        </row>
        <row r="678">
          <cell r="B678" t="str">
            <v>B16250</v>
          </cell>
          <cell r="C678">
            <v>1</v>
          </cell>
          <cell r="D678">
            <v>0</v>
          </cell>
          <cell r="E678" t="str">
            <v>Boulon 16x250+ 2 long đền vuông D18-50x50x3/Zn</v>
          </cell>
          <cell r="F678" t="str">
            <v>bộ</v>
          </cell>
          <cell r="G678">
            <v>231</v>
          </cell>
          <cell r="H678">
            <v>28000</v>
          </cell>
          <cell r="K678">
            <v>0</v>
          </cell>
          <cell r="M678">
            <v>0</v>
          </cell>
          <cell r="N678">
            <v>6468000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AB678">
            <v>231</v>
          </cell>
        </row>
        <row r="679">
          <cell r="B679" t="str">
            <v>B16300</v>
          </cell>
          <cell r="C679">
            <v>0</v>
          </cell>
          <cell r="D679">
            <v>0</v>
          </cell>
          <cell r="E679" t="str">
            <v>Boulon 16x300+ 2 long đền vuông D18-50x50x3/Zn</v>
          </cell>
          <cell r="F679" t="str">
            <v>bộ</v>
          </cell>
          <cell r="G679">
            <v>0</v>
          </cell>
          <cell r="H679">
            <v>30000</v>
          </cell>
          <cell r="K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AB679">
            <v>0</v>
          </cell>
        </row>
        <row r="680">
          <cell r="B680" t="str">
            <v>B16350</v>
          </cell>
          <cell r="C680">
            <v>1</v>
          </cell>
          <cell r="D680">
            <v>0</v>
          </cell>
          <cell r="E680" t="str">
            <v>Boulon 16x350+ 2 long đền vuông D18-50x50x3/Zn</v>
          </cell>
          <cell r="F680" t="str">
            <v>bộ</v>
          </cell>
          <cell r="G680">
            <v>139</v>
          </cell>
          <cell r="H680">
            <v>32500</v>
          </cell>
          <cell r="K680">
            <v>0</v>
          </cell>
          <cell r="M680">
            <v>0</v>
          </cell>
          <cell r="N680">
            <v>4517500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AB680">
            <v>139</v>
          </cell>
        </row>
        <row r="681">
          <cell r="B681" t="str">
            <v>B16400</v>
          </cell>
          <cell r="C681">
            <v>0</v>
          </cell>
          <cell r="D681">
            <v>0</v>
          </cell>
          <cell r="E681" t="str">
            <v>Boulon 16x400+ 2 long đền vuông D18-50x50x3/Zn</v>
          </cell>
          <cell r="F681" t="str">
            <v>bộ</v>
          </cell>
          <cell r="G681">
            <v>0</v>
          </cell>
          <cell r="H681">
            <v>0</v>
          </cell>
          <cell r="K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AB681">
            <v>0</v>
          </cell>
        </row>
        <row r="682">
          <cell r="B682" t="str">
            <v>BMoc16250</v>
          </cell>
          <cell r="C682">
            <v>1</v>
          </cell>
          <cell r="D682">
            <v>0</v>
          </cell>
          <cell r="E682" t="str">
            <v>Boulon móc 16x250+ long đền vuông D18-50x50x3/Zn</v>
          </cell>
          <cell r="F682" t="str">
            <v>bộ</v>
          </cell>
          <cell r="G682">
            <v>352</v>
          </cell>
          <cell r="H682">
            <v>34500</v>
          </cell>
          <cell r="K682">
            <v>0</v>
          </cell>
          <cell r="M682">
            <v>0</v>
          </cell>
          <cell r="N682">
            <v>12144000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AB682">
            <v>352</v>
          </cell>
        </row>
        <row r="683">
          <cell r="B683" t="str">
            <v>BMoc16300</v>
          </cell>
          <cell r="C683">
            <v>1</v>
          </cell>
          <cell r="D683">
            <v>0</v>
          </cell>
          <cell r="E683" t="str">
            <v>Boulon móc 16x300+ long đền vuông D18-50x50x3/Zn</v>
          </cell>
          <cell r="F683" t="str">
            <v>bộ</v>
          </cell>
          <cell r="G683">
            <v>239</v>
          </cell>
          <cell r="H683">
            <v>41500</v>
          </cell>
          <cell r="K683">
            <v>0</v>
          </cell>
          <cell r="M683">
            <v>0</v>
          </cell>
          <cell r="N683">
            <v>9918500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AB683">
            <v>239</v>
          </cell>
        </row>
        <row r="684">
          <cell r="B684" t="str">
            <v>BMoc16350</v>
          </cell>
          <cell r="C684">
            <v>0</v>
          </cell>
          <cell r="D684">
            <v>0</v>
          </cell>
          <cell r="E684" t="str">
            <v>Boulon móc 16x350+ long đền vuông D18-50x50x3/Zn</v>
          </cell>
          <cell r="F684" t="str">
            <v>bộ</v>
          </cell>
          <cell r="G684">
            <v>0</v>
          </cell>
          <cell r="H684">
            <v>0</v>
          </cell>
          <cell r="K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AB684">
            <v>0</v>
          </cell>
        </row>
        <row r="685">
          <cell r="B685" t="str">
            <v>BMoc16400</v>
          </cell>
          <cell r="C685">
            <v>0</v>
          </cell>
          <cell r="D685">
            <v>0</v>
          </cell>
          <cell r="E685" t="str">
            <v>Boulon móc 16x400+ long đền vuông D18-50x50x3/Zn</v>
          </cell>
          <cell r="F685" t="str">
            <v>bộ</v>
          </cell>
          <cell r="G685">
            <v>0</v>
          </cell>
          <cell r="H685">
            <v>44500</v>
          </cell>
          <cell r="K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AB685">
            <v>0</v>
          </cell>
        </row>
        <row r="686">
          <cell r="B686" t="str">
            <v>ONABC70</v>
          </cell>
          <cell r="C686">
            <v>0</v>
          </cell>
          <cell r="D686">
            <v>0</v>
          </cell>
          <cell r="E686" t="str">
            <v>Ống nối dây LV-ABC cỡ 70mm2</v>
          </cell>
          <cell r="F686" t="str">
            <v>cái</v>
          </cell>
          <cell r="G686">
            <v>0</v>
          </cell>
          <cell r="H686">
            <v>0</v>
          </cell>
          <cell r="K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AB686">
            <v>0</v>
          </cell>
        </row>
        <row r="687">
          <cell r="B687" t="str">
            <v>ONABC95</v>
          </cell>
          <cell r="C687">
            <v>0</v>
          </cell>
          <cell r="D687">
            <v>0</v>
          </cell>
          <cell r="E687" t="str">
            <v>Ống nối dây LV-ABC cỡ 95mm2</v>
          </cell>
          <cell r="F687" t="str">
            <v>cái</v>
          </cell>
          <cell r="G687">
            <v>0</v>
          </cell>
          <cell r="H687">
            <v>0</v>
          </cell>
          <cell r="K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AB687">
            <v>0</v>
          </cell>
        </row>
        <row r="688">
          <cell r="B688" t="str">
            <v>ONABC120</v>
          </cell>
          <cell r="C688">
            <v>1</v>
          </cell>
          <cell r="D688">
            <v>0</v>
          </cell>
          <cell r="E688" t="str">
            <v>Ống nối MJPB 120 (LV-ABC cỡ 120mm2)</v>
          </cell>
          <cell r="F688" t="str">
            <v>cái</v>
          </cell>
          <cell r="G688">
            <v>305</v>
          </cell>
          <cell r="H688">
            <v>113000</v>
          </cell>
          <cell r="K688">
            <v>0</v>
          </cell>
          <cell r="M688">
            <v>0</v>
          </cell>
          <cell r="N688">
            <v>34465000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AB688">
            <v>305</v>
          </cell>
        </row>
        <row r="689">
          <cell r="B689" t="str">
            <v>ONABC150</v>
          </cell>
          <cell r="C689">
            <v>0</v>
          </cell>
          <cell r="D689">
            <v>0</v>
          </cell>
          <cell r="E689" t="str">
            <v>Ống nối dây LV-ABC cỡ 150mm2</v>
          </cell>
          <cell r="F689" t="str">
            <v>cái</v>
          </cell>
          <cell r="G689">
            <v>0</v>
          </cell>
          <cell r="H689">
            <v>0</v>
          </cell>
          <cell r="K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AB689">
            <v>0</v>
          </cell>
        </row>
        <row r="690">
          <cell r="B690" t="str">
            <v>KE70</v>
          </cell>
          <cell r="C690">
            <v>0</v>
          </cell>
          <cell r="D690">
            <v>0</v>
          </cell>
          <cell r="E690" t="str">
            <v>Kẹp ép WR cỡ dây 70mm2</v>
          </cell>
          <cell r="F690" t="str">
            <v>cái</v>
          </cell>
          <cell r="G690">
            <v>0</v>
          </cell>
          <cell r="H690">
            <v>10500</v>
          </cell>
          <cell r="K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AB690">
            <v>0</v>
          </cell>
        </row>
        <row r="691">
          <cell r="B691" t="str">
            <v>KE95</v>
          </cell>
          <cell r="C691">
            <v>0</v>
          </cell>
          <cell r="D691">
            <v>0</v>
          </cell>
          <cell r="E691" t="str">
            <v>Kẹp ép WR cỡ dây 95mm2</v>
          </cell>
          <cell r="F691" t="str">
            <v>cái</v>
          </cell>
          <cell r="G691">
            <v>0</v>
          </cell>
          <cell r="H691">
            <v>14700</v>
          </cell>
          <cell r="K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AB691">
            <v>0</v>
          </cell>
        </row>
        <row r="692">
          <cell r="B692" t="str">
            <v>KE120</v>
          </cell>
          <cell r="C692">
            <v>1</v>
          </cell>
          <cell r="D692">
            <v>0</v>
          </cell>
          <cell r="E692" t="str">
            <v>Kẹp ép WR cỡ dây 120mm2</v>
          </cell>
          <cell r="F692" t="str">
            <v>cái</v>
          </cell>
          <cell r="G692">
            <v>134</v>
          </cell>
          <cell r="H692">
            <v>18900</v>
          </cell>
          <cell r="K692">
            <v>0</v>
          </cell>
          <cell r="M692">
            <v>0</v>
          </cell>
          <cell r="N692">
            <v>2532600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AB692">
            <v>134</v>
          </cell>
        </row>
        <row r="693">
          <cell r="B693" t="str">
            <v>CV95</v>
          </cell>
          <cell r="C693">
            <v>1</v>
          </cell>
          <cell r="D693">
            <v>0</v>
          </cell>
          <cell r="E693" t="str">
            <v>Cáp đồng bọc CV95</v>
          </cell>
          <cell r="F693" t="str">
            <v>mét</v>
          </cell>
          <cell r="G693">
            <v>45</v>
          </cell>
          <cell r="H693">
            <v>170620</v>
          </cell>
          <cell r="K693">
            <v>0</v>
          </cell>
          <cell r="M693">
            <v>0</v>
          </cell>
          <cell r="N693">
            <v>7677900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</row>
        <row r="694">
          <cell r="B694" t="str">
            <v>CV70</v>
          </cell>
          <cell r="C694">
            <v>1</v>
          </cell>
          <cell r="D694">
            <v>0</v>
          </cell>
          <cell r="E694" t="str">
            <v>Cáp đồng bọc CV70</v>
          </cell>
          <cell r="F694" t="str">
            <v>mét</v>
          </cell>
          <cell r="G694">
            <v>109</v>
          </cell>
          <cell r="H694">
            <v>124570</v>
          </cell>
          <cell r="K694">
            <v>0</v>
          </cell>
          <cell r="M694">
            <v>0</v>
          </cell>
          <cell r="N694">
            <v>13578130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</row>
        <row r="695">
          <cell r="B695" t="str">
            <v>CV25</v>
          </cell>
          <cell r="C695">
            <v>0</v>
          </cell>
          <cell r="D695">
            <v>0</v>
          </cell>
          <cell r="E695" t="str">
            <v>Cáp đồng bọc CV25</v>
          </cell>
          <cell r="F695" t="str">
            <v>mét</v>
          </cell>
          <cell r="G695">
            <v>1411</v>
          </cell>
          <cell r="H695">
            <v>46540</v>
          </cell>
          <cell r="K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</row>
        <row r="696">
          <cell r="B696" t="str">
            <v>COS95</v>
          </cell>
          <cell r="C696">
            <v>1</v>
          </cell>
          <cell r="E696" t="str">
            <v>Đầu cosse ép Cu 95mm2</v>
          </cell>
          <cell r="F696" t="str">
            <v>cái</v>
          </cell>
          <cell r="G696">
            <v>90</v>
          </cell>
          <cell r="H696">
            <v>47500</v>
          </cell>
          <cell r="N696">
            <v>4275000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</row>
        <row r="697">
          <cell r="B697" t="str">
            <v>CHCOS95</v>
          </cell>
          <cell r="C697">
            <v>1</v>
          </cell>
          <cell r="D697">
            <v>0</v>
          </cell>
          <cell r="E697" t="str">
            <v>Chụp đầu cosse  95mm2</v>
          </cell>
          <cell r="F697" t="str">
            <v>cái</v>
          </cell>
          <cell r="G697">
            <v>90</v>
          </cell>
          <cell r="H697">
            <v>3300</v>
          </cell>
          <cell r="K697">
            <v>0</v>
          </cell>
          <cell r="M697">
            <v>0</v>
          </cell>
          <cell r="N697">
            <v>297000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</row>
        <row r="698">
          <cell r="B698" t="str">
            <v>COS70</v>
          </cell>
          <cell r="C698">
            <v>1</v>
          </cell>
          <cell r="E698" t="str">
            <v>Đầu cosse ép Cu 70mm2</v>
          </cell>
          <cell r="F698" t="str">
            <v>cái</v>
          </cell>
          <cell r="G698">
            <v>162</v>
          </cell>
          <cell r="H698">
            <v>34500</v>
          </cell>
          <cell r="N698">
            <v>5589000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</row>
        <row r="699">
          <cell r="B699" t="str">
            <v>CHCOS70</v>
          </cell>
          <cell r="C699">
            <v>1</v>
          </cell>
          <cell r="D699">
            <v>0</v>
          </cell>
          <cell r="E699" t="str">
            <v>Chụp đầu cosse  70mm2</v>
          </cell>
          <cell r="F699" t="str">
            <v>cái</v>
          </cell>
          <cell r="G699">
            <v>162</v>
          </cell>
          <cell r="H699">
            <v>2300</v>
          </cell>
          <cell r="K699">
            <v>0</v>
          </cell>
          <cell r="M699">
            <v>0</v>
          </cell>
          <cell r="N699">
            <v>372600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</row>
        <row r="700">
          <cell r="B700" t="str">
            <v>ON95</v>
          </cell>
          <cell r="C700">
            <v>1</v>
          </cell>
          <cell r="E700" t="str">
            <v>Ống nối dây AC cỡ 95mm2 (Không lõi thép)</v>
          </cell>
          <cell r="F700" t="str">
            <v>cái</v>
          </cell>
          <cell r="G700">
            <v>7</v>
          </cell>
          <cell r="H700">
            <v>47500</v>
          </cell>
          <cell r="N700">
            <v>332500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AB700">
            <v>7</v>
          </cell>
        </row>
        <row r="701">
          <cell r="B701" t="str">
            <v>A70</v>
          </cell>
          <cell r="C701">
            <v>1</v>
          </cell>
          <cell r="D701">
            <v>0</v>
          </cell>
          <cell r="E701" t="str">
            <v>Cáp nhôm A-70 (Buộc cổ ống chỉ+ sứ đứng lèo)</v>
          </cell>
          <cell r="F701" t="str">
            <v>kg</v>
          </cell>
          <cell r="G701">
            <v>0.3</v>
          </cell>
          <cell r="H701">
            <v>68250</v>
          </cell>
          <cell r="K701">
            <v>0</v>
          </cell>
          <cell r="M701">
            <v>0</v>
          </cell>
          <cell r="N701">
            <v>20475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AB701">
            <v>0.3</v>
          </cell>
        </row>
        <row r="702">
          <cell r="B702" t="str">
            <v>KDA95B</v>
          </cell>
          <cell r="C702">
            <v>0</v>
          </cell>
          <cell r="D702" t="str">
            <v>06.6106</v>
          </cell>
          <cell r="E702" t="str">
            <v>Kéo dây nhôm bọc 95mm2</v>
          </cell>
          <cell r="F702" t="str">
            <v>km</v>
          </cell>
          <cell r="G702">
            <v>0</v>
          </cell>
          <cell r="H702">
            <v>0</v>
          </cell>
          <cell r="K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AB702">
            <v>0</v>
          </cell>
        </row>
        <row r="703">
          <cell r="B703" t="str">
            <v>KDA120B</v>
          </cell>
          <cell r="C703">
            <v>0</v>
          </cell>
          <cell r="D703" t="str">
            <v>06.6107</v>
          </cell>
          <cell r="E703" t="str">
            <v>Kéo dây nhôm bọc 120mm2</v>
          </cell>
          <cell r="F703" t="str">
            <v>km</v>
          </cell>
          <cell r="G703">
            <v>0</v>
          </cell>
          <cell r="H703">
            <v>0</v>
          </cell>
          <cell r="K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AB703">
            <v>0</v>
          </cell>
        </row>
        <row r="704">
          <cell r="B704" t="str">
            <v>KDA150B</v>
          </cell>
          <cell r="C704">
            <v>0</v>
          </cell>
          <cell r="D704" t="str">
            <v>06.6108</v>
          </cell>
          <cell r="E704" t="str">
            <v>Kéo dây nhôm bọc 150mm2</v>
          </cell>
          <cell r="F704" t="str">
            <v>km</v>
          </cell>
          <cell r="G704">
            <v>0</v>
          </cell>
          <cell r="H704">
            <v>0</v>
          </cell>
          <cell r="K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AB704">
            <v>0</v>
          </cell>
        </row>
        <row r="705">
          <cell r="B705" t="str">
            <v>KDAC70</v>
          </cell>
          <cell r="C705">
            <v>0</v>
          </cell>
          <cell r="D705" t="str">
            <v>D3.6211</v>
          </cell>
          <cell r="E705" t="str">
            <v>Kéo dây nhôm lõi thép cỡ dây 70mm2</v>
          </cell>
          <cell r="F705" t="str">
            <v>km</v>
          </cell>
          <cell r="G705">
            <v>0</v>
          </cell>
          <cell r="H705">
            <v>0</v>
          </cell>
          <cell r="K705">
            <v>1577041</v>
          </cell>
          <cell r="M705">
            <v>142765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AB705">
            <v>0</v>
          </cell>
        </row>
        <row r="706">
          <cell r="B706" t="str">
            <v>KDAC95</v>
          </cell>
          <cell r="C706">
            <v>0</v>
          </cell>
          <cell r="D706" t="str">
            <v>D3.6212</v>
          </cell>
          <cell r="E706" t="str">
            <v>Kéo dây nhôm lõi thép cỡ dây 95mm2</v>
          </cell>
          <cell r="F706" t="str">
            <v>km</v>
          </cell>
          <cell r="G706">
            <v>0</v>
          </cell>
          <cell r="H706">
            <v>0</v>
          </cell>
          <cell r="K706">
            <v>2140657</v>
          </cell>
          <cell r="M706">
            <v>193511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AB706">
            <v>0</v>
          </cell>
        </row>
        <row r="707">
          <cell r="B707" t="str">
            <v>KDAABC70</v>
          </cell>
          <cell r="C707">
            <v>0</v>
          </cell>
          <cell r="D707" t="str">
            <v>D3.6305</v>
          </cell>
          <cell r="E707" t="str">
            <v>Kéo dây ABC 4x70mm2</v>
          </cell>
          <cell r="F707" t="str">
            <v>km</v>
          </cell>
          <cell r="G707">
            <v>0</v>
          </cell>
          <cell r="H707">
            <v>0</v>
          </cell>
          <cell r="K707">
            <v>6669861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AB707">
            <v>0</v>
          </cell>
        </row>
        <row r="708">
          <cell r="B708" t="str">
            <v>KDAABC95</v>
          </cell>
          <cell r="C708">
            <v>0</v>
          </cell>
          <cell r="D708" t="str">
            <v>D3.6306</v>
          </cell>
          <cell r="E708" t="str">
            <v>Kéo dây ABC 4x95mm2</v>
          </cell>
          <cell r="F708" t="str">
            <v>km</v>
          </cell>
          <cell r="G708">
            <v>0</v>
          </cell>
          <cell r="H708">
            <v>0</v>
          </cell>
          <cell r="K708">
            <v>9250138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AB708">
            <v>0</v>
          </cell>
        </row>
        <row r="709">
          <cell r="B709" t="str">
            <v>KDAABC120</v>
          </cell>
          <cell r="C709">
            <v>1</v>
          </cell>
          <cell r="D709" t="str">
            <v>D3.6307</v>
          </cell>
          <cell r="E709" t="str">
            <v>Kéo dây ABC 4x120mm2 (&lt;10m)</v>
          </cell>
          <cell r="F709" t="str">
            <v>km</v>
          </cell>
          <cell r="G709">
            <v>15.721</v>
          </cell>
          <cell r="H709">
            <v>0</v>
          </cell>
          <cell r="K709">
            <v>8548321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134388154.44100001</v>
          </cell>
          <cell r="R709">
            <v>0</v>
          </cell>
          <cell r="S709">
            <v>0</v>
          </cell>
          <cell r="AB709">
            <v>15.721</v>
          </cell>
        </row>
        <row r="710">
          <cell r="B710" t="str">
            <v>KDAABC150</v>
          </cell>
          <cell r="C710">
            <v>0</v>
          </cell>
          <cell r="D710" t="str">
            <v>D3.6308</v>
          </cell>
          <cell r="E710" t="str">
            <v>Kéo dây ABC 4x150mm2</v>
          </cell>
          <cell r="F710" t="str">
            <v>km</v>
          </cell>
          <cell r="G710">
            <v>0</v>
          </cell>
          <cell r="H710">
            <v>0</v>
          </cell>
          <cell r="K710">
            <v>14654739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AB710">
            <v>0</v>
          </cell>
        </row>
        <row r="711">
          <cell r="B711" t="str">
            <v>KDAABC703</v>
          </cell>
          <cell r="C711">
            <v>0</v>
          </cell>
          <cell r="D711" t="str">
            <v>D3.6305</v>
          </cell>
          <cell r="E711" t="str">
            <v>Kéo dây ABC 3x70mm2</v>
          </cell>
          <cell r="F711" t="str">
            <v>km</v>
          </cell>
          <cell r="G711">
            <v>0</v>
          </cell>
          <cell r="H711">
            <v>0</v>
          </cell>
          <cell r="K711">
            <v>5669382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AB711">
            <v>0</v>
          </cell>
        </row>
        <row r="712">
          <cell r="B712" t="str">
            <v>KDAABC953</v>
          </cell>
          <cell r="C712">
            <v>0</v>
          </cell>
          <cell r="D712" t="str">
            <v>D3.6306</v>
          </cell>
          <cell r="E712" t="str">
            <v>Kéo dây ABC 3x95mm2</v>
          </cell>
          <cell r="F712" t="str">
            <v>km</v>
          </cell>
          <cell r="G712">
            <v>0</v>
          </cell>
          <cell r="H712">
            <v>0</v>
          </cell>
          <cell r="K712">
            <v>7862617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AB712">
            <v>0</v>
          </cell>
        </row>
        <row r="713">
          <cell r="B713" t="str">
            <v>KDAABC1203</v>
          </cell>
          <cell r="C713">
            <v>1</v>
          </cell>
          <cell r="D713" t="str">
            <v>D3.6307</v>
          </cell>
          <cell r="E713" t="str">
            <v>Kéo dây ABC 3x120mm2 (&lt;10m)</v>
          </cell>
          <cell r="F713" t="str">
            <v>km</v>
          </cell>
          <cell r="G713">
            <v>1.613</v>
          </cell>
          <cell r="H713">
            <v>0</v>
          </cell>
          <cell r="K713">
            <v>7266073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11720175.749</v>
          </cell>
          <cell r="R713">
            <v>0</v>
          </cell>
          <cell r="S713">
            <v>0</v>
          </cell>
          <cell r="AB713">
            <v>1.613</v>
          </cell>
        </row>
        <row r="714">
          <cell r="B714" t="str">
            <v>LSOC</v>
          </cell>
          <cell r="C714">
            <v>1</v>
          </cell>
          <cell r="D714" t="str">
            <v>D3.1201</v>
          </cell>
          <cell r="E714" t="str">
            <v>Lắp rack sứ + sứ ống chỉ</v>
          </cell>
          <cell r="F714" t="str">
            <v>bộ</v>
          </cell>
          <cell r="G714">
            <v>10</v>
          </cell>
          <cell r="H714">
            <v>0</v>
          </cell>
          <cell r="K714">
            <v>13173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131730</v>
          </cell>
          <cell r="R714">
            <v>0</v>
          </cell>
          <cell r="S714">
            <v>0</v>
          </cell>
          <cell r="AB714">
            <v>10</v>
          </cell>
        </row>
        <row r="715">
          <cell r="A715" t="str">
            <v>TBHT</v>
          </cell>
          <cell r="C715">
            <v>1</v>
          </cell>
          <cell r="E715" t="str">
            <v>Phần thiết bị đường dây hạ thế</v>
          </cell>
          <cell r="G715">
            <v>1</v>
          </cell>
          <cell r="N715">
            <v>104765000</v>
          </cell>
          <cell r="O715">
            <v>0</v>
          </cell>
          <cell r="P715">
            <v>0</v>
          </cell>
          <cell r="Q715">
            <v>19950348</v>
          </cell>
          <cell r="R715">
            <v>0</v>
          </cell>
          <cell r="S715">
            <v>0</v>
          </cell>
          <cell r="AB715">
            <v>1</v>
          </cell>
        </row>
        <row r="716">
          <cell r="B716" t="str">
            <v>ATM125</v>
          </cell>
          <cell r="C716">
            <v>1</v>
          </cell>
          <cell r="E716" t="str">
            <v>Bộ CB phân đoạn (125A) hạ thế lắp trên trụ</v>
          </cell>
          <cell r="F716" t="str">
            <v>Bộ</v>
          </cell>
          <cell r="G716">
            <v>3</v>
          </cell>
          <cell r="AB716">
            <v>3</v>
          </cell>
        </row>
        <row r="717">
          <cell r="B717" t="str">
            <v>ATM125</v>
          </cell>
          <cell r="C717">
            <v>1</v>
          </cell>
          <cell r="D717" t="str">
            <v>T2.8403</v>
          </cell>
          <cell r="E717" t="str">
            <v>MCCB 3 cực 400V - 125A - 30KA (80-125A)</v>
          </cell>
          <cell r="F717" t="str">
            <v>cái</v>
          </cell>
          <cell r="G717">
            <v>3</v>
          </cell>
          <cell r="H717">
            <v>2575000</v>
          </cell>
          <cell r="K717">
            <v>450186</v>
          </cell>
          <cell r="M717">
            <v>0</v>
          </cell>
          <cell r="N717">
            <v>7725000</v>
          </cell>
          <cell r="O717">
            <v>0</v>
          </cell>
          <cell r="P717">
            <v>0</v>
          </cell>
          <cell r="Q717">
            <v>1350558</v>
          </cell>
          <cell r="R717">
            <v>0</v>
          </cell>
          <cell r="S717">
            <v>0</v>
          </cell>
          <cell r="AB717">
            <v>3</v>
          </cell>
        </row>
        <row r="718">
          <cell r="B718" t="str">
            <v>ATM160</v>
          </cell>
          <cell r="C718">
            <v>1</v>
          </cell>
          <cell r="E718" t="str">
            <v>Bộ CB phân đoạn (160A) hạ thế lắp trên trụ</v>
          </cell>
          <cell r="F718" t="str">
            <v>Bộ</v>
          </cell>
          <cell r="G718">
            <v>7</v>
          </cell>
          <cell r="AB718">
            <v>7</v>
          </cell>
        </row>
        <row r="719">
          <cell r="B719" t="str">
            <v>ATM160</v>
          </cell>
          <cell r="C719">
            <v>1</v>
          </cell>
          <cell r="D719" t="str">
            <v>T2.8403</v>
          </cell>
          <cell r="E719" t="str">
            <v>MCCB 3 cực 400V - 160A - 35KA (100-160A)</v>
          </cell>
          <cell r="F719" t="str">
            <v>cái</v>
          </cell>
          <cell r="G719">
            <v>7</v>
          </cell>
          <cell r="H719">
            <v>2230000</v>
          </cell>
          <cell r="K719">
            <v>450186</v>
          </cell>
          <cell r="M719">
            <v>0</v>
          </cell>
          <cell r="N719">
            <v>15610000</v>
          </cell>
          <cell r="O719">
            <v>0</v>
          </cell>
          <cell r="P719">
            <v>0</v>
          </cell>
          <cell r="Q719">
            <v>3151302</v>
          </cell>
          <cell r="R719">
            <v>0</v>
          </cell>
          <cell r="S719">
            <v>0</v>
          </cell>
          <cell r="AB719">
            <v>7</v>
          </cell>
        </row>
        <row r="720">
          <cell r="B720" t="str">
            <v>ATM200</v>
          </cell>
          <cell r="C720">
            <v>0</v>
          </cell>
          <cell r="E720" t="str">
            <v>Bộ CB phân đoạn (200A) hạ thế lắp trên trụ</v>
          </cell>
          <cell r="F720" t="str">
            <v>Bộ</v>
          </cell>
          <cell r="G720">
            <v>0</v>
          </cell>
          <cell r="AB720">
            <v>0</v>
          </cell>
        </row>
        <row r="721">
          <cell r="B721" t="str">
            <v>ATM200</v>
          </cell>
          <cell r="C721">
            <v>0</v>
          </cell>
          <cell r="D721" t="str">
            <v>T2.8403</v>
          </cell>
          <cell r="E721" t="str">
            <v>MCCB 3 cực 400V - 200A - 35KA (125-200A)</v>
          </cell>
          <cell r="F721" t="str">
            <v>cái</v>
          </cell>
          <cell r="G721">
            <v>0</v>
          </cell>
          <cell r="H721">
            <v>2590000</v>
          </cell>
          <cell r="K721">
            <v>450186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AB721">
            <v>0</v>
          </cell>
        </row>
        <row r="722">
          <cell r="B722" t="str">
            <v>ATM160</v>
          </cell>
          <cell r="C722">
            <v>1</v>
          </cell>
          <cell r="E722" t="str">
            <v>Bộ CB phân đoạn (160A) hạ thế lắp tại trạm</v>
          </cell>
          <cell r="F722" t="str">
            <v>Bộ</v>
          </cell>
          <cell r="G722">
            <v>19</v>
          </cell>
          <cell r="AB722">
            <v>19</v>
          </cell>
        </row>
        <row r="723">
          <cell r="B723" t="str">
            <v>ATM160</v>
          </cell>
          <cell r="C723">
            <v>1</v>
          </cell>
          <cell r="D723" t="str">
            <v>T2.8403</v>
          </cell>
          <cell r="E723" t="str">
            <v>MCCB 3 cực 400V - 160A - 35KA (100-160A)</v>
          </cell>
          <cell r="F723" t="str">
            <v>cái</v>
          </cell>
          <cell r="G723">
            <v>19</v>
          </cell>
          <cell r="H723">
            <v>2230000</v>
          </cell>
          <cell r="K723">
            <v>450186</v>
          </cell>
          <cell r="M723">
            <v>0</v>
          </cell>
          <cell r="N723">
            <v>42370000</v>
          </cell>
          <cell r="O723">
            <v>0</v>
          </cell>
          <cell r="P723">
            <v>0</v>
          </cell>
          <cell r="Q723">
            <v>8553534</v>
          </cell>
          <cell r="R723">
            <v>0</v>
          </cell>
          <cell r="S723">
            <v>0</v>
          </cell>
          <cell r="AB723">
            <v>19</v>
          </cell>
        </row>
        <row r="724">
          <cell r="B724" t="str">
            <v>ATM200</v>
          </cell>
          <cell r="C724">
            <v>1</v>
          </cell>
          <cell r="E724" t="str">
            <v>Bộ CB phân đoạn (200A) hạ thế lắp trên trụ</v>
          </cell>
          <cell r="F724" t="str">
            <v>Bộ</v>
          </cell>
          <cell r="G724">
            <v>14</v>
          </cell>
          <cell r="AB724">
            <v>14</v>
          </cell>
        </row>
        <row r="725">
          <cell r="B725" t="str">
            <v>ATM200</v>
          </cell>
          <cell r="C725">
            <v>1</v>
          </cell>
          <cell r="D725" t="str">
            <v>T2.8403</v>
          </cell>
          <cell r="E725" t="str">
            <v>MCCB 3 cực 400V - 200A - 35KA (125-200A)</v>
          </cell>
          <cell r="F725" t="str">
            <v>cái</v>
          </cell>
          <cell r="G725">
            <v>14</v>
          </cell>
          <cell r="H725">
            <v>2590000</v>
          </cell>
          <cell r="K725">
            <v>450186</v>
          </cell>
          <cell r="M725">
            <v>0</v>
          </cell>
          <cell r="N725">
            <v>36260000</v>
          </cell>
          <cell r="O725">
            <v>0</v>
          </cell>
          <cell r="P725">
            <v>0</v>
          </cell>
          <cell r="Q725">
            <v>6302604</v>
          </cell>
          <cell r="R725">
            <v>0</v>
          </cell>
          <cell r="S725">
            <v>0</v>
          </cell>
          <cell r="AB725">
            <v>14</v>
          </cell>
        </row>
        <row r="726">
          <cell r="B726" t="str">
            <v>ATM250</v>
          </cell>
          <cell r="C726">
            <v>1</v>
          </cell>
          <cell r="E726" t="str">
            <v>Bộ CB phân đoạn (250A) hạ thế lắp trên trụ</v>
          </cell>
          <cell r="F726" t="str">
            <v>Bộ</v>
          </cell>
          <cell r="G726">
            <v>1</v>
          </cell>
          <cell r="AB726">
            <v>1</v>
          </cell>
        </row>
        <row r="727">
          <cell r="B727" t="str">
            <v>ATM250</v>
          </cell>
          <cell r="C727">
            <v>1</v>
          </cell>
          <cell r="D727" t="str">
            <v>T2.8404</v>
          </cell>
          <cell r="E727" t="str">
            <v>MCCB 3 cực 600V - 250A - 42KA (160-250A)</v>
          </cell>
          <cell r="F727" t="str">
            <v>cái</v>
          </cell>
          <cell r="G727">
            <v>1</v>
          </cell>
          <cell r="H727">
            <v>2800000</v>
          </cell>
          <cell r="K727">
            <v>592350</v>
          </cell>
          <cell r="M727">
            <v>0</v>
          </cell>
          <cell r="N727">
            <v>2800000</v>
          </cell>
          <cell r="O727">
            <v>0</v>
          </cell>
          <cell r="P727">
            <v>0</v>
          </cell>
          <cell r="Q727">
            <v>592350</v>
          </cell>
          <cell r="R727">
            <v>0</v>
          </cell>
          <cell r="S727">
            <v>0</v>
          </cell>
          <cell r="AB727">
            <v>1</v>
          </cell>
        </row>
      </sheetData>
      <sheetData sheetId="8">
        <row r="4">
          <cell r="V4" t="str">
            <v>Mã máy</v>
          </cell>
          <cell r="W4" t="str">
            <v>Loại máy</v>
          </cell>
          <cell r="X4" t="str">
            <v>CP Khấu hao</v>
          </cell>
          <cell r="Y4" t="str">
            <v>CP Sửa chữa</v>
          </cell>
          <cell r="Z4" t="str">
            <v>CP Khác</v>
          </cell>
          <cell r="AA4" t="str">
            <v>Chi phí nhiên liệu</v>
          </cell>
          <cell r="AB4" t="str">
            <v>CP Tiền lương</v>
          </cell>
          <cell r="AC4" t="str">
            <v>Giá ca máy</v>
          </cell>
          <cell r="AD4" t="str">
            <v>Nguyên giá có VAT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V6" t="str">
            <v>CAU5T</v>
          </cell>
          <cell r="W6" t="str">
            <v>Ô tô tải gắn cần trục tải trọng 5T</v>
          </cell>
          <cell r="X6">
            <v>274704.54545454541</v>
          </cell>
          <cell r="Y6">
            <v>143456.81818181818</v>
          </cell>
          <cell r="Z6">
            <v>152613.63636363635</v>
          </cell>
          <cell r="AA6">
            <v>450607.5</v>
          </cell>
          <cell r="AB6">
            <v>167692</v>
          </cell>
          <cell r="AC6">
            <v>1386944</v>
          </cell>
          <cell r="AD6">
            <v>671500000</v>
          </cell>
        </row>
        <row r="7">
          <cell r="A7" t="str">
            <v>D12</v>
          </cell>
          <cell r="B7" t="str">
            <v>AG.42111</v>
          </cell>
          <cell r="C7" t="str">
            <v>Đà cản BTCT 1,2m</v>
          </cell>
          <cell r="D7" t="str">
            <v>cái</v>
          </cell>
          <cell r="E7">
            <v>318000</v>
          </cell>
          <cell r="F7">
            <v>161119</v>
          </cell>
          <cell r="G7">
            <v>0</v>
          </cell>
          <cell r="H7">
            <v>80</v>
          </cell>
          <cell r="V7" t="str">
            <v>CAU10T</v>
          </cell>
          <cell r="W7" t="str">
            <v>Ô tô tải gắn cần trục tải trọng 10T</v>
          </cell>
          <cell r="X7">
            <v>474054.54545454547</v>
          </cell>
          <cell r="Y7">
            <v>237027.27272727274</v>
          </cell>
          <cell r="Z7">
            <v>263363.63636363635</v>
          </cell>
          <cell r="AA7">
            <v>555749.25</v>
          </cell>
          <cell r="AB7">
            <v>457692</v>
          </cell>
          <cell r="AC7">
            <v>1939602</v>
          </cell>
          <cell r="AD7">
            <v>1158800000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393000</v>
          </cell>
          <cell r="F8">
            <v>0</v>
          </cell>
          <cell r="G8">
            <v>0</v>
          </cell>
          <cell r="H8">
            <v>3.2</v>
          </cell>
          <cell r="V8" t="str">
            <v>MK110</v>
          </cell>
          <cell r="W8" t="str">
            <v>Máy kéo bánh xích 110CV</v>
          </cell>
          <cell r="X8">
            <v>258876.00000000003</v>
          </cell>
          <cell r="Y8">
            <v>81216</v>
          </cell>
          <cell r="Z8">
            <v>84600</v>
          </cell>
          <cell r="AA8">
            <v>592238.85</v>
          </cell>
          <cell r="AB8">
            <v>196154</v>
          </cell>
          <cell r="AC8">
            <v>1176443</v>
          </cell>
          <cell r="AD8">
            <v>33840000</v>
          </cell>
        </row>
        <row r="9">
          <cell r="A9" t="str">
            <v>CCOM800</v>
          </cell>
          <cell r="C9" t="str">
            <v>Thanh chống 10x40x720</v>
          </cell>
          <cell r="D9" t="str">
            <v>cái</v>
          </cell>
          <cell r="E9">
            <v>118000</v>
          </cell>
          <cell r="F9">
            <v>0</v>
          </cell>
          <cell r="G9">
            <v>0</v>
          </cell>
          <cell r="H9">
            <v>0.5</v>
          </cell>
          <cell r="P9" t="str">
            <v>MÃ SỐ</v>
          </cell>
          <cell r="Q9" t="str">
            <v>TÊN NHÂN CÔNG</v>
          </cell>
          <cell r="R9" t="str">
            <v>HỆ SỐ LƯƠNG
(HCB)</v>
          </cell>
          <cell r="S9" t="str">
            <v>LƯƠNG CB
(LNCxHCB)</v>
          </cell>
          <cell r="T9" t="str">
            <v>ĐƠN GIÁ NHÂN CÔNG</v>
          </cell>
          <cell r="V9" t="str">
            <v>MTR250</v>
          </cell>
          <cell r="W9" t="str">
            <v>Máy trộn bê tông 250 lít</v>
          </cell>
          <cell r="X9">
            <v>47909.090909090904</v>
          </cell>
          <cell r="Y9">
            <v>15570.454545454546</v>
          </cell>
          <cell r="Z9">
            <v>11977.272727272728</v>
          </cell>
          <cell r="AA9">
            <v>19090.940000000002</v>
          </cell>
          <cell r="AB9">
            <v>166154</v>
          </cell>
          <cell r="AC9">
            <v>273496</v>
          </cell>
          <cell r="AD9">
            <v>26350000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1100000</v>
          </cell>
          <cell r="F10">
            <v>0</v>
          </cell>
          <cell r="G10">
            <v>0</v>
          </cell>
          <cell r="H10">
            <v>9.6</v>
          </cell>
          <cell r="Q10" t="str">
            <v>NHÓM 1</v>
          </cell>
          <cell r="S10" t="str">
            <v>Vùng III</v>
          </cell>
          <cell r="V10" t="str">
            <v>DAM15</v>
          </cell>
          <cell r="W10" t="str">
            <v>Đầm dùi 1,5kW</v>
          </cell>
          <cell r="X10">
            <v>11727.272727272726</v>
          </cell>
          <cell r="Y10">
            <v>5160</v>
          </cell>
          <cell r="Z10">
            <v>2345.4545454545455</v>
          </cell>
          <cell r="AA10">
            <v>12148.78</v>
          </cell>
          <cell r="AB10">
            <v>166154</v>
          </cell>
          <cell r="AC10">
            <v>210330</v>
          </cell>
          <cell r="AD10">
            <v>6450000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132000</v>
          </cell>
          <cell r="F11">
            <v>0</v>
          </cell>
          <cell r="G11">
            <v>0</v>
          </cell>
          <cell r="H11">
            <v>0.7</v>
          </cell>
          <cell r="P11" t="str">
            <v>N1.10</v>
          </cell>
          <cell r="Q11" t="str">
            <v>Nhân công bậc 1,0</v>
          </cell>
          <cell r="R11">
            <v>1.55</v>
          </cell>
          <cell r="S11">
            <v>3338700</v>
          </cell>
          <cell r="T11">
            <v>128412</v>
          </cell>
          <cell r="V11" t="str">
            <v>TOI5</v>
          </cell>
          <cell r="W11" t="str">
            <v>Tời điện 5 tấn</v>
          </cell>
          <cell r="X11">
            <v>38213.043478260872</v>
          </cell>
          <cell r="Y11">
            <v>10340</v>
          </cell>
          <cell r="Z11">
            <v>8991.3043478260861</v>
          </cell>
          <cell r="AA11">
            <v>24297.56</v>
          </cell>
          <cell r="AB11">
            <v>166154</v>
          </cell>
          <cell r="AC11">
            <v>256969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1191666.6666666667</v>
          </cell>
          <cell r="F12">
            <v>0</v>
          </cell>
          <cell r="G12">
            <v>0</v>
          </cell>
          <cell r="H12">
            <v>10.199999999999999</v>
          </cell>
          <cell r="P12" t="str">
            <v>N1.20</v>
          </cell>
          <cell r="Q12" t="str">
            <v>Nhân công bậc 2,0</v>
          </cell>
          <cell r="R12">
            <v>1.83</v>
          </cell>
          <cell r="S12">
            <v>3941820</v>
          </cell>
          <cell r="T12">
            <v>151608</v>
          </cell>
          <cell r="V12" t="str">
            <v>MRD</v>
          </cell>
          <cell r="W12" t="str">
            <v>Máy rải dây</v>
          </cell>
          <cell r="AC12">
            <v>947450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F13">
            <v>0</v>
          </cell>
          <cell r="G13">
            <v>0</v>
          </cell>
          <cell r="H13">
            <v>0.2</v>
          </cell>
          <cell r="P13" t="str">
            <v>N1.23</v>
          </cell>
          <cell r="Q13" t="str">
            <v>Nhân công bậc 2,3</v>
          </cell>
          <cell r="R13">
            <v>1.929</v>
          </cell>
          <cell r="S13">
            <v>4155066</v>
          </cell>
          <cell r="T13">
            <v>159810</v>
          </cell>
          <cell r="V13" t="str">
            <v>METL</v>
          </cell>
          <cell r="W13" t="str">
            <v>Máy ép thủy lực</v>
          </cell>
          <cell r="AC13">
            <v>102104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20000</v>
          </cell>
          <cell r="F14">
            <v>0</v>
          </cell>
          <cell r="G14">
            <v>0</v>
          </cell>
          <cell r="H14">
            <v>0.2</v>
          </cell>
          <cell r="P14" t="str">
            <v>N1.25</v>
          </cell>
          <cell r="Q14" t="str">
            <v>Nhân công bậc 2,5</v>
          </cell>
          <cell r="R14">
            <v>1.9950000000000001</v>
          </cell>
          <cell r="S14">
            <v>4297230</v>
          </cell>
          <cell r="T14">
            <v>165278</v>
          </cell>
        </row>
        <row r="15">
          <cell r="A15" t="str">
            <v>B1650</v>
          </cell>
          <cell r="C15" t="str">
            <v>Boulon 16x50+ 2 long đền vuông D18-50x50x3/Zn</v>
          </cell>
          <cell r="D15" t="str">
            <v>bộ</v>
          </cell>
          <cell r="E15">
            <v>17000</v>
          </cell>
          <cell r="F15">
            <v>0</v>
          </cell>
          <cell r="G15">
            <v>0</v>
          </cell>
          <cell r="H15">
            <v>0.25</v>
          </cell>
          <cell r="P15" t="str">
            <v>N1.23</v>
          </cell>
          <cell r="Q15" t="str">
            <v>Nhân công bậc 2,3</v>
          </cell>
          <cell r="R15">
            <v>1.929</v>
          </cell>
          <cell r="S15">
            <v>4155066</v>
          </cell>
          <cell r="T15">
            <v>159810</v>
          </cell>
        </row>
        <row r="16">
          <cell r="A16" t="str">
            <v>B16100</v>
          </cell>
          <cell r="C16" t="str">
            <v>Boulon 16x100+ 2 long đền vuông D18-50x50x3/Zn</v>
          </cell>
          <cell r="D16" t="str">
            <v>bộ</v>
          </cell>
          <cell r="F16">
            <v>0</v>
          </cell>
          <cell r="G16">
            <v>0</v>
          </cell>
          <cell r="H16">
            <v>0</v>
          </cell>
          <cell r="P16" t="str">
            <v>N1.27</v>
          </cell>
          <cell r="Q16" t="str">
            <v>Nhân công bậc 2,7</v>
          </cell>
          <cell r="R16">
            <v>2.0609999999999999</v>
          </cell>
          <cell r="S16">
            <v>4439394</v>
          </cell>
          <cell r="T16">
            <v>170746</v>
          </cell>
        </row>
        <row r="17">
          <cell r="A17" t="str">
            <v>B16200</v>
          </cell>
          <cell r="C17" t="str">
            <v>Boulon 16x220+ 2 long đền vuông D18-50x50x3/Zn</v>
          </cell>
          <cell r="D17" t="str">
            <v>bộ</v>
          </cell>
          <cell r="F17">
            <v>0</v>
          </cell>
          <cell r="G17">
            <v>0</v>
          </cell>
          <cell r="H17">
            <v>0.23</v>
          </cell>
          <cell r="P17" t="str">
            <v>N1.30</v>
          </cell>
          <cell r="Q17" t="str">
            <v>Nhân công bậc 3,0</v>
          </cell>
          <cell r="R17">
            <v>2.16</v>
          </cell>
          <cell r="S17">
            <v>4652640</v>
          </cell>
          <cell r="T17">
            <v>178948</v>
          </cell>
        </row>
        <row r="18">
          <cell r="A18" t="str">
            <v>B16250</v>
          </cell>
          <cell r="C18" t="str">
            <v>Boulon 16x250+ 2 long đền vuông D18-50x50x3/Zn</v>
          </cell>
          <cell r="D18" t="str">
            <v>bộ</v>
          </cell>
          <cell r="E18">
            <v>28000</v>
          </cell>
          <cell r="F18">
            <v>0</v>
          </cell>
          <cell r="G18">
            <v>0</v>
          </cell>
          <cell r="H18">
            <v>0.23</v>
          </cell>
          <cell r="P18" t="str">
            <v>N1.30</v>
          </cell>
          <cell r="Q18" t="str">
            <v>Nhân công bậc 3,0</v>
          </cell>
          <cell r="R18">
            <v>2.16</v>
          </cell>
          <cell r="S18">
            <v>4652640</v>
          </cell>
          <cell r="T18">
            <v>178948</v>
          </cell>
        </row>
        <row r="19">
          <cell r="A19" t="str">
            <v>B16300</v>
          </cell>
          <cell r="C19" t="str">
            <v>Boulon 16x300+ 2 long đền vuông D18-50x50x3/Zn</v>
          </cell>
          <cell r="D19" t="str">
            <v>bộ</v>
          </cell>
          <cell r="E19">
            <v>30000</v>
          </cell>
          <cell r="F19">
            <v>0</v>
          </cell>
          <cell r="G19">
            <v>0</v>
          </cell>
          <cell r="H19">
            <v>0.25</v>
          </cell>
          <cell r="P19" t="str">
            <v>N1.32</v>
          </cell>
          <cell r="Q19" t="str">
            <v>Nhân công bậc 3,2</v>
          </cell>
          <cell r="R19">
            <v>2.238</v>
          </cell>
          <cell r="S19">
            <v>4820652</v>
          </cell>
          <cell r="T19">
            <v>185410</v>
          </cell>
        </row>
        <row r="20">
          <cell r="A20" t="str">
            <v>B16350</v>
          </cell>
          <cell r="C20" t="str">
            <v>Boulon 16x350+ 2 long đền vuông D18-50x50x3/Zn</v>
          </cell>
          <cell r="D20" t="str">
            <v>bộ</v>
          </cell>
          <cell r="E20">
            <v>32500</v>
          </cell>
          <cell r="F20">
            <v>0</v>
          </cell>
          <cell r="G20">
            <v>0</v>
          </cell>
          <cell r="H20">
            <v>0.3</v>
          </cell>
          <cell r="P20" t="str">
            <v>N1.33</v>
          </cell>
          <cell r="Q20" t="str">
            <v>Nhân công bậc 3,3</v>
          </cell>
          <cell r="R20">
            <v>2.2770000000000001</v>
          </cell>
          <cell r="S20">
            <v>4904658</v>
          </cell>
          <cell r="T20">
            <v>188641</v>
          </cell>
        </row>
        <row r="21">
          <cell r="A21" t="str">
            <v>B16400</v>
          </cell>
          <cell r="C21" t="str">
            <v>Boulon 16x400+ 2 long đền vuông D18-50x50x3/Zn</v>
          </cell>
          <cell r="D21" t="str">
            <v>bộ</v>
          </cell>
          <cell r="F21">
            <v>0</v>
          </cell>
          <cell r="G21">
            <v>0</v>
          </cell>
          <cell r="H21">
            <v>0.33</v>
          </cell>
          <cell r="P21" t="str">
            <v>N1.35</v>
          </cell>
          <cell r="Q21" t="str">
            <v>Nhân công bậc 3,5</v>
          </cell>
          <cell r="R21">
            <v>2.355</v>
          </cell>
          <cell r="S21">
            <v>5072670</v>
          </cell>
          <cell r="T21">
            <v>195103</v>
          </cell>
        </row>
        <row r="22">
          <cell r="A22" t="str">
            <v>B16450</v>
          </cell>
          <cell r="C22" t="str">
            <v>Boulon 16x450+ 2 long đền vuông D18-50x50x3/Zn</v>
          </cell>
          <cell r="D22" t="str">
            <v>bộ</v>
          </cell>
          <cell r="F22">
            <v>0</v>
          </cell>
          <cell r="G22">
            <v>0</v>
          </cell>
          <cell r="H22">
            <v>0.3</v>
          </cell>
          <cell r="P22" t="str">
            <v>N1.37</v>
          </cell>
          <cell r="Q22" t="str">
            <v>Nhân công bậc 3,7</v>
          </cell>
          <cell r="R22">
            <v>2.4329999999999998</v>
          </cell>
          <cell r="S22">
            <v>5240682</v>
          </cell>
          <cell r="T22">
            <v>201565</v>
          </cell>
        </row>
        <row r="23">
          <cell r="A23" t="str">
            <v>B16500</v>
          </cell>
          <cell r="C23" t="str">
            <v>Boulon 16x500+ 2 long đền vuông D18-50x50x3/Zn</v>
          </cell>
          <cell r="D23" t="str">
            <v>bộ</v>
          </cell>
          <cell r="F23">
            <v>0</v>
          </cell>
          <cell r="G23">
            <v>0</v>
          </cell>
          <cell r="H23">
            <v>0</v>
          </cell>
          <cell r="P23" t="str">
            <v>N1.40</v>
          </cell>
          <cell r="Q23" t="str">
            <v>Nhân công bậc 4,0</v>
          </cell>
          <cell r="R23">
            <v>2.5499999999999998</v>
          </cell>
          <cell r="S23">
            <v>5492700</v>
          </cell>
          <cell r="T23">
            <v>211258</v>
          </cell>
        </row>
        <row r="24">
          <cell r="A24" t="str">
            <v>B16600</v>
          </cell>
          <cell r="C24" t="str">
            <v>Boulon 16x600+ 2 long đền vuông D18-50x50x3/Zn</v>
          </cell>
          <cell r="D24" t="str">
            <v>bộ</v>
          </cell>
          <cell r="F24">
            <v>0</v>
          </cell>
          <cell r="G24">
            <v>0</v>
          </cell>
          <cell r="H24">
            <v>0.5</v>
          </cell>
          <cell r="P24" t="str">
            <v>N1.42</v>
          </cell>
          <cell r="Q24" t="str">
            <v>Nhân công bậc 4,2</v>
          </cell>
          <cell r="R24">
            <v>2.6419999999999999</v>
          </cell>
          <cell r="S24">
            <v>5690868</v>
          </cell>
          <cell r="T24">
            <v>218880</v>
          </cell>
        </row>
        <row r="25">
          <cell r="A25" t="str">
            <v>B16200V</v>
          </cell>
          <cell r="C25" t="str">
            <v>Boulon 16x200VRS+ 4 long đền vuông D18-50x50x3/Zn</v>
          </cell>
          <cell r="D25" t="str">
            <v>bộ</v>
          </cell>
          <cell r="F25">
            <v>0</v>
          </cell>
          <cell r="G25">
            <v>0</v>
          </cell>
          <cell r="H25">
            <v>0</v>
          </cell>
          <cell r="P25" t="str">
            <v>N1.43</v>
          </cell>
          <cell r="Q25" t="str">
            <v>Nhân công bậc 4,3</v>
          </cell>
          <cell r="R25">
            <v>2.6880000000000002</v>
          </cell>
          <cell r="S25">
            <v>5789952</v>
          </cell>
          <cell r="T25">
            <v>222690</v>
          </cell>
        </row>
        <row r="26">
          <cell r="A26" t="str">
            <v>B16250V</v>
          </cell>
          <cell r="C26" t="str">
            <v>Boulon 16x250VRS+ 4 long đền vuông D18-50x50x3/Zn</v>
          </cell>
          <cell r="D26" t="str">
            <v>bộ</v>
          </cell>
          <cell r="E26">
            <v>39000</v>
          </cell>
          <cell r="F26">
            <v>0</v>
          </cell>
          <cell r="G26">
            <v>0</v>
          </cell>
          <cell r="H26">
            <v>0</v>
          </cell>
          <cell r="P26" t="str">
            <v>N1.43</v>
          </cell>
          <cell r="Q26" t="str">
            <v>Nhân công bậc 4,3</v>
          </cell>
          <cell r="R26">
            <v>2.6880000000000002</v>
          </cell>
          <cell r="S26">
            <v>5789952</v>
          </cell>
          <cell r="T26">
            <v>222690</v>
          </cell>
        </row>
        <row r="27">
          <cell r="A27" t="str">
            <v>B16300V</v>
          </cell>
          <cell r="C27" t="str">
            <v>Boulon 16x300VRS + 4 long đền vuông D18-50x50x3/Zn</v>
          </cell>
          <cell r="D27" t="str">
            <v>bộ</v>
          </cell>
          <cell r="E27">
            <v>41000</v>
          </cell>
          <cell r="F27">
            <v>0</v>
          </cell>
          <cell r="G27">
            <v>0</v>
          </cell>
          <cell r="H27">
            <v>0.3</v>
          </cell>
          <cell r="P27" t="str">
            <v>N1.45</v>
          </cell>
          <cell r="Q27" t="str">
            <v>Nhân công bậc 4,5</v>
          </cell>
          <cell r="R27">
            <v>2.78</v>
          </cell>
          <cell r="S27">
            <v>5988120</v>
          </cell>
          <cell r="T27">
            <v>230312</v>
          </cell>
        </row>
        <row r="28">
          <cell r="A28" t="str">
            <v>B16350V</v>
          </cell>
          <cell r="C28" t="str">
            <v>Boulon 16x350VRS+ 4 long đền vuông D18-50x50x3/Zn</v>
          </cell>
          <cell r="D28" t="str">
            <v>bộ</v>
          </cell>
          <cell r="E28">
            <v>42000</v>
          </cell>
          <cell r="F28">
            <v>0</v>
          </cell>
          <cell r="G28">
            <v>0</v>
          </cell>
          <cell r="H28">
            <v>0.35</v>
          </cell>
          <cell r="P28" t="str">
            <v>N1.47</v>
          </cell>
          <cell r="Q28" t="str">
            <v>Nhân công bậc 4,7</v>
          </cell>
          <cell r="R28">
            <v>2.8719999999999999</v>
          </cell>
          <cell r="S28">
            <v>6186288</v>
          </cell>
          <cell r="T28">
            <v>237934</v>
          </cell>
        </row>
        <row r="29">
          <cell r="A29" t="str">
            <v>B16400v</v>
          </cell>
          <cell r="C29" t="str">
            <v>Boulon 16x400VRS + 4 long đền vuông D18-50x50x3/Zn</v>
          </cell>
          <cell r="D29" t="str">
            <v>bộ</v>
          </cell>
          <cell r="F29">
            <v>0</v>
          </cell>
          <cell r="G29">
            <v>0</v>
          </cell>
          <cell r="H29">
            <v>0.39999999999999997</v>
          </cell>
          <cell r="P29" t="str">
            <v>N1.50</v>
          </cell>
          <cell r="Q29" t="str">
            <v>Nhân công bậc 5,0</v>
          </cell>
          <cell r="R29">
            <v>3.01</v>
          </cell>
          <cell r="S29">
            <v>6483540</v>
          </cell>
          <cell r="T29">
            <v>249367</v>
          </cell>
        </row>
        <row r="30">
          <cell r="A30" t="str">
            <v>B16450v</v>
          </cell>
          <cell r="C30" t="str">
            <v>Boulon 16x450VRS + 4 long đền vuông D18-50x50x3/Zn</v>
          </cell>
          <cell r="D30" t="str">
            <v>bộ</v>
          </cell>
          <cell r="E30">
            <v>46000</v>
          </cell>
          <cell r="F30">
            <v>0</v>
          </cell>
          <cell r="G30">
            <v>0</v>
          </cell>
          <cell r="H30">
            <v>0.44999999999999996</v>
          </cell>
          <cell r="P30" t="str">
            <v>N1.52</v>
          </cell>
          <cell r="Q30" t="str">
            <v>Nhân công bậc 5,2</v>
          </cell>
          <cell r="R30">
            <v>3.12</v>
          </cell>
          <cell r="S30">
            <v>6720480</v>
          </cell>
          <cell r="T30">
            <v>258480</v>
          </cell>
        </row>
        <row r="31">
          <cell r="A31" t="str">
            <v>B16500V</v>
          </cell>
          <cell r="C31" t="str">
            <v>Boulon 16x500VRS + 4 long đền vuông D18-50x50x3/Zn</v>
          </cell>
          <cell r="D31" t="str">
            <v>bộ</v>
          </cell>
          <cell r="E31">
            <v>50000</v>
          </cell>
          <cell r="F31">
            <v>0</v>
          </cell>
          <cell r="G31">
            <v>0</v>
          </cell>
          <cell r="H31">
            <v>0.49999999999999994</v>
          </cell>
          <cell r="P31" t="str">
            <v>N1.53</v>
          </cell>
          <cell r="Q31" t="str">
            <v>Nhân công bậc 5,3</v>
          </cell>
          <cell r="R31">
            <v>3.1749999999999998</v>
          </cell>
          <cell r="S31">
            <v>6838950</v>
          </cell>
          <cell r="T31">
            <v>263037</v>
          </cell>
        </row>
        <row r="32">
          <cell r="A32" t="str">
            <v>B16550V</v>
          </cell>
          <cell r="C32" t="str">
            <v>Boulon 16x550VRS + 4 long đền vuông D18-50x50x3/Zn</v>
          </cell>
          <cell r="D32" t="str">
            <v>bộ</v>
          </cell>
          <cell r="E32">
            <v>54000</v>
          </cell>
          <cell r="F32">
            <v>0</v>
          </cell>
          <cell r="G32">
            <v>0</v>
          </cell>
          <cell r="H32">
            <v>0.54999999999999993</v>
          </cell>
          <cell r="P32" t="str">
            <v>N1.55</v>
          </cell>
          <cell r="Q32" t="str">
            <v>Nhân công bậc 5,5</v>
          </cell>
          <cell r="R32">
            <v>3.2850000000000001</v>
          </cell>
          <cell r="S32">
            <v>7075890</v>
          </cell>
          <cell r="T32">
            <v>272150</v>
          </cell>
        </row>
        <row r="33">
          <cell r="A33" t="str">
            <v>B16600V</v>
          </cell>
          <cell r="C33" t="str">
            <v>Boulon 16x600VRS + 4 long đền vuông D18-50x50x3/Zn</v>
          </cell>
          <cell r="D33" t="str">
            <v>bộ</v>
          </cell>
          <cell r="F33">
            <v>0</v>
          </cell>
          <cell r="G33">
            <v>0</v>
          </cell>
          <cell r="H33">
            <v>0.6</v>
          </cell>
          <cell r="P33" t="str">
            <v>N1.60</v>
          </cell>
          <cell r="Q33" t="str">
            <v>Nhân công bậc 6,0</v>
          </cell>
          <cell r="R33">
            <v>3.56</v>
          </cell>
          <cell r="S33">
            <v>7668240</v>
          </cell>
          <cell r="T33">
            <v>294932</v>
          </cell>
        </row>
        <row r="34">
          <cell r="A34" t="str">
            <v>B16650V</v>
          </cell>
          <cell r="C34" t="str">
            <v>Boulon 16x650VRS + 4 long đền vuông D18-50x50x3/Zn</v>
          </cell>
          <cell r="D34" t="str">
            <v>bộ</v>
          </cell>
          <cell r="F34">
            <v>0</v>
          </cell>
          <cell r="G34">
            <v>0</v>
          </cell>
          <cell r="H34">
            <v>0.65</v>
          </cell>
          <cell r="P34" t="str">
            <v>N1.70</v>
          </cell>
          <cell r="Q34" t="str">
            <v>Nhân công bậc 7,0</v>
          </cell>
          <cell r="R34">
            <v>4.2</v>
          </cell>
          <cell r="S34">
            <v>9046800</v>
          </cell>
          <cell r="T34">
            <v>347954</v>
          </cell>
        </row>
        <row r="35">
          <cell r="A35" t="str">
            <v>B16700V</v>
          </cell>
          <cell r="C35" t="str">
            <v>Boulon 16x700VRS + 4 long đền vuông D18-50x50x3/Zn</v>
          </cell>
          <cell r="D35" t="str">
            <v>bộ</v>
          </cell>
          <cell r="F35">
            <v>0</v>
          </cell>
          <cell r="G35">
            <v>0</v>
          </cell>
          <cell r="H35">
            <v>0.70000000000000007</v>
          </cell>
          <cell r="Q35" t="str">
            <v>NHÓM 2</v>
          </cell>
        </row>
        <row r="36">
          <cell r="A36" t="str">
            <v>B16750V</v>
          </cell>
          <cell r="C36" t="str">
            <v>Boulon 16x750VRS + 4 long đền vuông D18-50x50x3/Zn</v>
          </cell>
          <cell r="D36" t="str">
            <v>bộ</v>
          </cell>
          <cell r="F36">
            <v>0</v>
          </cell>
          <cell r="G36">
            <v>0</v>
          </cell>
          <cell r="H36">
            <v>0.75000000000000011</v>
          </cell>
          <cell r="P36" t="str">
            <v>N2.10</v>
          </cell>
          <cell r="Q36" t="str">
            <v>Nhân công bậc 1,0</v>
          </cell>
          <cell r="R36">
            <v>1.76</v>
          </cell>
          <cell r="S36">
            <v>3791040</v>
          </cell>
          <cell r="T36">
            <v>145809</v>
          </cell>
        </row>
        <row r="37">
          <cell r="A37" t="str">
            <v>B16400vr</v>
          </cell>
          <cell r="C37" t="str">
            <v>Boulon 16x400VRS + 2 long đền vuông D18-50x50x3/Zn</v>
          </cell>
          <cell r="D37" t="str">
            <v>bộ</v>
          </cell>
          <cell r="F37">
            <v>0</v>
          </cell>
          <cell r="G37">
            <v>0</v>
          </cell>
          <cell r="H37">
            <v>0.80000000000000016</v>
          </cell>
          <cell r="P37" t="str">
            <v>N2.20</v>
          </cell>
          <cell r="Q37" t="str">
            <v>Nhân công bậc 2,0</v>
          </cell>
          <cell r="R37">
            <v>2.0699999999999998</v>
          </cell>
          <cell r="S37">
            <v>4458780</v>
          </cell>
          <cell r="T37">
            <v>171492</v>
          </cell>
        </row>
        <row r="38">
          <cell r="A38" t="str">
            <v>B16450vr</v>
          </cell>
          <cell r="C38" t="str">
            <v>Boulon 16x450VRS + 2 long đền vuông D18-50x50x3/Zn</v>
          </cell>
          <cell r="D38" t="str">
            <v>bộ</v>
          </cell>
          <cell r="F38">
            <v>0</v>
          </cell>
          <cell r="G38">
            <v>0</v>
          </cell>
          <cell r="H38">
            <v>0.8500000000000002</v>
          </cell>
          <cell r="P38" t="str">
            <v>N2.23</v>
          </cell>
          <cell r="Q38" t="str">
            <v>Nhân công bậc 2,3</v>
          </cell>
          <cell r="R38">
            <v>2.181</v>
          </cell>
          <cell r="S38">
            <v>4697874</v>
          </cell>
          <cell r="T38">
            <v>180687</v>
          </cell>
        </row>
        <row r="39">
          <cell r="A39" t="str">
            <v>B16500Vr</v>
          </cell>
          <cell r="C39" t="str">
            <v>Boulon 16x500VRS + 2 long đền vuông D18-50x50x3/Zn</v>
          </cell>
          <cell r="D39" t="str">
            <v>bộ</v>
          </cell>
          <cell r="E39">
            <v>41000</v>
          </cell>
          <cell r="F39">
            <v>0</v>
          </cell>
          <cell r="G39">
            <v>0</v>
          </cell>
          <cell r="H39">
            <v>0.90000000000000024</v>
          </cell>
          <cell r="P39" t="str">
            <v>N2.25</v>
          </cell>
          <cell r="Q39" t="str">
            <v>Nhân công bậc 2,5</v>
          </cell>
          <cell r="R39">
            <v>2.2549999999999999</v>
          </cell>
          <cell r="S39">
            <v>4857270</v>
          </cell>
          <cell r="T39">
            <v>186818</v>
          </cell>
        </row>
        <row r="40">
          <cell r="A40" t="str">
            <v>B16550Vr</v>
          </cell>
          <cell r="C40" t="str">
            <v>Boulon 16x550VRS + 2 long đền vuông D18-50x50x3/Zn</v>
          </cell>
          <cell r="D40" t="str">
            <v>bộ</v>
          </cell>
          <cell r="E40">
            <v>45000</v>
          </cell>
          <cell r="F40">
            <v>0</v>
          </cell>
          <cell r="G40">
            <v>0</v>
          </cell>
          <cell r="H40">
            <v>0.95000000000000029</v>
          </cell>
          <cell r="P40" t="str">
            <v>N2.27</v>
          </cell>
          <cell r="Q40" t="str">
            <v>Nhân công bậc 2,7</v>
          </cell>
          <cell r="R40">
            <v>2.3290000000000002</v>
          </cell>
          <cell r="S40">
            <v>5016666</v>
          </cell>
          <cell r="T40">
            <v>192949</v>
          </cell>
        </row>
        <row r="41">
          <cell r="A41" t="str">
            <v>B16600Vr</v>
          </cell>
          <cell r="C41" t="str">
            <v>Boulon 16x600VRS + 2 long đền vuông D18-50x50x3/Zn</v>
          </cell>
          <cell r="D41" t="str">
            <v>bộ</v>
          </cell>
          <cell r="F41">
            <v>0</v>
          </cell>
          <cell r="G41">
            <v>0</v>
          </cell>
          <cell r="H41">
            <v>1.0000000000000002</v>
          </cell>
          <cell r="P41" t="str">
            <v>N2.30</v>
          </cell>
          <cell r="Q41" t="str">
            <v>Nhân công bậc 3,0</v>
          </cell>
          <cell r="R41">
            <v>2.44</v>
          </cell>
          <cell r="S41">
            <v>5255760</v>
          </cell>
          <cell r="T41">
            <v>202145</v>
          </cell>
        </row>
        <row r="42">
          <cell r="A42" t="str">
            <v>B16650Vr</v>
          </cell>
          <cell r="C42" t="str">
            <v>Boulon 16x650VRS + 2 long đền vuông D18-50x50x3/Zn</v>
          </cell>
          <cell r="D42" t="str">
            <v>bộ</v>
          </cell>
          <cell r="E42">
            <v>53000</v>
          </cell>
          <cell r="F42">
            <v>0</v>
          </cell>
          <cell r="G42">
            <v>0</v>
          </cell>
          <cell r="H42">
            <v>1.0500000000000003</v>
          </cell>
          <cell r="P42" t="str">
            <v>N2.32</v>
          </cell>
          <cell r="Q42" t="str">
            <v>Nhân công bậc 3,2</v>
          </cell>
          <cell r="R42">
            <v>2.524</v>
          </cell>
          <cell r="S42">
            <v>5436696</v>
          </cell>
          <cell r="T42">
            <v>209104</v>
          </cell>
        </row>
        <row r="43">
          <cell r="A43" t="str">
            <v>B16700Vr</v>
          </cell>
          <cell r="C43" t="str">
            <v>Boulon 16x700VRS + 2 long đền vuông D18-50x50x3/Zn</v>
          </cell>
          <cell r="D43" t="str">
            <v>bộ</v>
          </cell>
          <cell r="F43">
            <v>0</v>
          </cell>
          <cell r="G43">
            <v>0</v>
          </cell>
          <cell r="H43">
            <v>1.1000000000000003</v>
          </cell>
          <cell r="P43" t="str">
            <v>N2.33</v>
          </cell>
          <cell r="Q43" t="str">
            <v>Nhân công bậc 3,3</v>
          </cell>
          <cell r="R43">
            <v>2.5659999999999998</v>
          </cell>
          <cell r="S43">
            <v>5527164</v>
          </cell>
          <cell r="T43">
            <v>212583</v>
          </cell>
        </row>
        <row r="44">
          <cell r="A44" t="str">
            <v>B16750Vr</v>
          </cell>
          <cell r="C44" t="str">
            <v>Boulon 16x750VRS + 2 long đền vuông D18-50x50x3/Zn</v>
          </cell>
          <cell r="D44" t="str">
            <v>bộ</v>
          </cell>
          <cell r="E44">
            <v>56000</v>
          </cell>
          <cell r="F44">
            <v>0</v>
          </cell>
          <cell r="G44">
            <v>0</v>
          </cell>
          <cell r="H44">
            <v>1.1500000000000004</v>
          </cell>
          <cell r="P44" t="str">
            <v>N2.35</v>
          </cell>
          <cell r="Q44" t="str">
            <v>Nhân công bậc 3,5</v>
          </cell>
          <cell r="R44">
            <v>2.65</v>
          </cell>
          <cell r="S44">
            <v>5708100</v>
          </cell>
          <cell r="T44">
            <v>219542</v>
          </cell>
        </row>
        <row r="45">
          <cell r="A45" t="str">
            <v>B22500</v>
          </cell>
          <cell r="C45" t="str">
            <v>Boulon 22x500+ 2 long đền vuông D24-50x50x3/Zn</v>
          </cell>
          <cell r="D45" t="str">
            <v>bộ</v>
          </cell>
          <cell r="F45">
            <v>0</v>
          </cell>
          <cell r="G45">
            <v>0</v>
          </cell>
          <cell r="H45">
            <v>0.6</v>
          </cell>
          <cell r="P45" t="str">
            <v>N2.37</v>
          </cell>
          <cell r="Q45" t="str">
            <v>Nhân công bậc 3,7</v>
          </cell>
          <cell r="R45">
            <v>2.734</v>
          </cell>
          <cell r="S45">
            <v>5889036</v>
          </cell>
          <cell r="T45">
            <v>226501</v>
          </cell>
        </row>
        <row r="46">
          <cell r="A46" t="str">
            <v>B22550</v>
          </cell>
          <cell r="C46" t="str">
            <v>Boulon 22x550+ 2 long đền vuông D24-60x60x6/Zn</v>
          </cell>
          <cell r="D46" t="str">
            <v>bộ</v>
          </cell>
          <cell r="F46">
            <v>0</v>
          </cell>
          <cell r="G46">
            <v>0</v>
          </cell>
          <cell r="H46">
            <v>0.5</v>
          </cell>
          <cell r="P46" t="str">
            <v>N2.40</v>
          </cell>
          <cell r="Q46" t="str">
            <v>Nhân công bậc 4,0</v>
          </cell>
          <cell r="R46">
            <v>2.86</v>
          </cell>
          <cell r="S46">
            <v>6160440</v>
          </cell>
          <cell r="T46">
            <v>236940</v>
          </cell>
        </row>
        <row r="47">
          <cell r="A47" t="str">
            <v>B22600</v>
          </cell>
          <cell r="B47" t="str">
            <v xml:space="preserve"> </v>
          </cell>
          <cell r="C47" t="str">
            <v>Boulon 22x600+ 2 long đền vuông D24-60x60x6/Zn</v>
          </cell>
          <cell r="D47" t="str">
            <v>bộ</v>
          </cell>
          <cell r="F47">
            <v>0</v>
          </cell>
          <cell r="G47">
            <v>0</v>
          </cell>
          <cell r="H47">
            <v>0.6</v>
          </cell>
          <cell r="P47" t="str">
            <v>N2.42</v>
          </cell>
          <cell r="Q47" t="str">
            <v>Nhân công bậc 4,2</v>
          </cell>
          <cell r="R47">
            <v>2.9620000000000002</v>
          </cell>
          <cell r="S47">
            <v>6380148</v>
          </cell>
          <cell r="T47">
            <v>245390</v>
          </cell>
        </row>
        <row r="48">
          <cell r="A48" t="str">
            <v>B22650</v>
          </cell>
          <cell r="C48" t="str">
            <v>Boulon 22x650+ 2 long đền vuông D24-50x50x3/Zn</v>
          </cell>
          <cell r="D48" t="str">
            <v>bộ</v>
          </cell>
          <cell r="F48">
            <v>0</v>
          </cell>
          <cell r="G48">
            <v>0</v>
          </cell>
          <cell r="H48">
            <v>0.6</v>
          </cell>
          <cell r="P48" t="str">
            <v>N2.43</v>
          </cell>
          <cell r="Q48" t="str">
            <v>Nhân công bậc 4,3</v>
          </cell>
          <cell r="R48">
            <v>3.0129999999999999</v>
          </cell>
          <cell r="S48">
            <v>6490002</v>
          </cell>
          <cell r="T48">
            <v>249615</v>
          </cell>
        </row>
        <row r="49">
          <cell r="A49" t="str">
            <v>B22700</v>
          </cell>
          <cell r="C49" t="str">
            <v>Boulon 22x700+ 2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0</v>
          </cell>
          <cell r="P49" t="str">
            <v>N2.45</v>
          </cell>
          <cell r="Q49" t="str">
            <v>Nhân công bậc 4,5</v>
          </cell>
          <cell r="R49">
            <v>3.1150000000000002</v>
          </cell>
          <cell r="S49">
            <v>6709710</v>
          </cell>
          <cell r="T49">
            <v>258066</v>
          </cell>
        </row>
        <row r="50">
          <cell r="A50" t="str">
            <v>B22750</v>
          </cell>
          <cell r="C50" t="str">
            <v>Boulon 22x750+ 2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0</v>
          </cell>
          <cell r="P50" t="str">
            <v>N2.47</v>
          </cell>
          <cell r="Q50" t="str">
            <v>Nhân công bậc 4,7</v>
          </cell>
          <cell r="R50">
            <v>3.2170000000000001</v>
          </cell>
          <cell r="S50">
            <v>6929418</v>
          </cell>
          <cell r="T50">
            <v>266516</v>
          </cell>
        </row>
        <row r="51">
          <cell r="A51" t="str">
            <v>B22800</v>
          </cell>
          <cell r="C51" t="str">
            <v>Boulon 22x800+ 2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1</v>
          </cell>
          <cell r="P51" t="str">
            <v>N2.50</v>
          </cell>
          <cell r="Q51" t="str">
            <v>Nhân công bậc 5,0</v>
          </cell>
          <cell r="R51">
            <v>3.37</v>
          </cell>
          <cell r="S51">
            <v>7258980</v>
          </cell>
          <cell r="T51">
            <v>279192</v>
          </cell>
        </row>
        <row r="52">
          <cell r="A52" t="str">
            <v>B22850</v>
          </cell>
          <cell r="C52" t="str">
            <v>Boulon 22x850+ 2 long đền vuông D24-50x50x3/Zn</v>
          </cell>
          <cell r="D52" t="str">
            <v>bộ</v>
          </cell>
          <cell r="F52">
            <v>0</v>
          </cell>
          <cell r="G52">
            <v>0</v>
          </cell>
          <cell r="H52">
            <v>1.2</v>
          </cell>
          <cell r="P52" t="str">
            <v>N2.52</v>
          </cell>
          <cell r="Q52" t="str">
            <v>Nhân công bậc 5,2</v>
          </cell>
          <cell r="R52">
            <v>3.488</v>
          </cell>
          <cell r="S52">
            <v>7513152</v>
          </cell>
          <cell r="T52">
            <v>288967</v>
          </cell>
        </row>
        <row r="53">
          <cell r="A53" t="str">
            <v>B22800</v>
          </cell>
          <cell r="C53" t="str">
            <v>Boulon 22x800+ 2 long đền vuông D24-50x50x3/Zn</v>
          </cell>
          <cell r="D53" t="str">
            <v>bộ</v>
          </cell>
          <cell r="F53">
            <v>0</v>
          </cell>
          <cell r="G53">
            <v>0</v>
          </cell>
          <cell r="H53">
            <v>1</v>
          </cell>
          <cell r="P53" t="str">
            <v>N2.53</v>
          </cell>
          <cell r="Q53" t="str">
            <v>Nhân công bậc 5,3</v>
          </cell>
          <cell r="R53">
            <v>3.5470000000000002</v>
          </cell>
          <cell r="S53">
            <v>7640238</v>
          </cell>
          <cell r="T53">
            <v>293855</v>
          </cell>
        </row>
        <row r="54">
          <cell r="A54" t="str">
            <v>B22800v</v>
          </cell>
          <cell r="C54" t="str">
            <v>Boulon 22x800VRS + 2 long đền vuông D24-60x60x6/Zn</v>
          </cell>
          <cell r="D54" t="str">
            <v>bộ</v>
          </cell>
          <cell r="F54">
            <v>0</v>
          </cell>
          <cell r="G54">
            <v>0</v>
          </cell>
          <cell r="H54">
            <v>0.8</v>
          </cell>
          <cell r="P54" t="str">
            <v>N2.55</v>
          </cell>
          <cell r="Q54" t="str">
            <v>Nhân công bậc 5,5</v>
          </cell>
          <cell r="R54">
            <v>3.665</v>
          </cell>
          <cell r="S54">
            <v>7894410</v>
          </cell>
          <cell r="T54">
            <v>303631</v>
          </cell>
        </row>
        <row r="55">
          <cell r="A55" t="str">
            <v>B22750v</v>
          </cell>
          <cell r="C55" t="str">
            <v>Boulon 22x750VRS + 2 long đền vuông D24-60x60x6/Zn</v>
          </cell>
          <cell r="D55" t="str">
            <v>bộ</v>
          </cell>
          <cell r="F55">
            <v>0</v>
          </cell>
          <cell r="G55">
            <v>0</v>
          </cell>
          <cell r="H55">
            <v>0.75</v>
          </cell>
          <cell r="P55" t="str">
            <v>N2.60</v>
          </cell>
          <cell r="Q55" t="str">
            <v>Nhân công bậc 6,0</v>
          </cell>
          <cell r="R55">
            <v>3.96</v>
          </cell>
          <cell r="S55">
            <v>8529840</v>
          </cell>
          <cell r="T55">
            <v>328071</v>
          </cell>
        </row>
        <row r="56">
          <cell r="A56" t="str">
            <v>B22500v</v>
          </cell>
          <cell r="C56" t="str">
            <v>Boulon 22x500VRS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0.5</v>
          </cell>
          <cell r="P56" t="str">
            <v>N2.70</v>
          </cell>
          <cell r="Q56" t="str">
            <v>Nhân công bậc 7,0</v>
          </cell>
          <cell r="R56">
            <v>4.6500000000000004</v>
          </cell>
          <cell r="S56">
            <v>10016100</v>
          </cell>
          <cell r="T56">
            <v>385235</v>
          </cell>
        </row>
        <row r="57">
          <cell r="A57" t="str">
            <v>B22550v</v>
          </cell>
          <cell r="C57" t="str">
            <v>Boulon 22x550VRS + 2 long đền vuông D24-60x60x6/Zn</v>
          </cell>
          <cell r="D57" t="str">
            <v>bộ</v>
          </cell>
          <cell r="E57">
            <v>90000</v>
          </cell>
          <cell r="F57">
            <v>0</v>
          </cell>
          <cell r="G57">
            <v>0</v>
          </cell>
          <cell r="H57">
            <v>0.55000000000000004</v>
          </cell>
          <cell r="Q57" t="str">
            <v>KỸ SƯ</v>
          </cell>
        </row>
        <row r="58">
          <cell r="A58" t="str">
            <v>B22600v</v>
          </cell>
          <cell r="B58" t="str">
            <v xml:space="preserve"> </v>
          </cell>
          <cell r="C58" t="str">
            <v>Boulon 22x600VRS + 2 long đền vuông D24-60x60x6/Zn</v>
          </cell>
          <cell r="D58" t="str">
            <v>bộ</v>
          </cell>
          <cell r="F58">
            <v>0</v>
          </cell>
          <cell r="G58">
            <v>0</v>
          </cell>
          <cell r="H58">
            <v>0.6</v>
          </cell>
          <cell r="P58" t="str">
            <v>K1.10</v>
          </cell>
          <cell r="Q58" t="str">
            <v>Kỹ sư bậc 1/8</v>
          </cell>
          <cell r="R58">
            <v>2.34</v>
          </cell>
          <cell r="S58">
            <v>5040360</v>
          </cell>
          <cell r="T58">
            <v>193860</v>
          </cell>
        </row>
        <row r="59">
          <cell r="A59" t="str">
            <v>BM16230</v>
          </cell>
          <cell r="C59" t="str">
            <v>Boulon mắt 16x230+ long đền vuông D18-50x50x3/Zn</v>
          </cell>
          <cell r="D59" t="str">
            <v>bộ</v>
          </cell>
          <cell r="F59">
            <v>0</v>
          </cell>
          <cell r="G59">
            <v>0</v>
          </cell>
          <cell r="H59">
            <v>0.3</v>
          </cell>
          <cell r="P59" t="str">
            <v>K1.20</v>
          </cell>
          <cell r="Q59" t="str">
            <v>Kỹ sư bậc 2/8</v>
          </cell>
          <cell r="R59">
            <v>2.65</v>
          </cell>
          <cell r="S59">
            <v>5708100</v>
          </cell>
          <cell r="T59">
            <v>219542</v>
          </cell>
        </row>
        <row r="60">
          <cell r="A60" t="str">
            <v>BM16250</v>
          </cell>
          <cell r="C60" t="str">
            <v>Boulon mắt 16x250+ long đền vuông D18-50x50x3/Zn</v>
          </cell>
          <cell r="D60" t="str">
            <v>bộ</v>
          </cell>
          <cell r="E60">
            <v>35000</v>
          </cell>
          <cell r="F60">
            <v>0</v>
          </cell>
          <cell r="G60">
            <v>0</v>
          </cell>
          <cell r="H60">
            <v>0.3</v>
          </cell>
          <cell r="P60" t="str">
            <v>K1.30</v>
          </cell>
          <cell r="Q60" t="str">
            <v>Kỹ sư bậc 3/8</v>
          </cell>
          <cell r="R60">
            <v>2.96</v>
          </cell>
          <cell r="S60">
            <v>6375840</v>
          </cell>
          <cell r="T60">
            <v>245225</v>
          </cell>
        </row>
        <row r="61">
          <cell r="A61" t="str">
            <v>BM16300</v>
          </cell>
          <cell r="C61" t="str">
            <v>Boulon mắt 16x300+ long đền vuông D18-50x50x3/Zn</v>
          </cell>
          <cell r="D61" t="str">
            <v>bộ</v>
          </cell>
          <cell r="E61">
            <v>39000</v>
          </cell>
          <cell r="F61">
            <v>0</v>
          </cell>
          <cell r="G61">
            <v>0</v>
          </cell>
          <cell r="H61">
            <v>0.3</v>
          </cell>
          <cell r="P61" t="str">
            <v>K1.40</v>
          </cell>
          <cell r="Q61" t="str">
            <v>Kỹ sư bậc 4/8</v>
          </cell>
          <cell r="R61">
            <v>3.27</v>
          </cell>
          <cell r="S61">
            <v>7043580</v>
          </cell>
          <cell r="T61">
            <v>270907</v>
          </cell>
        </row>
        <row r="62">
          <cell r="A62" t="str">
            <v>BMOC16200</v>
          </cell>
          <cell r="C62" t="str">
            <v>Boulon móc 16x200+ long đền vuông D18-50x50x3/Zn</v>
          </cell>
          <cell r="D62" t="str">
            <v>bộ</v>
          </cell>
          <cell r="E62">
            <v>34500</v>
          </cell>
          <cell r="F62">
            <v>0</v>
          </cell>
          <cell r="G62">
            <v>0</v>
          </cell>
          <cell r="H62">
            <v>0.2</v>
          </cell>
          <cell r="P62" t="str">
            <v>K1.45</v>
          </cell>
          <cell r="Q62" t="str">
            <v>Kỹ sư bậc 4,5/8</v>
          </cell>
          <cell r="R62">
            <v>3.4249999999999998</v>
          </cell>
          <cell r="S62">
            <v>7377450</v>
          </cell>
          <cell r="T62">
            <v>283748</v>
          </cell>
        </row>
        <row r="63">
          <cell r="A63" t="str">
            <v>BMOC16230</v>
          </cell>
          <cell r="C63" t="str">
            <v>Boulon móc 16x230+ long đền vuông D18-50x50x3/Zn</v>
          </cell>
          <cell r="D63" t="str">
            <v>bộ</v>
          </cell>
          <cell r="F63">
            <v>0</v>
          </cell>
          <cell r="G63">
            <v>0</v>
          </cell>
          <cell r="H63">
            <v>0.23</v>
          </cell>
          <cell r="P63" t="str">
            <v>K1.50</v>
          </cell>
          <cell r="Q63" t="str">
            <v>Kỹ sư bậc 5/8</v>
          </cell>
          <cell r="R63">
            <v>3.58</v>
          </cell>
          <cell r="S63">
            <v>7711320</v>
          </cell>
          <cell r="T63">
            <v>296589</v>
          </cell>
        </row>
        <row r="64">
          <cell r="A64" t="str">
            <v>BMOC16250</v>
          </cell>
          <cell r="C64" t="str">
            <v>Boulon móc 16x250+ long đền vuông D18-50x50x3/Zn</v>
          </cell>
          <cell r="D64" t="str">
            <v>bộ</v>
          </cell>
          <cell r="E64">
            <v>34500</v>
          </cell>
          <cell r="F64">
            <v>0</v>
          </cell>
          <cell r="G64">
            <v>0</v>
          </cell>
          <cell r="H64">
            <v>0.25</v>
          </cell>
          <cell r="P64" t="str">
            <v>K1.60</v>
          </cell>
          <cell r="Q64" t="str">
            <v>Kỹ sư bậc 6/8</v>
          </cell>
          <cell r="R64">
            <v>3.89</v>
          </cell>
          <cell r="S64">
            <v>8379060</v>
          </cell>
          <cell r="T64">
            <v>322272</v>
          </cell>
        </row>
        <row r="65">
          <cell r="A65" t="str">
            <v>BMOC16300</v>
          </cell>
          <cell r="C65" t="str">
            <v>Boulon móc 16x300+ long đền vuông D18-50x50x3/Zn</v>
          </cell>
          <cell r="D65" t="str">
            <v>bộ</v>
          </cell>
          <cell r="E65">
            <v>41500</v>
          </cell>
          <cell r="F65">
            <v>0</v>
          </cell>
          <cell r="G65">
            <v>0</v>
          </cell>
          <cell r="H65">
            <v>0.3</v>
          </cell>
          <cell r="P65" t="str">
            <v>K1.70</v>
          </cell>
          <cell r="Q65" t="str">
            <v>Kỹ sư bậc 7/8</v>
          </cell>
          <cell r="R65">
            <v>4.2</v>
          </cell>
          <cell r="S65">
            <v>9046800</v>
          </cell>
          <cell r="T65">
            <v>347954</v>
          </cell>
        </row>
        <row r="66">
          <cell r="A66" t="str">
            <v>BMOC16350</v>
          </cell>
          <cell r="C66" t="str">
            <v>Boulon móc 16x350+ long đền vuông D18-50x50x3/Zn</v>
          </cell>
          <cell r="D66" t="str">
            <v>bộ</v>
          </cell>
          <cell r="F66">
            <v>0</v>
          </cell>
          <cell r="G66">
            <v>0</v>
          </cell>
          <cell r="H66">
            <v>0.35</v>
          </cell>
          <cell r="P66" t="str">
            <v>K1.80</v>
          </cell>
          <cell r="Q66" t="str">
            <v>Kỹ sư bậc 8/8</v>
          </cell>
          <cell r="R66">
            <v>4.51</v>
          </cell>
          <cell r="S66">
            <v>9714540</v>
          </cell>
          <cell r="T66">
            <v>373636</v>
          </cell>
        </row>
        <row r="67">
          <cell r="A67" t="str">
            <v>BMOC16400</v>
          </cell>
          <cell r="C67" t="str">
            <v>Boulon móc 16x400+ long đền vuông D18-50x50x3/Zn</v>
          </cell>
          <cell r="D67" t="str">
            <v>bộ</v>
          </cell>
          <cell r="E67">
            <v>44500</v>
          </cell>
          <cell r="F67">
            <v>0</v>
          </cell>
          <cell r="G67">
            <v>0</v>
          </cell>
          <cell r="H67">
            <v>0.4</v>
          </cell>
          <cell r="Q67" t="str">
            <v>TÀI XẾ</v>
          </cell>
        </row>
        <row r="68">
          <cell r="A68" t="str">
            <v>BMOC16450</v>
          </cell>
          <cell r="C68" t="str">
            <v>Boulon móc 16x450+ long đền vuông D18-50x50x3/Zn</v>
          </cell>
          <cell r="D68" t="str">
            <v>bộ</v>
          </cell>
          <cell r="F68">
            <v>0</v>
          </cell>
          <cell r="G68">
            <v>0</v>
          </cell>
          <cell r="H68">
            <v>0.4</v>
          </cell>
          <cell r="Q68" t="str">
            <v>TÀI XẾ</v>
          </cell>
        </row>
        <row r="69">
          <cell r="A69" t="str">
            <v>BMOC16500</v>
          </cell>
          <cell r="C69" t="str">
            <v>Boulon móc 16x500+ long đền vuông D18-50x50x3/Zn</v>
          </cell>
          <cell r="D69" t="str">
            <v>bộ</v>
          </cell>
          <cell r="F69">
            <v>0</v>
          </cell>
          <cell r="G69">
            <v>0</v>
          </cell>
          <cell r="H69">
            <v>0.4</v>
          </cell>
          <cell r="Q69" t="str">
            <v>TÀI XẾ</v>
          </cell>
        </row>
        <row r="70">
          <cell r="A70" t="str">
            <v>BMOC16550</v>
          </cell>
          <cell r="C70" t="str">
            <v>Boulon móc 16x550+ long đền vuông D18-50x50x3/Zn</v>
          </cell>
          <cell r="D70" t="str">
            <v>bộ</v>
          </cell>
          <cell r="F70">
            <v>0</v>
          </cell>
          <cell r="G70">
            <v>0</v>
          </cell>
          <cell r="H70">
            <v>0.4</v>
          </cell>
          <cell r="Q70" t="str">
            <v>TÀI XẾ</v>
          </cell>
        </row>
        <row r="71">
          <cell r="A71" t="str">
            <v>LD tron</v>
          </cell>
          <cell r="C71" t="str">
            <v>Long đền tròn 12-14-16-18</v>
          </cell>
          <cell r="D71" t="str">
            <v>cái</v>
          </cell>
          <cell r="F71">
            <v>0</v>
          </cell>
          <cell r="G71">
            <v>0</v>
          </cell>
          <cell r="H71">
            <v>0</v>
          </cell>
          <cell r="P71" t="str">
            <v>TX</v>
          </cell>
          <cell r="Q71" t="str">
            <v>Tài xế bậc 1/4</v>
          </cell>
          <cell r="R71">
            <v>2.1800000000000002</v>
          </cell>
          <cell r="S71">
            <v>4695720</v>
          </cell>
          <cell r="T71">
            <v>180605</v>
          </cell>
        </row>
        <row r="72">
          <cell r="A72" t="str">
            <v>LD 40</v>
          </cell>
          <cell r="C72" t="str">
            <v>Long đền vuông 14-22 (50x50x3)</v>
          </cell>
          <cell r="D72" t="str">
            <v>cái</v>
          </cell>
          <cell r="E72">
            <v>4500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LD 60</v>
          </cell>
          <cell r="C73" t="str">
            <v>Long đền vuông 18-24 (60x60x6)</v>
          </cell>
          <cell r="D73" t="str">
            <v>cái</v>
          </cell>
          <cell r="E73">
            <v>9500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TAN14</v>
          </cell>
          <cell r="C74" t="str">
            <v>Tán M14</v>
          </cell>
          <cell r="D74" t="str">
            <v>bộ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TAN16</v>
          </cell>
          <cell r="C75" t="str">
            <v>Tán M16</v>
          </cell>
          <cell r="D75" t="str">
            <v>cái</v>
          </cell>
          <cell r="F75">
            <v>0</v>
          </cell>
          <cell r="G75">
            <v>0</v>
          </cell>
          <cell r="H75">
            <v>0</v>
          </cell>
        </row>
        <row r="76">
          <cell r="A76" t="str">
            <v>TAN22</v>
          </cell>
          <cell r="C76" t="str">
            <v>Tán M22</v>
          </cell>
          <cell r="D76" t="str">
            <v>cái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CHUPFCO</v>
          </cell>
          <cell r="C77" t="str">
            <v>Chụp đầu FCO (Trên + Dưới)</v>
          </cell>
          <cell r="D77" t="str">
            <v>bộ</v>
          </cell>
          <cell r="E77">
            <v>190000</v>
          </cell>
          <cell r="F77">
            <v>0</v>
          </cell>
          <cell r="G77">
            <v>0</v>
          </cell>
          <cell r="H77">
            <v>0</v>
          </cell>
        </row>
        <row r="78">
          <cell r="A78" t="str">
            <v>CHUPLA</v>
          </cell>
          <cell r="C78" t="str">
            <v>Chụp đầu LA</v>
          </cell>
          <cell r="D78" t="str">
            <v>cái</v>
          </cell>
          <cell r="E78">
            <v>32000</v>
          </cell>
          <cell r="F78">
            <v>0</v>
          </cell>
          <cell r="G78">
            <v>0</v>
          </cell>
          <cell r="H78">
            <v>0</v>
          </cell>
        </row>
        <row r="79">
          <cell r="A79" t="str">
            <v>CHUPMBA</v>
          </cell>
          <cell r="C79" t="str">
            <v>Chụp đầu cực MBA</v>
          </cell>
          <cell r="D79" t="str">
            <v>cái</v>
          </cell>
          <cell r="E79">
            <v>52000</v>
          </cell>
          <cell r="F79">
            <v>0</v>
          </cell>
          <cell r="G79">
            <v>0</v>
          </cell>
          <cell r="H79">
            <v>0</v>
          </cell>
        </row>
        <row r="80">
          <cell r="A80" t="str">
            <v>BATLI</v>
          </cell>
          <cell r="C80" t="str">
            <v>Bass LI bắt FCO, LA</v>
          </cell>
          <cell r="D80" t="str">
            <v>Bộ</v>
          </cell>
          <cell r="E80">
            <v>45000</v>
          </cell>
          <cell r="F80">
            <v>0</v>
          </cell>
          <cell r="G80">
            <v>0</v>
          </cell>
          <cell r="H80">
            <v>0.4</v>
          </cell>
        </row>
        <row r="81">
          <cell r="A81" t="str">
            <v>BATLL</v>
          </cell>
          <cell r="C81" t="str">
            <v>Bass LL bắt FCO và LA</v>
          </cell>
          <cell r="D81" t="str">
            <v>bộ</v>
          </cell>
          <cell r="E81">
            <v>65000</v>
          </cell>
          <cell r="F81">
            <v>0</v>
          </cell>
          <cell r="G81">
            <v>0</v>
          </cell>
          <cell r="H81">
            <v>0.5</v>
          </cell>
        </row>
        <row r="82">
          <cell r="A82" t="str">
            <v>M25</v>
          </cell>
          <cell r="C82" t="str">
            <v>Cáp đồng trần M25mm2</v>
          </cell>
          <cell r="D82" t="str">
            <v>kg</v>
          </cell>
          <cell r="E82">
            <v>191630</v>
          </cell>
          <cell r="F82">
            <v>0</v>
          </cell>
          <cell r="G82">
            <v>0</v>
          </cell>
          <cell r="H82">
            <v>1</v>
          </cell>
        </row>
        <row r="83">
          <cell r="A83" t="str">
            <v>CXV25</v>
          </cell>
          <cell r="C83" t="str">
            <v>Cáp 24KV C/XLPE/PVC 25mm2</v>
          </cell>
          <cell r="D83" t="str">
            <v>mét</v>
          </cell>
          <cell r="E83">
            <v>69890</v>
          </cell>
          <cell r="F83">
            <v>0</v>
          </cell>
          <cell r="G83">
            <v>0</v>
          </cell>
          <cell r="H83">
            <v>0.75</v>
          </cell>
        </row>
        <row r="84">
          <cell r="A84" t="str">
            <v>CXV50</v>
          </cell>
          <cell r="C84" t="str">
            <v>Cáp 24KV C/XLPE/PVC 50mm2</v>
          </cell>
          <cell r="D84" t="str">
            <v>mét</v>
          </cell>
          <cell r="E84">
            <v>149500</v>
          </cell>
          <cell r="F84">
            <v>0</v>
          </cell>
          <cell r="G84">
            <v>0</v>
          </cell>
          <cell r="H84">
            <v>0.86</v>
          </cell>
        </row>
        <row r="85">
          <cell r="A85" t="str">
            <v>XLPE70</v>
          </cell>
          <cell r="C85" t="str">
            <v>Cáp 24KV C/XLPE/PVC 70mm2</v>
          </cell>
          <cell r="D85" t="str">
            <v>mét</v>
          </cell>
          <cell r="F85">
            <v>0</v>
          </cell>
          <cell r="G85">
            <v>0</v>
          </cell>
          <cell r="H85">
            <v>1.25</v>
          </cell>
        </row>
        <row r="86">
          <cell r="A86" t="str">
            <v>XLPE95</v>
          </cell>
          <cell r="C86" t="str">
            <v>Cáp 24KV C/XLPE/PVC 95mm2</v>
          </cell>
          <cell r="D86" t="str">
            <v>mét</v>
          </cell>
          <cell r="F86">
            <v>0</v>
          </cell>
          <cell r="G86">
            <v>0</v>
          </cell>
          <cell r="H86">
            <v>1.55</v>
          </cell>
        </row>
        <row r="87">
          <cell r="A87" t="str">
            <v>XLPE120</v>
          </cell>
          <cell r="C87" t="str">
            <v>Cáp 24KV C/XLPE/PVC 120mm2</v>
          </cell>
          <cell r="D87" t="str">
            <v>mét</v>
          </cell>
          <cell r="F87">
            <v>0</v>
          </cell>
          <cell r="G87">
            <v>0</v>
          </cell>
          <cell r="H87">
            <v>1.81</v>
          </cell>
        </row>
        <row r="88">
          <cell r="A88" t="str">
            <v>XLPE150</v>
          </cell>
          <cell r="C88" t="str">
            <v>Cáp 24KV C/XLPE/PVC 150mm2</v>
          </cell>
          <cell r="D88" t="str">
            <v>mét</v>
          </cell>
          <cell r="F88">
            <v>0</v>
          </cell>
          <cell r="G88">
            <v>0</v>
          </cell>
          <cell r="H88">
            <v>2.2000000000000002</v>
          </cell>
        </row>
        <row r="89">
          <cell r="A89" t="str">
            <v>XLPE185</v>
          </cell>
          <cell r="C89" t="str">
            <v>Cáp 24KV C/XLPE/PVC 185mm2</v>
          </cell>
          <cell r="D89" t="str">
            <v>mét</v>
          </cell>
          <cell r="F89">
            <v>0</v>
          </cell>
          <cell r="G89">
            <v>0</v>
          </cell>
          <cell r="H89">
            <v>2.54</v>
          </cell>
        </row>
        <row r="90">
          <cell r="A90" t="str">
            <v>XLPE240</v>
          </cell>
          <cell r="C90" t="str">
            <v>Cáp 24KV C/XLPE/PVC 240mm2</v>
          </cell>
          <cell r="D90" t="str">
            <v>mét</v>
          </cell>
          <cell r="F90">
            <v>0</v>
          </cell>
          <cell r="G90">
            <v>0</v>
          </cell>
          <cell r="H90">
            <v>3.1669999999999998</v>
          </cell>
        </row>
        <row r="91">
          <cell r="A91" t="str">
            <v>XLPE250</v>
          </cell>
          <cell r="C91" t="str">
            <v>Cáp 24KV C/XLPE/PVC 250mm2</v>
          </cell>
          <cell r="D91" t="str">
            <v>mét</v>
          </cell>
          <cell r="F91">
            <v>0</v>
          </cell>
          <cell r="G91">
            <v>0</v>
          </cell>
          <cell r="H91">
            <v>3.3250000000000002</v>
          </cell>
        </row>
        <row r="92">
          <cell r="A92" t="str">
            <v>ACX50</v>
          </cell>
          <cell r="C92" t="str">
            <v>Cáp 24KV ACX 50/8mm2</v>
          </cell>
          <cell r="D92" t="str">
            <v>mét</v>
          </cell>
          <cell r="E92">
            <v>35590</v>
          </cell>
          <cell r="F92">
            <v>0</v>
          </cell>
          <cell r="G92">
            <v>0</v>
          </cell>
          <cell r="H92">
            <v>0.65</v>
          </cell>
        </row>
        <row r="93">
          <cell r="A93" t="str">
            <v>ACX70</v>
          </cell>
          <cell r="C93" t="str">
            <v>Cáp 24KV ACX 70/11mm2</v>
          </cell>
          <cell r="D93" t="str">
            <v>mét</v>
          </cell>
          <cell r="E93">
            <v>42940</v>
          </cell>
          <cell r="F93">
            <v>0</v>
          </cell>
          <cell r="G93">
            <v>0</v>
          </cell>
          <cell r="H93">
            <v>0.72</v>
          </cell>
        </row>
        <row r="94">
          <cell r="A94" t="str">
            <v>ACX95</v>
          </cell>
          <cell r="C94" t="str">
            <v>Cáp 24KV ACX 95/16mm2</v>
          </cell>
          <cell r="D94" t="str">
            <v>mét</v>
          </cell>
          <cell r="E94">
            <v>61425</v>
          </cell>
          <cell r="F94">
            <v>0</v>
          </cell>
          <cell r="G94">
            <v>0</v>
          </cell>
          <cell r="H94">
            <v>0.87</v>
          </cell>
        </row>
        <row r="95">
          <cell r="A95" t="str">
            <v>ACX120</v>
          </cell>
          <cell r="C95" t="str">
            <v>Cáp 24KV ACX 120/19mm2</v>
          </cell>
          <cell r="D95" t="str">
            <v>mét</v>
          </cell>
          <cell r="E95">
            <v>87500</v>
          </cell>
          <cell r="F95">
            <v>0</v>
          </cell>
          <cell r="G95">
            <v>0</v>
          </cell>
          <cell r="H95">
            <v>0.93</v>
          </cell>
        </row>
        <row r="96">
          <cell r="A96" t="str">
            <v>ACX150</v>
          </cell>
          <cell r="C96" t="str">
            <v>Cáp 24KV ACX 150/19mm2</v>
          </cell>
          <cell r="D96" t="str">
            <v>mét</v>
          </cell>
          <cell r="E96">
            <v>98800</v>
          </cell>
          <cell r="F96">
            <v>0</v>
          </cell>
          <cell r="G96">
            <v>0</v>
          </cell>
          <cell r="H96">
            <v>1.22</v>
          </cell>
        </row>
        <row r="97">
          <cell r="A97" t="str">
            <v>ACX185</v>
          </cell>
          <cell r="C97" t="str">
            <v>Cáp 24KV ACX 185/24mm2</v>
          </cell>
          <cell r="D97" t="str">
            <v>mét</v>
          </cell>
          <cell r="E97">
            <v>116500</v>
          </cell>
          <cell r="F97">
            <v>0</v>
          </cell>
          <cell r="G97">
            <v>0</v>
          </cell>
          <cell r="H97">
            <v>1.53</v>
          </cell>
        </row>
        <row r="98">
          <cell r="A98" t="str">
            <v>ACX240</v>
          </cell>
          <cell r="C98" t="str">
            <v>Cáp 24KV ACX 240mm2</v>
          </cell>
          <cell r="D98" t="str">
            <v>mét</v>
          </cell>
          <cell r="F98">
            <v>0</v>
          </cell>
          <cell r="G98">
            <v>0</v>
          </cell>
          <cell r="H98">
            <v>1.86</v>
          </cell>
        </row>
        <row r="99">
          <cell r="A99" t="str">
            <v>XLPE370D</v>
          </cell>
          <cell r="C99" t="str">
            <v>Cáp 24kV C/XLPE/DSTA/PVC3x70mm2</v>
          </cell>
          <cell r="D99" t="str">
            <v>mét</v>
          </cell>
          <cell r="F99">
            <v>0</v>
          </cell>
          <cell r="G99">
            <v>0</v>
          </cell>
          <cell r="H99">
            <v>6.2869999999999999</v>
          </cell>
        </row>
        <row r="100">
          <cell r="A100" t="str">
            <v>XLPE395D</v>
          </cell>
          <cell r="C100" t="str">
            <v>Cáp 24kV C/XLPE/DSTA/PVC3x95mm2</v>
          </cell>
          <cell r="D100" t="str">
            <v>mét</v>
          </cell>
          <cell r="F100">
            <v>0</v>
          </cell>
          <cell r="G100">
            <v>0</v>
          </cell>
          <cell r="H100">
            <v>7.4</v>
          </cell>
        </row>
        <row r="101">
          <cell r="A101" t="str">
            <v>XLPE3120D</v>
          </cell>
          <cell r="C101" t="str">
            <v>Cáp 24kV C/XLPE/DSTA/PVC3x120mm2</v>
          </cell>
          <cell r="D101" t="str">
            <v>mét</v>
          </cell>
          <cell r="F101">
            <v>0</v>
          </cell>
          <cell r="G101">
            <v>0</v>
          </cell>
          <cell r="H101">
            <v>8.36</v>
          </cell>
        </row>
        <row r="102">
          <cell r="A102" t="str">
            <v>XLPE3150D</v>
          </cell>
          <cell r="C102" t="str">
            <v>Cáp 24kV C/XLPE/DSTA/PVC3x150mm2</v>
          </cell>
          <cell r="D102" t="str">
            <v>mét</v>
          </cell>
          <cell r="F102">
            <v>0</v>
          </cell>
          <cell r="G102">
            <v>0</v>
          </cell>
          <cell r="H102">
            <v>9.84</v>
          </cell>
        </row>
        <row r="103">
          <cell r="A103" t="str">
            <v>XLPE3185D</v>
          </cell>
          <cell r="C103" t="str">
            <v>Cáp 24kV C/XLPE/DSTA/PVC3x185mm2</v>
          </cell>
          <cell r="D103" t="str">
            <v>mét</v>
          </cell>
          <cell r="F103">
            <v>0</v>
          </cell>
          <cell r="G103">
            <v>0</v>
          </cell>
          <cell r="H103">
            <v>0</v>
          </cell>
        </row>
        <row r="104">
          <cell r="A104" t="str">
            <v>XLPE3240D</v>
          </cell>
          <cell r="C104" t="str">
            <v>Cáp 24kV C/XLPE/DSTA/PVC3x240mm2</v>
          </cell>
          <cell r="D104" t="str">
            <v>mét</v>
          </cell>
          <cell r="F104">
            <v>0</v>
          </cell>
          <cell r="G104">
            <v>0</v>
          </cell>
          <cell r="H104">
            <v>0</v>
          </cell>
        </row>
        <row r="105">
          <cell r="A105" t="str">
            <v>AC50</v>
          </cell>
          <cell r="C105" t="str">
            <v>Cáp nhôm lõi thép AC-50/8</v>
          </cell>
          <cell r="D105" t="str">
            <v>kg</v>
          </cell>
          <cell r="E105">
            <v>54400</v>
          </cell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AC70</v>
          </cell>
          <cell r="C106" t="str">
            <v>Cáp nhôm lõi thép AC-70/11</v>
          </cell>
          <cell r="D106" t="str">
            <v>kg</v>
          </cell>
          <cell r="E106">
            <v>54400</v>
          </cell>
          <cell r="F106">
            <v>0</v>
          </cell>
          <cell r="G106">
            <v>0</v>
          </cell>
          <cell r="H106">
            <v>1</v>
          </cell>
        </row>
        <row r="107">
          <cell r="A107" t="str">
            <v>AC95</v>
          </cell>
          <cell r="C107" t="str">
            <v>Cáp nhôm lõi thép AC-95/16</v>
          </cell>
          <cell r="D107" t="str">
            <v>kg</v>
          </cell>
          <cell r="E107">
            <v>60000</v>
          </cell>
          <cell r="F107">
            <v>0</v>
          </cell>
          <cell r="G107">
            <v>0</v>
          </cell>
          <cell r="H107">
            <v>1</v>
          </cell>
        </row>
        <row r="108">
          <cell r="A108" t="str">
            <v>AC120</v>
          </cell>
          <cell r="C108" t="str">
            <v>Cáp nhôm lõi thép AC-120/19</v>
          </cell>
          <cell r="D108" t="str">
            <v>kg</v>
          </cell>
          <cell r="E108">
            <v>61900</v>
          </cell>
          <cell r="F108">
            <v>0</v>
          </cell>
          <cell r="G108">
            <v>0</v>
          </cell>
          <cell r="H108">
            <v>1</v>
          </cell>
        </row>
        <row r="109">
          <cell r="A109" t="str">
            <v>AC150</v>
          </cell>
          <cell r="C109" t="str">
            <v>Cáp nhôm lõi thép AC-150/24</v>
          </cell>
          <cell r="D109" t="str">
            <v>kg</v>
          </cell>
          <cell r="F109">
            <v>0</v>
          </cell>
          <cell r="G109">
            <v>0</v>
          </cell>
          <cell r="H109">
            <v>1</v>
          </cell>
        </row>
        <row r="110">
          <cell r="A110" t="str">
            <v>AC185</v>
          </cell>
          <cell r="C110" t="str">
            <v>Cáp nhôm lõi thép AC-185/29</v>
          </cell>
          <cell r="D110" t="str">
            <v>kg</v>
          </cell>
          <cell r="F110">
            <v>0</v>
          </cell>
          <cell r="G110">
            <v>0</v>
          </cell>
          <cell r="H110">
            <v>1</v>
          </cell>
        </row>
        <row r="111">
          <cell r="A111" t="str">
            <v>AC240</v>
          </cell>
          <cell r="C111" t="str">
            <v>Cáp nhôm lõi thép AC-240/39</v>
          </cell>
          <cell r="D111" t="str">
            <v>kg</v>
          </cell>
          <cell r="F111">
            <v>0</v>
          </cell>
          <cell r="G111">
            <v>0</v>
          </cell>
          <cell r="H111">
            <v>1</v>
          </cell>
        </row>
        <row r="112">
          <cell r="A112" t="str">
            <v>av35</v>
          </cell>
          <cell r="C112" t="str">
            <v>Cáp nhôm bọc AV35</v>
          </cell>
          <cell r="D112" t="str">
            <v>mét</v>
          </cell>
          <cell r="F112">
            <v>0</v>
          </cell>
          <cell r="G112">
            <v>0</v>
          </cell>
          <cell r="H112">
            <v>0.17599999999999999</v>
          </cell>
        </row>
        <row r="113">
          <cell r="A113" t="str">
            <v>av50</v>
          </cell>
          <cell r="C113" t="str">
            <v>Cáp nhôm bọc AV50</v>
          </cell>
          <cell r="D113" t="str">
            <v>mét</v>
          </cell>
          <cell r="F113">
            <v>0</v>
          </cell>
          <cell r="G113">
            <v>0</v>
          </cell>
          <cell r="H113">
            <v>0.22900000000000001</v>
          </cell>
        </row>
        <row r="114">
          <cell r="A114" t="str">
            <v>av70</v>
          </cell>
          <cell r="C114" t="str">
            <v>Cáp nhôm bọc AV70</v>
          </cell>
          <cell r="D114" t="str">
            <v>mét</v>
          </cell>
          <cell r="F114">
            <v>0</v>
          </cell>
          <cell r="G114">
            <v>0</v>
          </cell>
          <cell r="H114">
            <v>0.308</v>
          </cell>
        </row>
        <row r="115">
          <cell r="A115" t="str">
            <v>av95</v>
          </cell>
          <cell r="C115" t="str">
            <v>Cáp nhôm bọc AV95</v>
          </cell>
          <cell r="D115" t="str">
            <v>mét</v>
          </cell>
          <cell r="F115">
            <v>0</v>
          </cell>
          <cell r="G115">
            <v>0</v>
          </cell>
          <cell r="H115">
            <v>0.41</v>
          </cell>
        </row>
        <row r="116">
          <cell r="A116" t="str">
            <v>av120</v>
          </cell>
          <cell r="C116" t="str">
            <v>Cáp nhôm bọc AV120</v>
          </cell>
          <cell r="D116" t="str">
            <v>mét</v>
          </cell>
          <cell r="F116">
            <v>0</v>
          </cell>
          <cell r="G116">
            <v>0</v>
          </cell>
          <cell r="H116">
            <v>0.496</v>
          </cell>
        </row>
        <row r="117">
          <cell r="A117" t="str">
            <v>av150</v>
          </cell>
          <cell r="C117" t="str">
            <v>Cáp nhôm bọc AV150</v>
          </cell>
          <cell r="D117" t="str">
            <v>mét</v>
          </cell>
          <cell r="F117">
            <v>0</v>
          </cell>
          <cell r="G117">
            <v>0</v>
          </cell>
          <cell r="H117">
            <v>0.628</v>
          </cell>
        </row>
        <row r="118">
          <cell r="A118" t="str">
            <v>av185</v>
          </cell>
          <cell r="C118" t="str">
            <v>Cáp nhôm bọc AV185</v>
          </cell>
          <cell r="D118" t="str">
            <v>mét</v>
          </cell>
          <cell r="F118">
            <v>0</v>
          </cell>
          <cell r="G118">
            <v>0</v>
          </cell>
          <cell r="H118">
            <v>0.74299999999999999</v>
          </cell>
        </row>
        <row r="119">
          <cell r="A119" t="str">
            <v>av240</v>
          </cell>
          <cell r="C119" t="str">
            <v>Cáp nhôm bọc AV240</v>
          </cell>
          <cell r="D119" t="str">
            <v>mét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av300</v>
          </cell>
          <cell r="C120" t="str">
            <v>Cáp nhôm bọc AV300</v>
          </cell>
          <cell r="D120" t="str">
            <v>mét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ABC4x50</v>
          </cell>
          <cell r="C121" t="str">
            <v>Cáp nhôm ABC 4x50mm2</v>
          </cell>
          <cell r="D121" t="str">
            <v>mét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ABC3x50</v>
          </cell>
          <cell r="C122" t="str">
            <v>Cáp nhôm ABC 3x50mm2</v>
          </cell>
          <cell r="D122" t="str">
            <v>mét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ABC4x70</v>
          </cell>
          <cell r="C123" t="str">
            <v>Cáp nhôm ABC 4x70mm2</v>
          </cell>
          <cell r="D123" t="str">
            <v>mét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ABC3x70</v>
          </cell>
          <cell r="C124" t="str">
            <v>Cáp nhôm ABC 3x70mm2</v>
          </cell>
          <cell r="D124" t="str">
            <v>mét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ABC4x95</v>
          </cell>
          <cell r="C125" t="str">
            <v>Cáp nhôm ABC 4x95mm2</v>
          </cell>
          <cell r="D125" t="str">
            <v>mét</v>
          </cell>
          <cell r="F125">
            <v>0</v>
          </cell>
          <cell r="G125">
            <v>0</v>
          </cell>
          <cell r="H125">
            <v>1.3160000000000001</v>
          </cell>
        </row>
        <row r="126">
          <cell r="A126" t="str">
            <v>ABC3x95</v>
          </cell>
          <cell r="C126" t="str">
            <v>Cáp nhôm ABC 3x95mm2</v>
          </cell>
          <cell r="D126" t="str">
            <v>mét</v>
          </cell>
          <cell r="F126">
            <v>0</v>
          </cell>
          <cell r="G126">
            <v>0</v>
          </cell>
          <cell r="H126">
            <v>0.97799999999999998</v>
          </cell>
        </row>
        <row r="127">
          <cell r="A127" t="str">
            <v>ABC3x120</v>
          </cell>
          <cell r="C127" t="str">
            <v>Cáp nhôm ABC 3x120mm2</v>
          </cell>
          <cell r="D127" t="str">
            <v>mét</v>
          </cell>
          <cell r="E127">
            <v>90210</v>
          </cell>
          <cell r="F127">
            <v>0</v>
          </cell>
          <cell r="G127">
            <v>0</v>
          </cell>
          <cell r="H127">
            <v>1.2130000000000001</v>
          </cell>
        </row>
        <row r="128">
          <cell r="A128" t="str">
            <v>ABC4x120</v>
          </cell>
          <cell r="C128" t="str">
            <v>Cáp nhôm ABC 4x120mm2</v>
          </cell>
          <cell r="D128" t="str">
            <v>mét</v>
          </cell>
          <cell r="E128">
            <v>119230</v>
          </cell>
          <cell r="F128">
            <v>0</v>
          </cell>
          <cell r="G128">
            <v>0</v>
          </cell>
          <cell r="H128">
            <v>1.6180000000000001</v>
          </cell>
        </row>
        <row r="129">
          <cell r="A129" t="str">
            <v>ABC4x150</v>
          </cell>
          <cell r="C129" t="str">
            <v>Cáp nhôm ABC 4x150mm2</v>
          </cell>
          <cell r="D129" t="str">
            <v>mét</v>
          </cell>
          <cell r="F129">
            <v>0</v>
          </cell>
          <cell r="G129">
            <v>0</v>
          </cell>
          <cell r="H129">
            <v>0</v>
          </cell>
        </row>
        <row r="130">
          <cell r="A130" t="str">
            <v>cv25</v>
          </cell>
          <cell r="C130" t="str">
            <v>Cáp đồng bọc CV25</v>
          </cell>
          <cell r="D130" t="str">
            <v>mét</v>
          </cell>
          <cell r="E130">
            <v>46540</v>
          </cell>
          <cell r="F130">
            <v>0</v>
          </cell>
          <cell r="G130">
            <v>0</v>
          </cell>
          <cell r="H130">
            <v>0.29099999999999998</v>
          </cell>
        </row>
        <row r="131">
          <cell r="A131" t="str">
            <v>cv35</v>
          </cell>
          <cell r="C131" t="str">
            <v>Cáp đồng bọc CV35</v>
          </cell>
          <cell r="D131" t="str">
            <v>mét</v>
          </cell>
          <cell r="E131">
            <v>89775</v>
          </cell>
          <cell r="F131">
            <v>0</v>
          </cell>
          <cell r="G131">
            <v>0</v>
          </cell>
          <cell r="H131">
            <v>0.39500000000000002</v>
          </cell>
        </row>
        <row r="132">
          <cell r="A132" t="str">
            <v>cv50</v>
          </cell>
          <cell r="C132" t="str">
            <v>Cáp đồng bọc CV50</v>
          </cell>
          <cell r="D132" t="str">
            <v>mét</v>
          </cell>
          <cell r="E132">
            <v>90810</v>
          </cell>
          <cell r="F132">
            <v>0</v>
          </cell>
          <cell r="G132">
            <v>0</v>
          </cell>
          <cell r="H132">
            <v>0.53400000000000003</v>
          </cell>
        </row>
        <row r="133">
          <cell r="A133" t="str">
            <v>cv70</v>
          </cell>
          <cell r="C133" t="str">
            <v>Cáp đồng bọc CV70</v>
          </cell>
          <cell r="D133" t="str">
            <v>mét</v>
          </cell>
          <cell r="E133">
            <v>124570</v>
          </cell>
          <cell r="F133">
            <v>0</v>
          </cell>
          <cell r="G133">
            <v>0</v>
          </cell>
          <cell r="H133">
            <v>0.73899999999999999</v>
          </cell>
        </row>
        <row r="134">
          <cell r="A134" t="str">
            <v>cv95</v>
          </cell>
          <cell r="C134" t="str">
            <v>Cáp đồng bọc CV95</v>
          </cell>
          <cell r="D134" t="str">
            <v>mét</v>
          </cell>
          <cell r="E134">
            <v>170620</v>
          </cell>
          <cell r="F134">
            <v>0</v>
          </cell>
          <cell r="G134">
            <v>0</v>
          </cell>
          <cell r="H134">
            <v>1.008</v>
          </cell>
        </row>
        <row r="135">
          <cell r="A135" t="str">
            <v>cv120</v>
          </cell>
          <cell r="C135" t="str">
            <v>Cáp đồng bọc CV120</v>
          </cell>
          <cell r="D135" t="str">
            <v>mét</v>
          </cell>
          <cell r="E135">
            <v>213430</v>
          </cell>
          <cell r="F135">
            <v>0</v>
          </cell>
          <cell r="G135">
            <v>0</v>
          </cell>
          <cell r="H135">
            <v>1.2350000000000001</v>
          </cell>
        </row>
        <row r="136">
          <cell r="A136" t="str">
            <v>cv150</v>
          </cell>
          <cell r="C136" t="str">
            <v>Cáp đồng bọc CV150</v>
          </cell>
          <cell r="D136" t="str">
            <v>mét</v>
          </cell>
          <cell r="E136">
            <v>274250</v>
          </cell>
          <cell r="F136">
            <v>0</v>
          </cell>
          <cell r="G136">
            <v>0</v>
          </cell>
          <cell r="H136">
            <v>1.5980000000000001</v>
          </cell>
        </row>
        <row r="137">
          <cell r="A137" t="str">
            <v>cv185</v>
          </cell>
          <cell r="C137" t="str">
            <v>Cáp đồng bọc CV185</v>
          </cell>
          <cell r="D137" t="str">
            <v>mét</v>
          </cell>
          <cell r="E137">
            <v>329880</v>
          </cell>
          <cell r="F137">
            <v>0</v>
          </cell>
          <cell r="G137">
            <v>0</v>
          </cell>
          <cell r="H137">
            <v>1.9079999999999999</v>
          </cell>
        </row>
        <row r="138">
          <cell r="A138" t="str">
            <v>cv200</v>
          </cell>
          <cell r="C138" t="str">
            <v>Cáp đồng bọc CV200</v>
          </cell>
          <cell r="D138" t="str">
            <v>mét</v>
          </cell>
          <cell r="E138">
            <v>350440</v>
          </cell>
          <cell r="F138">
            <v>0</v>
          </cell>
          <cell r="G138">
            <v>0</v>
          </cell>
          <cell r="H138">
            <v>1.2350000000000001</v>
          </cell>
        </row>
        <row r="139">
          <cell r="A139" t="str">
            <v>cv240</v>
          </cell>
          <cell r="C139" t="str">
            <v>Cáp đồng bọc CV240</v>
          </cell>
          <cell r="D139" t="str">
            <v>mét</v>
          </cell>
          <cell r="E139">
            <v>428700</v>
          </cell>
          <cell r="F139">
            <v>0</v>
          </cell>
          <cell r="G139">
            <v>0</v>
          </cell>
          <cell r="H139">
            <v>1.5980000000000001</v>
          </cell>
        </row>
        <row r="140">
          <cell r="A140" t="str">
            <v>cv250</v>
          </cell>
          <cell r="C140" t="str">
            <v>Cáp đồng bọc CV250</v>
          </cell>
          <cell r="D140" t="str">
            <v>mét</v>
          </cell>
          <cell r="E140">
            <v>446080</v>
          </cell>
          <cell r="F140">
            <v>0</v>
          </cell>
          <cell r="G140">
            <v>0</v>
          </cell>
          <cell r="H140">
            <v>2.5790000000000002</v>
          </cell>
        </row>
        <row r="141">
          <cell r="A141" t="str">
            <v>cv300</v>
          </cell>
          <cell r="C141" t="str">
            <v>Cáp đồng bọc CV300</v>
          </cell>
          <cell r="D141" t="str">
            <v>mét</v>
          </cell>
          <cell r="E141">
            <v>535890</v>
          </cell>
          <cell r="F141">
            <v>0</v>
          </cell>
          <cell r="G141">
            <v>0</v>
          </cell>
          <cell r="H141">
            <v>2.8759999999999999</v>
          </cell>
        </row>
        <row r="142">
          <cell r="A142" t="str">
            <v>cv400</v>
          </cell>
          <cell r="C142" t="str">
            <v>Cáp đồng bọc CV400</v>
          </cell>
          <cell r="D142" t="str">
            <v>mét</v>
          </cell>
          <cell r="F142">
            <v>0</v>
          </cell>
          <cell r="G142">
            <v>0</v>
          </cell>
          <cell r="H142">
            <v>2.9350000000000001</v>
          </cell>
        </row>
        <row r="143">
          <cell r="A143" t="str">
            <v>CVV4X4</v>
          </cell>
          <cell r="C143" t="str">
            <v>Cáp điều khiển CVV 4x4,0mm2</v>
          </cell>
          <cell r="D143" t="str">
            <v>mét</v>
          </cell>
          <cell r="E143">
            <v>56700</v>
          </cell>
          <cell r="F143">
            <v>0</v>
          </cell>
          <cell r="G143">
            <v>0</v>
          </cell>
          <cell r="H143">
            <v>3.024</v>
          </cell>
        </row>
        <row r="144">
          <cell r="A144" t="str">
            <v>A50</v>
          </cell>
          <cell r="C144" t="str">
            <v>Cáp nhôm A-50</v>
          </cell>
          <cell r="D144" t="str">
            <v>kg</v>
          </cell>
          <cell r="F144">
            <v>0</v>
          </cell>
          <cell r="G144">
            <v>0</v>
          </cell>
          <cell r="H144">
            <v>1</v>
          </cell>
        </row>
        <row r="145">
          <cell r="A145" t="str">
            <v>BCST</v>
          </cell>
          <cell r="C145" t="str">
            <v>Dây Buộc sứ đứng gắn trên đà vtrí đỡ thẳng</v>
          </cell>
          <cell r="D145" t="str">
            <v>cái</v>
          </cell>
          <cell r="E145">
            <v>236000</v>
          </cell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BCSG</v>
          </cell>
          <cell r="C146" t="str">
            <v>Dây Buộc sứ đứng gắn trên đà vtrí góc</v>
          </cell>
          <cell r="D146" t="str">
            <v>cái</v>
          </cell>
          <cell r="E146">
            <v>236000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A70</v>
          </cell>
          <cell r="C147" t="str">
            <v>Cáp nhôm A-70 (Buộc cổ ống chỉ+ sứ đứng lèo)</v>
          </cell>
          <cell r="D147" t="str">
            <v>kg</v>
          </cell>
          <cell r="E147">
            <v>68250</v>
          </cell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A95</v>
          </cell>
          <cell r="C148" t="str">
            <v>Cáp nhôm A-95</v>
          </cell>
          <cell r="D148" t="str">
            <v>kg</v>
          </cell>
          <cell r="E148">
            <v>68250</v>
          </cell>
          <cell r="F148">
            <v>0</v>
          </cell>
          <cell r="G148">
            <v>0</v>
          </cell>
          <cell r="H148">
            <v>1</v>
          </cell>
        </row>
        <row r="149">
          <cell r="A149" t="str">
            <v>A120</v>
          </cell>
          <cell r="C149" t="str">
            <v>Cáp nhôm A-120</v>
          </cell>
          <cell r="D149" t="str">
            <v>kg</v>
          </cell>
          <cell r="F149">
            <v>0</v>
          </cell>
          <cell r="G149">
            <v>0</v>
          </cell>
          <cell r="H149">
            <v>1</v>
          </cell>
        </row>
        <row r="150">
          <cell r="A150" t="str">
            <v>A150</v>
          </cell>
          <cell r="C150" t="str">
            <v>Cáp nhôm A-150</v>
          </cell>
          <cell r="D150" t="str">
            <v>kg</v>
          </cell>
          <cell r="F150">
            <v>0</v>
          </cell>
          <cell r="G150">
            <v>0</v>
          </cell>
          <cell r="H150">
            <v>1</v>
          </cell>
        </row>
        <row r="151">
          <cell r="A151" t="str">
            <v>A185</v>
          </cell>
          <cell r="C151" t="str">
            <v>Cáp nhôm A-185</v>
          </cell>
          <cell r="D151" t="str">
            <v>kg</v>
          </cell>
          <cell r="F151">
            <v>0</v>
          </cell>
          <cell r="G151">
            <v>0</v>
          </cell>
          <cell r="H151">
            <v>1</v>
          </cell>
        </row>
        <row r="152">
          <cell r="A152" t="str">
            <v>A240</v>
          </cell>
          <cell r="C152" t="str">
            <v>Cáp nhôm A-240</v>
          </cell>
          <cell r="D152" t="str">
            <v>kg</v>
          </cell>
          <cell r="F152">
            <v>0</v>
          </cell>
          <cell r="G152">
            <v>0</v>
          </cell>
          <cell r="H152">
            <v>1</v>
          </cell>
        </row>
        <row r="153">
          <cell r="A153" t="str">
            <v>C3/8</v>
          </cell>
          <cell r="C153" t="str">
            <v>Cáp thép 3/8"</v>
          </cell>
          <cell r="D153" t="str">
            <v>mét</v>
          </cell>
          <cell r="E153">
            <v>11025</v>
          </cell>
          <cell r="F153">
            <v>0</v>
          </cell>
          <cell r="G153">
            <v>0</v>
          </cell>
          <cell r="H153">
            <v>1</v>
          </cell>
        </row>
        <row r="154">
          <cell r="A154" t="str">
            <v>C5/8</v>
          </cell>
          <cell r="C154" t="str">
            <v>Cáp thép 5/8"</v>
          </cell>
          <cell r="D154" t="str">
            <v>mét</v>
          </cell>
          <cell r="E154">
            <v>13685</v>
          </cell>
          <cell r="F154">
            <v>0</v>
          </cell>
          <cell r="G154">
            <v>0</v>
          </cell>
          <cell r="H154">
            <v>1</v>
          </cell>
        </row>
        <row r="155">
          <cell r="A155" t="str">
            <v>CSDI</v>
          </cell>
          <cell r="C155" t="str">
            <v xml:space="preserve">Chân sứ đỉnh thẳng dài 870 dày 4mm bọc chì </v>
          </cell>
          <cell r="D155" t="str">
            <v>cái</v>
          </cell>
          <cell r="E155">
            <v>130000</v>
          </cell>
          <cell r="F155">
            <v>0</v>
          </cell>
          <cell r="G155">
            <v>0</v>
          </cell>
          <cell r="H155">
            <v>5</v>
          </cell>
        </row>
        <row r="156">
          <cell r="A156" t="str">
            <v>CSDG</v>
          </cell>
          <cell r="C156" t="str">
            <v>Chân sứ đỉnh cong dài 870 dày 4mm bọc chì</v>
          </cell>
          <cell r="D156" t="str">
            <v>cái</v>
          </cell>
          <cell r="E156">
            <v>140000</v>
          </cell>
          <cell r="F156">
            <v>0</v>
          </cell>
          <cell r="G156">
            <v>0</v>
          </cell>
          <cell r="H156">
            <v>5</v>
          </cell>
        </row>
        <row r="157">
          <cell r="A157" t="str">
            <v>CSD</v>
          </cell>
          <cell r="C157" t="str">
            <v>Chân sứ đứng 24kV bọc chì</v>
          </cell>
          <cell r="D157" t="str">
            <v>cái</v>
          </cell>
          <cell r="E157">
            <v>68000</v>
          </cell>
          <cell r="F157">
            <v>0</v>
          </cell>
          <cell r="G157">
            <v>0</v>
          </cell>
          <cell r="H157">
            <v>3</v>
          </cell>
        </row>
        <row r="158">
          <cell r="A158" t="str">
            <v>K3B42</v>
          </cell>
          <cell r="C158" t="str">
            <v>Kẹp cáp 3 boulon B42x130</v>
          </cell>
          <cell r="D158" t="str">
            <v>cái</v>
          </cell>
          <cell r="E158">
            <v>38000</v>
          </cell>
          <cell r="F158">
            <v>0</v>
          </cell>
          <cell r="G158">
            <v>0</v>
          </cell>
          <cell r="H158">
            <v>0.4</v>
          </cell>
        </row>
        <row r="159">
          <cell r="A159" t="str">
            <v>K3B</v>
          </cell>
          <cell r="C159" t="str">
            <v>Kẹp cáp 3 boulon B46x136</v>
          </cell>
          <cell r="D159" t="str">
            <v>cái</v>
          </cell>
          <cell r="E159">
            <v>48000</v>
          </cell>
          <cell r="F159">
            <v>0</v>
          </cell>
          <cell r="G159">
            <v>0</v>
          </cell>
          <cell r="H159">
            <v>0.2</v>
          </cell>
        </row>
        <row r="160">
          <cell r="A160" t="str">
            <v>CTD</v>
          </cell>
          <cell r="C160" t="str">
            <v>Cọc tiếp đất φ16 - 2,4m mạ Cu 16 micrômét</v>
          </cell>
          <cell r="D160" t="str">
            <v>cọc</v>
          </cell>
          <cell r="E160">
            <v>130000</v>
          </cell>
          <cell r="F160">
            <v>0</v>
          </cell>
          <cell r="G160">
            <v>0</v>
          </cell>
          <cell r="H160">
            <v>5.3</v>
          </cell>
        </row>
        <row r="161">
          <cell r="A161" t="str">
            <v>KC</v>
          </cell>
          <cell r="C161" t="str">
            <v>Kẹp cọc tiếp địa Cu loại lớn</v>
          </cell>
          <cell r="D161" t="str">
            <v>bộ</v>
          </cell>
          <cell r="E161">
            <v>25000</v>
          </cell>
          <cell r="F161">
            <v>0</v>
          </cell>
          <cell r="G161">
            <v>0</v>
          </cell>
          <cell r="H161">
            <v>0.05</v>
          </cell>
        </row>
        <row r="162">
          <cell r="A162" t="str">
            <v>KT50</v>
          </cell>
          <cell r="C162" t="str">
            <v>Kẹp treo cáp ABC4x50mm2</v>
          </cell>
          <cell r="D162" t="str">
            <v>cái</v>
          </cell>
          <cell r="F162">
            <v>0</v>
          </cell>
          <cell r="G162">
            <v>0</v>
          </cell>
          <cell r="H162">
            <v>0.4</v>
          </cell>
        </row>
        <row r="163">
          <cell r="A163" t="str">
            <v>KT70</v>
          </cell>
          <cell r="C163" t="str">
            <v>Kẹp treo cáp ABC4x70mm2</v>
          </cell>
          <cell r="D163" t="str">
            <v>cái</v>
          </cell>
          <cell r="F163">
            <v>0</v>
          </cell>
          <cell r="G163">
            <v>0</v>
          </cell>
          <cell r="H163">
            <v>0.4</v>
          </cell>
        </row>
        <row r="164">
          <cell r="A164" t="str">
            <v>KT95</v>
          </cell>
          <cell r="C164" t="str">
            <v>Kẹp treo cáp ABC4x95mm2</v>
          </cell>
          <cell r="D164" t="str">
            <v>cái</v>
          </cell>
          <cell r="F164">
            <v>0</v>
          </cell>
          <cell r="G164">
            <v>0</v>
          </cell>
          <cell r="H164">
            <v>0.4</v>
          </cell>
        </row>
        <row r="165">
          <cell r="A165" t="str">
            <v>KT120</v>
          </cell>
          <cell r="C165" t="str">
            <v>Kẹp treo cáp ABC4x120mm2</v>
          </cell>
          <cell r="D165" t="str">
            <v>cái</v>
          </cell>
          <cell r="E165">
            <v>53000</v>
          </cell>
          <cell r="F165">
            <v>0</v>
          </cell>
          <cell r="G165">
            <v>0</v>
          </cell>
          <cell r="H165">
            <v>0.4</v>
          </cell>
        </row>
        <row r="166">
          <cell r="A166" t="str">
            <v>KT150</v>
          </cell>
          <cell r="C166" t="str">
            <v>Kẹp treo cáp ABC4x150mm2</v>
          </cell>
          <cell r="D166" t="str">
            <v>cái</v>
          </cell>
          <cell r="F166">
            <v>0</v>
          </cell>
          <cell r="G166">
            <v>0</v>
          </cell>
          <cell r="H166">
            <v>0.4</v>
          </cell>
        </row>
        <row r="167">
          <cell r="A167" t="str">
            <v>MT-A</v>
          </cell>
          <cell r="C167" t="str">
            <v>Móc treo chữ A</v>
          </cell>
          <cell r="D167" t="str">
            <v>cái</v>
          </cell>
          <cell r="E167">
            <v>39000</v>
          </cell>
          <cell r="F167">
            <v>0</v>
          </cell>
          <cell r="G167">
            <v>0</v>
          </cell>
          <cell r="H167">
            <v>0.5</v>
          </cell>
        </row>
        <row r="168">
          <cell r="A168" t="str">
            <v>KNGUNG50</v>
          </cell>
          <cell r="C168" t="str">
            <v>Kẹp ngừng cáp ABC4x50mm2</v>
          </cell>
          <cell r="D168" t="str">
            <v>cái</v>
          </cell>
          <cell r="G168">
            <v>0</v>
          </cell>
          <cell r="H168">
            <v>0</v>
          </cell>
        </row>
        <row r="169">
          <cell r="A169" t="str">
            <v>KNGUNG70</v>
          </cell>
          <cell r="C169" t="str">
            <v>Kẹp ngừng cáp ABC4x70mm2</v>
          </cell>
          <cell r="D169" t="str">
            <v>cái</v>
          </cell>
          <cell r="G169">
            <v>0</v>
          </cell>
          <cell r="H169">
            <v>0</v>
          </cell>
        </row>
        <row r="170">
          <cell r="A170" t="str">
            <v>KNGUNG95</v>
          </cell>
          <cell r="C170" t="str">
            <v>Kẹp ngừng cáp ABC4x95mm2</v>
          </cell>
          <cell r="D170" t="str">
            <v>cái</v>
          </cell>
          <cell r="G170">
            <v>0</v>
          </cell>
          <cell r="H170">
            <v>0</v>
          </cell>
        </row>
        <row r="171">
          <cell r="A171" t="str">
            <v>KNGUNG120</v>
          </cell>
          <cell r="C171" t="str">
            <v>Kẹp ngừng cáp ABC4x120mm2</v>
          </cell>
          <cell r="D171" t="str">
            <v>cái</v>
          </cell>
          <cell r="E171">
            <v>74000</v>
          </cell>
          <cell r="G171">
            <v>0</v>
          </cell>
          <cell r="H171">
            <v>0</v>
          </cell>
        </row>
        <row r="172">
          <cell r="A172" t="str">
            <v>KNGUNG150</v>
          </cell>
          <cell r="C172" t="str">
            <v>Kẹp ngừng cáp ABC4x150mm2</v>
          </cell>
          <cell r="D172" t="str">
            <v>cái</v>
          </cell>
          <cell r="E172">
            <v>85000</v>
          </cell>
          <cell r="G172">
            <v>0</v>
          </cell>
          <cell r="H172">
            <v>0</v>
          </cell>
        </row>
        <row r="173">
          <cell r="A173" t="str">
            <v>HOP9C</v>
          </cell>
          <cell r="C173" t="str">
            <v>Hộp phân phối 9 cực bắt trực tiếp</v>
          </cell>
          <cell r="D173" t="str">
            <v>cái</v>
          </cell>
          <cell r="E173">
            <v>390000</v>
          </cell>
          <cell r="G173">
            <v>0</v>
          </cell>
          <cell r="H173">
            <v>0.65</v>
          </cell>
        </row>
        <row r="174">
          <cell r="A174" t="str">
            <v>HOP6C</v>
          </cell>
          <cell r="C174" t="str">
            <v>Hộp phân phối 6 cực bắt trực tiếp</v>
          </cell>
          <cell r="D174" t="str">
            <v>cái</v>
          </cell>
          <cell r="E174">
            <v>370000</v>
          </cell>
          <cell r="G174">
            <v>0</v>
          </cell>
          <cell r="H174">
            <v>0.6</v>
          </cell>
        </row>
        <row r="175">
          <cell r="A175" t="str">
            <v>HOPCB</v>
          </cell>
          <cell r="C175" t="str">
            <v>Hộp gắn CB phân đoạn</v>
          </cell>
          <cell r="D175" t="str">
            <v>cái</v>
          </cell>
          <cell r="E175">
            <v>450000</v>
          </cell>
          <cell r="F175">
            <v>0</v>
          </cell>
          <cell r="G175">
            <v>0</v>
          </cell>
          <cell r="H175">
            <v>0.85</v>
          </cell>
        </row>
        <row r="176">
          <cell r="A176" t="str">
            <v>BIT150</v>
          </cell>
          <cell r="C176" t="str">
            <v>Nắp bịt đầu cáp ABC150mm2</v>
          </cell>
          <cell r="D176" t="str">
            <v>cái</v>
          </cell>
          <cell r="F176">
            <v>0</v>
          </cell>
          <cell r="G176">
            <v>0</v>
          </cell>
          <cell r="H176">
            <v>0</v>
          </cell>
        </row>
        <row r="177">
          <cell r="A177" t="str">
            <v>BIT120</v>
          </cell>
          <cell r="C177" t="str">
            <v>Nắp bịt đầu cáp ABC120mm2</v>
          </cell>
          <cell r="D177" t="str">
            <v>cái</v>
          </cell>
          <cell r="F177">
            <v>0</v>
          </cell>
          <cell r="G177">
            <v>0</v>
          </cell>
          <cell r="H177">
            <v>0</v>
          </cell>
        </row>
        <row r="178">
          <cell r="A178" t="str">
            <v>BIT95</v>
          </cell>
          <cell r="C178" t="str">
            <v>Nắp bịt đầu cáp ABC95mm2</v>
          </cell>
          <cell r="D178" t="str">
            <v>cái</v>
          </cell>
          <cell r="F178">
            <v>0</v>
          </cell>
          <cell r="G178">
            <v>0</v>
          </cell>
          <cell r="H178">
            <v>0</v>
          </cell>
        </row>
        <row r="179">
          <cell r="A179" t="str">
            <v>BIT70</v>
          </cell>
          <cell r="C179" t="str">
            <v>Nắp bịt đầu cáp ABC70mm2</v>
          </cell>
          <cell r="D179" t="str">
            <v>cái</v>
          </cell>
          <cell r="F179">
            <v>0</v>
          </cell>
          <cell r="G179">
            <v>0</v>
          </cell>
          <cell r="H179">
            <v>0</v>
          </cell>
        </row>
        <row r="180">
          <cell r="A180" t="str">
            <v>BIT50</v>
          </cell>
          <cell r="C180" t="str">
            <v>Nắp bịt đầu cáp ABC50mm2</v>
          </cell>
          <cell r="D180" t="str">
            <v>cái</v>
          </cell>
          <cell r="F180">
            <v>0</v>
          </cell>
          <cell r="G180">
            <v>0</v>
          </cell>
          <cell r="H180">
            <v>0</v>
          </cell>
        </row>
        <row r="181">
          <cell r="A181" t="str">
            <v>KE25</v>
          </cell>
          <cell r="C181" t="str">
            <v>Kẹp ép WR cỡ dây 25mm2</v>
          </cell>
          <cell r="D181" t="str">
            <v>cái</v>
          </cell>
          <cell r="F181">
            <v>0</v>
          </cell>
          <cell r="G181">
            <v>0</v>
          </cell>
          <cell r="H181">
            <v>0.2</v>
          </cell>
        </row>
        <row r="182">
          <cell r="A182" t="str">
            <v>KE35</v>
          </cell>
          <cell r="C182" t="str">
            <v>Kẹp ép WR cỡ dây 35mm2</v>
          </cell>
          <cell r="D182" t="str">
            <v>cái</v>
          </cell>
          <cell r="F182">
            <v>0</v>
          </cell>
          <cell r="G182">
            <v>0</v>
          </cell>
          <cell r="H182">
            <v>0.2</v>
          </cell>
        </row>
        <row r="183">
          <cell r="A183" t="str">
            <v>KE50</v>
          </cell>
          <cell r="C183" t="str">
            <v>Kẹp ép WR cỡ dây 50mm2</v>
          </cell>
          <cell r="D183" t="str">
            <v>cái</v>
          </cell>
          <cell r="E183">
            <v>8500</v>
          </cell>
          <cell r="F183">
            <v>0</v>
          </cell>
          <cell r="G183">
            <v>0</v>
          </cell>
          <cell r="H183">
            <v>0.2</v>
          </cell>
        </row>
        <row r="184">
          <cell r="A184" t="str">
            <v>KE70</v>
          </cell>
          <cell r="C184" t="str">
            <v>Kẹp ép WR cỡ dây 70mm2</v>
          </cell>
          <cell r="D184" t="str">
            <v>cái</v>
          </cell>
          <cell r="E184">
            <v>10500</v>
          </cell>
          <cell r="F184">
            <v>0</v>
          </cell>
          <cell r="G184">
            <v>0</v>
          </cell>
          <cell r="H184">
            <v>0.2</v>
          </cell>
        </row>
        <row r="185">
          <cell r="A185" t="str">
            <v>KE95</v>
          </cell>
          <cell r="C185" t="str">
            <v>Kẹp ép WR cỡ dây 95mm2</v>
          </cell>
          <cell r="D185" t="str">
            <v>cái</v>
          </cell>
          <cell r="E185">
            <v>14700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KE120</v>
          </cell>
          <cell r="C186" t="str">
            <v>Kẹp ép WR cỡ dây 120mm2</v>
          </cell>
          <cell r="D186" t="str">
            <v>cái</v>
          </cell>
          <cell r="E186">
            <v>18900</v>
          </cell>
          <cell r="F186">
            <v>0</v>
          </cell>
          <cell r="G186">
            <v>0</v>
          </cell>
          <cell r="H186">
            <v>0.2</v>
          </cell>
        </row>
        <row r="187">
          <cell r="A187" t="str">
            <v>KE150</v>
          </cell>
          <cell r="C187" t="str">
            <v>Kẹp ép WR cỡ dây 150mm2</v>
          </cell>
          <cell r="D187" t="str">
            <v>cái</v>
          </cell>
          <cell r="F187">
            <v>0</v>
          </cell>
          <cell r="G187">
            <v>0</v>
          </cell>
          <cell r="H187">
            <v>0.2</v>
          </cell>
        </row>
        <row r="188">
          <cell r="A188" t="str">
            <v>KE185</v>
          </cell>
          <cell r="C188" t="str">
            <v>Kẹp ép WR cỡ dây 185mm2</v>
          </cell>
          <cell r="D188" t="str">
            <v>cái</v>
          </cell>
          <cell r="F188">
            <v>0</v>
          </cell>
          <cell r="G188">
            <v>0</v>
          </cell>
          <cell r="H188">
            <v>0.2</v>
          </cell>
        </row>
        <row r="189">
          <cell r="A189" t="str">
            <v>KE240</v>
          </cell>
          <cell r="C189" t="str">
            <v>Kẹp ép WR cỡ dây 240mm2</v>
          </cell>
          <cell r="D189" t="str">
            <v>cái</v>
          </cell>
          <cell r="F189">
            <v>0</v>
          </cell>
          <cell r="G189">
            <v>0</v>
          </cell>
          <cell r="H189">
            <v>0.2</v>
          </cell>
        </row>
        <row r="190">
          <cell r="A190" t="str">
            <v>KQ2</v>
          </cell>
          <cell r="C190" t="str">
            <v>Kẹp quai 2/0 (quai đồng 8mm)</v>
          </cell>
          <cell r="D190" t="str">
            <v>cái</v>
          </cell>
          <cell r="E190">
            <v>47000</v>
          </cell>
          <cell r="G190">
            <v>0</v>
          </cell>
          <cell r="H190">
            <v>0.3</v>
          </cell>
        </row>
        <row r="191">
          <cell r="A191" t="str">
            <v>KQ4</v>
          </cell>
          <cell r="C191" t="str">
            <v>Kẹp quai 4/0 (quai đồng 8mm)</v>
          </cell>
          <cell r="D191" t="str">
            <v>cái</v>
          </cell>
          <cell r="E191">
            <v>63000</v>
          </cell>
          <cell r="G191">
            <v>0</v>
          </cell>
          <cell r="H191">
            <v>0.3</v>
          </cell>
        </row>
        <row r="192">
          <cell r="A192" t="str">
            <v>CKQ</v>
          </cell>
          <cell r="C192" t="str">
            <v>Chụp cách điện kẹp quai</v>
          </cell>
          <cell r="D192" t="str">
            <v>cái</v>
          </cell>
          <cell r="E192">
            <v>122000</v>
          </cell>
          <cell r="F192">
            <v>0</v>
          </cell>
          <cell r="G192">
            <v>0</v>
          </cell>
          <cell r="H192">
            <v>0.2</v>
          </cell>
        </row>
        <row r="193">
          <cell r="A193" t="str">
            <v>HL2</v>
          </cell>
          <cell r="C193" t="str">
            <v>Kẹp hotline 2/0</v>
          </cell>
          <cell r="D193" t="str">
            <v>cái</v>
          </cell>
          <cell r="E193">
            <v>68000</v>
          </cell>
          <cell r="G193">
            <v>0</v>
          </cell>
          <cell r="H193">
            <v>0.1</v>
          </cell>
        </row>
        <row r="194">
          <cell r="A194" t="str">
            <v>HL4</v>
          </cell>
          <cell r="C194" t="str">
            <v>Kẹp hotline 4/0</v>
          </cell>
          <cell r="D194" t="str">
            <v>cái</v>
          </cell>
          <cell r="E194">
            <v>94500</v>
          </cell>
          <cell r="G194">
            <v>0</v>
          </cell>
          <cell r="H194">
            <v>0.1</v>
          </cell>
        </row>
        <row r="195">
          <cell r="A195" t="str">
            <v>KN50</v>
          </cell>
          <cell r="C195" t="str">
            <v>Khóa néo dây cỡ dây 50 (kẹp dừng dây 3U-3mm)</v>
          </cell>
          <cell r="D195" t="str">
            <v>cái</v>
          </cell>
          <cell r="E195">
            <v>58000</v>
          </cell>
          <cell r="F195">
            <v>0</v>
          </cell>
          <cell r="G195">
            <v>0</v>
          </cell>
          <cell r="H195">
            <v>0.5</v>
          </cell>
        </row>
        <row r="196">
          <cell r="A196" t="str">
            <v>KN70</v>
          </cell>
          <cell r="C196" t="str">
            <v>Khóa néo dây cỡ dây 70 (kẹp dừng dây 3U-3mm)</v>
          </cell>
          <cell r="D196" t="str">
            <v>cái</v>
          </cell>
          <cell r="E196">
            <v>58000</v>
          </cell>
          <cell r="F196">
            <v>0</v>
          </cell>
          <cell r="G196">
            <v>0</v>
          </cell>
          <cell r="H196">
            <v>0.5</v>
          </cell>
        </row>
        <row r="197">
          <cell r="A197" t="str">
            <v>KN95</v>
          </cell>
          <cell r="C197" t="str">
            <v>Khóa néo dây cỡ dây 95 (kẹp dừng dây 5U-4mm)</v>
          </cell>
          <cell r="D197" t="str">
            <v>cái</v>
          </cell>
          <cell r="E197">
            <v>126000</v>
          </cell>
          <cell r="F197">
            <v>0</v>
          </cell>
          <cell r="G197">
            <v>0</v>
          </cell>
          <cell r="H197">
            <v>0.5</v>
          </cell>
        </row>
        <row r="198">
          <cell r="A198" t="str">
            <v>KN120</v>
          </cell>
          <cell r="C198" t="str">
            <v>Khóa néo dây cỡ dây 120 (kẹp dừng dây 5U-4mm)</v>
          </cell>
          <cell r="D198" t="str">
            <v>cái</v>
          </cell>
          <cell r="E198">
            <v>126000</v>
          </cell>
          <cell r="F198">
            <v>0</v>
          </cell>
          <cell r="G198">
            <v>0</v>
          </cell>
          <cell r="H198">
            <v>0.5</v>
          </cell>
        </row>
        <row r="199">
          <cell r="A199" t="str">
            <v>KN150</v>
          </cell>
          <cell r="C199" t="str">
            <v>Khóa néo dây cỡ dây 150 (kẹp dừng dây 5U-4mm)</v>
          </cell>
          <cell r="D199" t="str">
            <v>cái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KN185</v>
          </cell>
          <cell r="C200" t="str">
            <v>Khóa néo dây cỡ dây 185 (kẹp dừng dây 5U-4mm)</v>
          </cell>
          <cell r="D200" t="str">
            <v>cái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KN240</v>
          </cell>
          <cell r="C201" t="str">
            <v>Khóa néo dây cỡ dây 240 (kẹp dừng dây 5U-4mm)</v>
          </cell>
          <cell r="D201" t="str">
            <v>cái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GNIU240</v>
          </cell>
          <cell r="C202" t="str">
            <v>Giáp níu dừng dây bọc 240 + Yếm móng U + Mắt nối yếm</v>
          </cell>
          <cell r="D202" t="str">
            <v>bộ</v>
          </cell>
          <cell r="F202">
            <v>0</v>
          </cell>
          <cell r="G202">
            <v>0</v>
          </cell>
          <cell r="H202">
            <v>0.5</v>
          </cell>
        </row>
        <row r="203">
          <cell r="A203" t="str">
            <v>GNIU185</v>
          </cell>
          <cell r="C203" t="str">
            <v>Giáp níu dừng dây bọc 185 + Yếm móng U + Mắt nối yếm</v>
          </cell>
          <cell r="D203" t="str">
            <v>bộ</v>
          </cell>
          <cell r="F203">
            <v>0</v>
          </cell>
          <cell r="G203">
            <v>0</v>
          </cell>
          <cell r="H203">
            <v>0.5</v>
          </cell>
        </row>
        <row r="204">
          <cell r="A204" t="str">
            <v>GNIU150</v>
          </cell>
          <cell r="C204" t="str">
            <v>Giáp níu dừng dây bọc 150 + Yếm móng U + Mắt nối yếm</v>
          </cell>
          <cell r="D204" t="str">
            <v>bộ</v>
          </cell>
          <cell r="E204">
            <v>449000</v>
          </cell>
          <cell r="F204">
            <v>0</v>
          </cell>
          <cell r="G204">
            <v>0</v>
          </cell>
          <cell r="H204">
            <v>0.5</v>
          </cell>
        </row>
        <row r="205">
          <cell r="A205" t="str">
            <v>GNIU120</v>
          </cell>
          <cell r="C205" t="str">
            <v>Giáp níu dừng dây bọc 120 + Yếm móng U + Mắt nối yếm</v>
          </cell>
          <cell r="D205" t="str">
            <v>bộ</v>
          </cell>
          <cell r="E205">
            <v>449000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GNIU95</v>
          </cell>
          <cell r="C206" t="str">
            <v>Giáp níu dừng dây bọc 95 + Yếm móng U + Mắt nối yếm</v>
          </cell>
          <cell r="D206" t="str">
            <v>bộ</v>
          </cell>
          <cell r="E206">
            <v>394000</v>
          </cell>
          <cell r="F206">
            <v>0</v>
          </cell>
          <cell r="G206">
            <v>0</v>
          </cell>
          <cell r="H206">
            <v>0.5</v>
          </cell>
        </row>
        <row r="207">
          <cell r="A207" t="str">
            <v>GNIU70</v>
          </cell>
          <cell r="C207" t="str">
            <v>Giáp níu dừng dây bọc 70 + Yếm móng U + Mắt nối yếm</v>
          </cell>
          <cell r="D207" t="str">
            <v>bộ</v>
          </cell>
          <cell r="E207">
            <v>374000</v>
          </cell>
          <cell r="F207">
            <v>0</v>
          </cell>
          <cell r="G207">
            <v>0</v>
          </cell>
          <cell r="H207">
            <v>0.5</v>
          </cell>
        </row>
        <row r="208">
          <cell r="A208" t="str">
            <v>GNIU50</v>
          </cell>
          <cell r="C208" t="str">
            <v>Giáp níu dừng dây bọc 50 + Yếm móng U + Mắt nối yếm</v>
          </cell>
          <cell r="D208" t="str">
            <v>bộ</v>
          </cell>
          <cell r="E208">
            <v>374000</v>
          </cell>
          <cell r="F208">
            <v>0</v>
          </cell>
          <cell r="G208">
            <v>0</v>
          </cell>
          <cell r="H208">
            <v>0.5</v>
          </cell>
        </row>
        <row r="209">
          <cell r="A209" t="str">
            <v>YGNIU50</v>
          </cell>
          <cell r="C209" t="str">
            <v>Yếm móng U giáp níu 50</v>
          </cell>
          <cell r="D209" t="str">
            <v>cái</v>
          </cell>
          <cell r="F209">
            <v>0</v>
          </cell>
          <cell r="G209">
            <v>0</v>
          </cell>
          <cell r="H209">
            <v>0.1</v>
          </cell>
        </row>
        <row r="210">
          <cell r="A210" t="str">
            <v>YGNIU150</v>
          </cell>
          <cell r="C210" t="str">
            <v>Yếm móng U giáp níu 150</v>
          </cell>
          <cell r="D210" t="str">
            <v>cái</v>
          </cell>
          <cell r="F210">
            <v>0</v>
          </cell>
          <cell r="G210">
            <v>0</v>
          </cell>
          <cell r="H210">
            <v>0.1</v>
          </cell>
        </row>
        <row r="211">
          <cell r="A211" t="str">
            <v>MANG</v>
          </cell>
          <cell r="C211" t="str">
            <v>Máng che dây chằng dày 0,8x2000mm</v>
          </cell>
          <cell r="D211" t="str">
            <v>cái</v>
          </cell>
          <cell r="E211">
            <v>120000</v>
          </cell>
          <cell r="F211">
            <v>0</v>
          </cell>
          <cell r="G211">
            <v>0</v>
          </cell>
          <cell r="H211">
            <v>0.4</v>
          </cell>
        </row>
        <row r="212">
          <cell r="A212" t="str">
            <v>MANGH</v>
          </cell>
          <cell r="C212" t="str">
            <v>Máng che dây chằng dày 0,4x2000mm</v>
          </cell>
          <cell r="D212" t="str">
            <v>cái</v>
          </cell>
          <cell r="E212">
            <v>53000</v>
          </cell>
          <cell r="F212">
            <v>0</v>
          </cell>
          <cell r="G212">
            <v>0</v>
          </cell>
          <cell r="H212">
            <v>0.4</v>
          </cell>
        </row>
        <row r="213">
          <cell r="A213" t="str">
            <v>MT</v>
          </cell>
          <cell r="C213" t="str">
            <v xml:space="preserve">Móc treo chữ U </v>
          </cell>
          <cell r="D213" t="str">
            <v>cái</v>
          </cell>
          <cell r="E213">
            <v>25000</v>
          </cell>
          <cell r="F213">
            <v>0</v>
          </cell>
          <cell r="G213">
            <v>0</v>
          </cell>
          <cell r="H213">
            <v>0.5</v>
          </cell>
        </row>
        <row r="214">
          <cell r="A214" t="str">
            <v>MT-D</v>
          </cell>
          <cell r="C214" t="str">
            <v>Móc treo chữ U D16-100</v>
          </cell>
          <cell r="D214" t="str">
            <v>cái</v>
          </cell>
          <cell r="E214">
            <v>28000</v>
          </cell>
          <cell r="F214">
            <v>0</v>
          </cell>
          <cell r="G214">
            <v>0</v>
          </cell>
          <cell r="H214">
            <v>0.3</v>
          </cell>
        </row>
        <row r="215">
          <cell r="A215" t="str">
            <v>ONABC70</v>
          </cell>
          <cell r="C215" t="str">
            <v>Ống nối dây LV-ABC cỡ 70mm2</v>
          </cell>
          <cell r="D215" t="str">
            <v>cái</v>
          </cell>
          <cell r="F215">
            <v>0</v>
          </cell>
          <cell r="G215">
            <v>0</v>
          </cell>
          <cell r="H215">
            <v>0.3</v>
          </cell>
        </row>
        <row r="216">
          <cell r="A216" t="str">
            <v>ONABC95</v>
          </cell>
          <cell r="C216" t="str">
            <v>Ống nối dây LV-ABC cỡ 95mm2</v>
          </cell>
          <cell r="D216" t="str">
            <v>cái</v>
          </cell>
          <cell r="F216">
            <v>0</v>
          </cell>
          <cell r="G216">
            <v>0</v>
          </cell>
          <cell r="H216">
            <v>0</v>
          </cell>
        </row>
        <row r="217">
          <cell r="A217" t="str">
            <v>ONABC120</v>
          </cell>
          <cell r="C217" t="str">
            <v>Ống nối MJPB 120 (LV-ABC cỡ 120mm2)</v>
          </cell>
          <cell r="D217" t="str">
            <v>cái</v>
          </cell>
          <cell r="E217">
            <v>113000</v>
          </cell>
          <cell r="F217">
            <v>0</v>
          </cell>
          <cell r="G217">
            <v>0</v>
          </cell>
          <cell r="H217">
            <v>0</v>
          </cell>
        </row>
        <row r="218">
          <cell r="A218" t="str">
            <v>ONABC150</v>
          </cell>
          <cell r="C218" t="str">
            <v>Ống nối dây LV-ABC cỡ 150mm2</v>
          </cell>
          <cell r="D218" t="str">
            <v>cái</v>
          </cell>
          <cell r="F218">
            <v>0</v>
          </cell>
          <cell r="G218">
            <v>0</v>
          </cell>
          <cell r="H218">
            <v>0</v>
          </cell>
        </row>
        <row r="219">
          <cell r="A219" t="str">
            <v>ON50</v>
          </cell>
          <cell r="C219" t="str">
            <v>Ống nối dây AC cỡ 50mm2 (Không lõi thép)</v>
          </cell>
          <cell r="D219" t="str">
            <v>cái</v>
          </cell>
          <cell r="E219">
            <v>32000</v>
          </cell>
          <cell r="H219">
            <v>2</v>
          </cell>
        </row>
        <row r="220">
          <cell r="A220" t="str">
            <v>ON70</v>
          </cell>
          <cell r="C220" t="str">
            <v>Ống nối dây AC cỡ 70mm2 (Không lõi thép)</v>
          </cell>
          <cell r="D220" t="str">
            <v>cái</v>
          </cell>
          <cell r="E220">
            <v>40000</v>
          </cell>
          <cell r="H220">
            <v>2</v>
          </cell>
        </row>
        <row r="221">
          <cell r="A221" t="str">
            <v>ON95</v>
          </cell>
          <cell r="C221" t="str">
            <v>Ống nối dây AC cỡ 95mm2 (Không lõi thép)</v>
          </cell>
          <cell r="D221" t="str">
            <v>cái</v>
          </cell>
          <cell r="E221">
            <v>47500</v>
          </cell>
          <cell r="H221">
            <v>2.5</v>
          </cell>
        </row>
        <row r="222">
          <cell r="A222" t="str">
            <v>ON120</v>
          </cell>
          <cell r="C222" t="str">
            <v>Ống nối dây AC cỡ 120mm2 (Không lõi thép)</v>
          </cell>
          <cell r="D222" t="str">
            <v>cái</v>
          </cell>
          <cell r="E222">
            <v>65500</v>
          </cell>
          <cell r="H222">
            <v>2</v>
          </cell>
        </row>
        <row r="223">
          <cell r="A223" t="str">
            <v>ON150</v>
          </cell>
          <cell r="C223" t="str">
            <v>Ống nối dây AC cỡ 150mm2 (Không lõi thép)</v>
          </cell>
          <cell r="D223" t="str">
            <v>cái</v>
          </cell>
          <cell r="E223">
            <v>89500</v>
          </cell>
          <cell r="H223">
            <v>2</v>
          </cell>
        </row>
        <row r="224">
          <cell r="A224" t="str">
            <v>ON185</v>
          </cell>
          <cell r="C224" t="str">
            <v>Ống nối dây AC cỡ 185mm2 (Không lõi thép)</v>
          </cell>
          <cell r="D224" t="str">
            <v>cái</v>
          </cell>
          <cell r="H224">
            <v>2.5</v>
          </cell>
        </row>
        <row r="225">
          <cell r="A225" t="str">
            <v>ON240</v>
          </cell>
          <cell r="C225" t="str">
            <v>Ống nối dây AC cỡ 240mm2 (Không lõi thép)</v>
          </cell>
          <cell r="D225" t="str">
            <v>cái</v>
          </cell>
          <cell r="H225">
            <v>2.5</v>
          </cell>
        </row>
        <row r="226">
          <cell r="A226" t="str">
            <v>OBCD</v>
          </cell>
          <cell r="C226" t="str">
            <v>Ống bọc cách điện D30</v>
          </cell>
          <cell r="D226" t="str">
            <v>mét</v>
          </cell>
          <cell r="E226">
            <v>95000</v>
          </cell>
          <cell r="F226">
            <v>0</v>
          </cell>
          <cell r="G226">
            <v>0</v>
          </cell>
          <cell r="H226">
            <v>0</v>
          </cell>
        </row>
        <row r="227">
          <cell r="A227" t="str">
            <v>R1</v>
          </cell>
          <cell r="C227" t="str">
            <v>Uclevis - 3mm (loại gân) 32</v>
          </cell>
          <cell r="D227" t="str">
            <v>cái</v>
          </cell>
          <cell r="E227">
            <v>18000</v>
          </cell>
          <cell r="F227">
            <v>0</v>
          </cell>
          <cell r="G227">
            <v>0</v>
          </cell>
          <cell r="H227">
            <v>2.5</v>
          </cell>
        </row>
        <row r="228">
          <cell r="A228" t="str">
            <v>R2</v>
          </cell>
          <cell r="C228" t="str">
            <v>Rack 2 sứ</v>
          </cell>
          <cell r="D228" t="str">
            <v>cái</v>
          </cell>
          <cell r="F228">
            <v>0</v>
          </cell>
          <cell r="G228">
            <v>0</v>
          </cell>
          <cell r="H228">
            <v>3</v>
          </cell>
        </row>
        <row r="229">
          <cell r="A229" t="str">
            <v>R3</v>
          </cell>
          <cell r="C229" t="str">
            <v>Rack 3 sứ</v>
          </cell>
          <cell r="D229" t="str">
            <v>cái</v>
          </cell>
          <cell r="F229">
            <v>0</v>
          </cell>
          <cell r="G229">
            <v>0</v>
          </cell>
          <cell r="H229">
            <v>3.5</v>
          </cell>
        </row>
        <row r="230">
          <cell r="A230" t="str">
            <v>R4</v>
          </cell>
          <cell r="C230" t="str">
            <v>Rack 4 sứ</v>
          </cell>
          <cell r="D230" t="str">
            <v>cái</v>
          </cell>
          <cell r="F230">
            <v>0</v>
          </cell>
          <cell r="G230">
            <v>0</v>
          </cell>
          <cell r="H230">
            <v>3.5</v>
          </cell>
        </row>
        <row r="231">
          <cell r="A231" t="str">
            <v>SD</v>
          </cell>
          <cell r="B231" t="str">
            <v>D3.1115</v>
          </cell>
          <cell r="C231" t="str">
            <v>Sứ đứng 24KV, đường rò 540mm (bọc chì)</v>
          </cell>
          <cell r="D231" t="str">
            <v>cái</v>
          </cell>
          <cell r="E231">
            <v>185000</v>
          </cell>
          <cell r="F231">
            <v>49616</v>
          </cell>
          <cell r="G231">
            <v>0</v>
          </cell>
          <cell r="H231">
            <v>4</v>
          </cell>
        </row>
        <row r="232">
          <cell r="A232" t="str">
            <v>SCN</v>
          </cell>
          <cell r="C232" t="str">
            <v>Sứ chằng nhỏ</v>
          </cell>
          <cell r="D232" t="str">
            <v>cái</v>
          </cell>
          <cell r="E232">
            <v>42000</v>
          </cell>
          <cell r="F232">
            <v>0</v>
          </cell>
          <cell r="G232">
            <v>0</v>
          </cell>
          <cell r="H232">
            <v>0.7</v>
          </cell>
        </row>
        <row r="233">
          <cell r="A233" t="str">
            <v>SCL</v>
          </cell>
          <cell r="C233" t="str">
            <v>Sứ chằng lớn</v>
          </cell>
          <cell r="D233" t="str">
            <v>cái</v>
          </cell>
          <cell r="E233">
            <v>70000</v>
          </cell>
          <cell r="F233">
            <v>0</v>
          </cell>
          <cell r="G233">
            <v>0</v>
          </cell>
          <cell r="H233">
            <v>1.5</v>
          </cell>
        </row>
        <row r="234">
          <cell r="A234" t="str">
            <v>SOC</v>
          </cell>
          <cell r="C234" t="str">
            <v xml:space="preserve">Sứ ống chỉ </v>
          </cell>
          <cell r="D234" t="str">
            <v>cái</v>
          </cell>
          <cell r="E234">
            <v>16000</v>
          </cell>
          <cell r="G234">
            <v>0</v>
          </cell>
          <cell r="H234">
            <v>0.2</v>
          </cell>
        </row>
        <row r="235">
          <cell r="A235" t="str">
            <v>STply</v>
          </cell>
          <cell r="B235" t="str">
            <v>D3.2411</v>
          </cell>
          <cell r="C235" t="str">
            <v>Sứ treo polymer</v>
          </cell>
          <cell r="D235" t="str">
            <v>chuỗi</v>
          </cell>
          <cell r="E235">
            <v>210000</v>
          </cell>
          <cell r="F235">
            <v>59709</v>
          </cell>
          <cell r="G235">
            <v>0</v>
          </cell>
          <cell r="H235">
            <v>0.3</v>
          </cell>
        </row>
        <row r="236">
          <cell r="A236" t="str">
            <v>D800</v>
          </cell>
          <cell r="C236" t="str">
            <v>Đà sắt L75x75x8-800 - 1 ốp</v>
          </cell>
          <cell r="D236" t="str">
            <v>cái</v>
          </cell>
          <cell r="E236">
            <v>217000</v>
          </cell>
          <cell r="F236">
            <v>0</v>
          </cell>
          <cell r="G236">
            <v>0</v>
          </cell>
          <cell r="H236">
            <v>12.3</v>
          </cell>
        </row>
        <row r="237">
          <cell r="A237" t="str">
            <v>D1660</v>
          </cell>
          <cell r="C237" t="str">
            <v>Đà sắt L75x75x8-1660 - 2 ốp</v>
          </cell>
          <cell r="D237" t="str">
            <v>cái</v>
          </cell>
          <cell r="E237">
            <v>334000</v>
          </cell>
          <cell r="F237">
            <v>0</v>
          </cell>
          <cell r="G237">
            <v>0</v>
          </cell>
          <cell r="H237">
            <v>23</v>
          </cell>
        </row>
        <row r="238">
          <cell r="A238" t="str">
            <v>D2000</v>
          </cell>
          <cell r="C238" t="str">
            <v>Đà sắt L75x75x8-2000 - 3 ốp (Lệch 2/3)</v>
          </cell>
          <cell r="D238" t="str">
            <v>cái</v>
          </cell>
          <cell r="E238">
            <v>412000</v>
          </cell>
          <cell r="F238">
            <v>0</v>
          </cell>
          <cell r="G238">
            <v>0</v>
          </cell>
          <cell r="H238">
            <v>25</v>
          </cell>
        </row>
        <row r="239">
          <cell r="A239" t="str">
            <v>D2100</v>
          </cell>
          <cell r="C239" t="str">
            <v>Đà sắt L75x75x8-2100 - 3 ốp (Lệch 100%)</v>
          </cell>
          <cell r="D239" t="str">
            <v>cái</v>
          </cell>
          <cell r="E239">
            <v>431000</v>
          </cell>
          <cell r="F239">
            <v>0</v>
          </cell>
          <cell r="G239">
            <v>0</v>
          </cell>
          <cell r="H239">
            <v>25</v>
          </cell>
        </row>
        <row r="240">
          <cell r="A240" t="str">
            <v>D2200</v>
          </cell>
          <cell r="C240" t="str">
            <v>Đà sắt L75x75x8-2200 - 4 ốp</v>
          </cell>
          <cell r="D240" t="str">
            <v>cái</v>
          </cell>
          <cell r="E240">
            <v>463000</v>
          </cell>
          <cell r="F240">
            <v>0</v>
          </cell>
          <cell r="G240">
            <v>0</v>
          </cell>
          <cell r="H240">
            <v>26</v>
          </cell>
        </row>
        <row r="241">
          <cell r="A241" t="str">
            <v>D2600</v>
          </cell>
          <cell r="C241" t="str">
            <v>Đà sắt L75x75x8-2600 - 3 ốp</v>
          </cell>
          <cell r="D241" t="str">
            <v>cái</v>
          </cell>
          <cell r="E241">
            <v>521000</v>
          </cell>
          <cell r="F241">
            <v>0</v>
          </cell>
          <cell r="G241">
            <v>0</v>
          </cell>
          <cell r="H241">
            <v>26</v>
          </cell>
        </row>
        <row r="242">
          <cell r="A242" t="str">
            <v>D2600-T</v>
          </cell>
          <cell r="C242" t="str">
            <v>Đà sắt L75x75x8-2600 - 0 ốp</v>
          </cell>
          <cell r="D242" t="str">
            <v>cái</v>
          </cell>
          <cell r="E242">
            <v>475000</v>
          </cell>
          <cell r="F242">
            <v>0</v>
          </cell>
          <cell r="G242">
            <v>0</v>
          </cell>
          <cell r="H242">
            <v>26</v>
          </cell>
        </row>
        <row r="243">
          <cell r="A243" t="str">
            <v>U160-2200</v>
          </cell>
          <cell r="C243" t="str">
            <v>Đà U160x68x5x2200 - (13kg/m)</v>
          </cell>
          <cell r="D243" t="str">
            <v>cái</v>
          </cell>
          <cell r="E243">
            <v>728000</v>
          </cell>
          <cell r="F243">
            <v>0</v>
          </cell>
          <cell r="G243">
            <v>0</v>
          </cell>
          <cell r="H243">
            <v>33</v>
          </cell>
        </row>
        <row r="244">
          <cell r="A244" t="str">
            <v>C700</v>
          </cell>
          <cell r="C244" t="str">
            <v>Thanh chống L50x50x5-700</v>
          </cell>
          <cell r="D244" t="str">
            <v>cái</v>
          </cell>
          <cell r="E244">
            <v>78033</v>
          </cell>
          <cell r="F244">
            <v>0</v>
          </cell>
          <cell r="G244">
            <v>0</v>
          </cell>
          <cell r="H244">
            <v>3</v>
          </cell>
        </row>
        <row r="245">
          <cell r="A245" t="str">
            <v>C810</v>
          </cell>
          <cell r="C245" t="str">
            <v>Thanh chống L50x50x5-810</v>
          </cell>
          <cell r="D245" t="str">
            <v>cái</v>
          </cell>
          <cell r="E245">
            <v>70000</v>
          </cell>
          <cell r="F245">
            <v>0</v>
          </cell>
          <cell r="G245">
            <v>0</v>
          </cell>
          <cell r="H245">
            <v>3.5</v>
          </cell>
        </row>
        <row r="246">
          <cell r="A246" t="str">
            <v>C1150</v>
          </cell>
          <cell r="C246" t="str">
            <v>Thanh chống L50x50x5-1150</v>
          </cell>
          <cell r="D246" t="str">
            <v>cái</v>
          </cell>
          <cell r="E246">
            <v>97000</v>
          </cell>
          <cell r="F246">
            <v>0</v>
          </cell>
          <cell r="G246">
            <v>0</v>
          </cell>
          <cell r="H246">
            <v>5.5</v>
          </cell>
        </row>
        <row r="247">
          <cell r="A247" t="str">
            <v>C1990</v>
          </cell>
          <cell r="C247" t="str">
            <v>Thanh chống L50x50x5-1990</v>
          </cell>
          <cell r="D247" t="str">
            <v>cái</v>
          </cell>
          <cell r="E247">
            <v>180000</v>
          </cell>
          <cell r="F247">
            <v>0</v>
          </cell>
          <cell r="G247">
            <v>0</v>
          </cell>
          <cell r="H247">
            <v>7.5</v>
          </cell>
        </row>
        <row r="248">
          <cell r="A248" t="str">
            <v>KU70</v>
          </cell>
          <cell r="C248" t="str">
            <v>Kẹp Ubolt cỡ dây 70</v>
          </cell>
          <cell r="D248" t="str">
            <v>cái</v>
          </cell>
          <cell r="F248">
            <v>0</v>
          </cell>
          <cell r="G248">
            <v>0</v>
          </cell>
          <cell r="H248">
            <v>0.7</v>
          </cell>
        </row>
        <row r="249">
          <cell r="A249" t="str">
            <v>KU95</v>
          </cell>
          <cell r="C249" t="str">
            <v>Kẹp Ubolt cỡ dây 95</v>
          </cell>
          <cell r="D249" t="str">
            <v>cái</v>
          </cell>
          <cell r="F249">
            <v>0</v>
          </cell>
          <cell r="G249">
            <v>0</v>
          </cell>
          <cell r="H249">
            <v>1.5</v>
          </cell>
        </row>
        <row r="250">
          <cell r="A250" t="str">
            <v>SO6</v>
          </cell>
          <cell r="C250" t="str">
            <v>Sắt   φ6</v>
          </cell>
          <cell r="D250" t="str">
            <v>kg</v>
          </cell>
          <cell r="F250">
            <v>0</v>
          </cell>
          <cell r="G250">
            <v>0</v>
          </cell>
          <cell r="H250">
            <v>1</v>
          </cell>
        </row>
        <row r="251">
          <cell r="A251" t="str">
            <v>SO8</v>
          </cell>
          <cell r="C251" t="str">
            <v>Sắt   φ8</v>
          </cell>
          <cell r="D251" t="str">
            <v>kg</v>
          </cell>
          <cell r="F251">
            <v>0</v>
          </cell>
          <cell r="G251">
            <v>0</v>
          </cell>
          <cell r="H251">
            <v>1</v>
          </cell>
        </row>
        <row r="252">
          <cell r="A252" t="str">
            <v>SO10</v>
          </cell>
          <cell r="C252" t="str">
            <v>Sắt   φ10</v>
          </cell>
          <cell r="D252" t="str">
            <v>kg</v>
          </cell>
          <cell r="F252">
            <v>0</v>
          </cell>
          <cell r="G252">
            <v>0</v>
          </cell>
          <cell r="H252">
            <v>1</v>
          </cell>
        </row>
        <row r="253">
          <cell r="A253" t="str">
            <v>SO12</v>
          </cell>
          <cell r="C253" t="str">
            <v>Sắt   φ12</v>
          </cell>
          <cell r="D253" t="str">
            <v>kg</v>
          </cell>
          <cell r="F253">
            <v>0</v>
          </cell>
          <cell r="G253">
            <v>0</v>
          </cell>
          <cell r="H253">
            <v>1</v>
          </cell>
        </row>
        <row r="254">
          <cell r="A254" t="str">
            <v>SO16</v>
          </cell>
          <cell r="C254" t="str">
            <v>Sắt   φ16</v>
          </cell>
          <cell r="D254" t="str">
            <v>kg</v>
          </cell>
          <cell r="F254">
            <v>0</v>
          </cell>
          <cell r="G254">
            <v>0</v>
          </cell>
          <cell r="H254">
            <v>1</v>
          </cell>
        </row>
        <row r="255">
          <cell r="A255" t="str">
            <v>SO24</v>
          </cell>
          <cell r="C255" t="str">
            <v>Sắt   φ24</v>
          </cell>
          <cell r="D255" t="str">
            <v>kg</v>
          </cell>
          <cell r="F255">
            <v>0</v>
          </cell>
          <cell r="G255">
            <v>0</v>
          </cell>
          <cell r="H255">
            <v>1</v>
          </cell>
        </row>
        <row r="256">
          <cell r="A256" t="str">
            <v>CL</v>
          </cell>
          <cell r="C256" t="str">
            <v>Bộ chống chằng hẹp φ60/50x1500+2BL12x40+BL16x250/80</v>
          </cell>
          <cell r="D256" t="str">
            <v>bộ</v>
          </cell>
          <cell r="E256">
            <v>340000</v>
          </cell>
          <cell r="G256">
            <v>0</v>
          </cell>
          <cell r="H256">
            <v>7.5</v>
          </cell>
        </row>
        <row r="257">
          <cell r="A257" t="str">
            <v>CLHT</v>
          </cell>
          <cell r="C257" t="str">
            <v>Bộ chống chằng hẹp φ60/50x1200+2BL12x40+BL16x200/50</v>
          </cell>
          <cell r="D257" t="str">
            <v>bộ</v>
          </cell>
          <cell r="E257">
            <v>298000</v>
          </cell>
          <cell r="G257">
            <v>0</v>
          </cell>
          <cell r="H257">
            <v>6.2</v>
          </cell>
        </row>
        <row r="258">
          <cell r="A258" t="str">
            <v>TN1618</v>
          </cell>
          <cell r="C258" t="str">
            <v>Ty neo φ16x1800</v>
          </cell>
          <cell r="D258" t="str">
            <v>cái</v>
          </cell>
          <cell r="F258">
            <v>0</v>
          </cell>
          <cell r="G258">
            <v>0</v>
          </cell>
          <cell r="H258">
            <v>3.5</v>
          </cell>
        </row>
        <row r="259">
          <cell r="A259" t="str">
            <v>TN1624</v>
          </cell>
          <cell r="C259" t="str">
            <v>Ty neo φ16x2400</v>
          </cell>
          <cell r="D259" t="str">
            <v>cái</v>
          </cell>
          <cell r="E259">
            <v>170000</v>
          </cell>
          <cell r="F259">
            <v>0</v>
          </cell>
          <cell r="G259">
            <v>0</v>
          </cell>
          <cell r="H259">
            <v>3.5</v>
          </cell>
        </row>
        <row r="260">
          <cell r="A260" t="str">
            <v>TN1824</v>
          </cell>
          <cell r="C260" t="str">
            <v>Ty neo φ18x2400</v>
          </cell>
          <cell r="D260" t="str">
            <v>cái</v>
          </cell>
          <cell r="F260">
            <v>0</v>
          </cell>
          <cell r="G260">
            <v>0</v>
          </cell>
          <cell r="H260">
            <v>3.8</v>
          </cell>
        </row>
        <row r="261">
          <cell r="A261" t="str">
            <v>TN2224</v>
          </cell>
          <cell r="C261" t="str">
            <v>Ty neo φ22x2400</v>
          </cell>
          <cell r="D261" t="str">
            <v>cái</v>
          </cell>
          <cell r="E261">
            <v>320000</v>
          </cell>
          <cell r="F261">
            <v>0</v>
          </cell>
          <cell r="G261">
            <v>0</v>
          </cell>
          <cell r="H261">
            <v>4.2</v>
          </cell>
        </row>
        <row r="262">
          <cell r="A262" t="str">
            <v>NX</v>
          </cell>
          <cell r="C262" t="str">
            <v>Neo xòe 8 hướng (dày 3,2mm)</v>
          </cell>
          <cell r="D262" t="str">
            <v>cái</v>
          </cell>
          <cell r="E262">
            <v>101000</v>
          </cell>
          <cell r="F262">
            <v>0</v>
          </cell>
          <cell r="G262">
            <v>0</v>
          </cell>
          <cell r="H262">
            <v>0.8</v>
          </cell>
        </row>
        <row r="263">
          <cell r="A263" t="str">
            <v>CD114G</v>
          </cell>
          <cell r="C263" t="str">
            <v>Cổ dê kẹp ống PVC φ 114 trụ ghép (có giá nới)</v>
          </cell>
          <cell r="D263" t="str">
            <v>bộ</v>
          </cell>
          <cell r="E263">
            <v>74000</v>
          </cell>
          <cell r="F263">
            <v>0</v>
          </cell>
          <cell r="G263">
            <v>0</v>
          </cell>
          <cell r="H263">
            <v>1.5</v>
          </cell>
        </row>
        <row r="264">
          <cell r="A264" t="str">
            <v>CD90G</v>
          </cell>
          <cell r="C264" t="str">
            <v>Cổ dê kẹp ống PVC φ 90 hướng trụ ghép (có giá nới)</v>
          </cell>
          <cell r="D264" t="str">
            <v>bộ</v>
          </cell>
          <cell r="E264">
            <v>74000</v>
          </cell>
          <cell r="F264">
            <v>0</v>
          </cell>
          <cell r="G264">
            <v>0</v>
          </cell>
          <cell r="H264">
            <v>1.5</v>
          </cell>
        </row>
        <row r="265">
          <cell r="A265" t="str">
            <v>CDTG</v>
          </cell>
          <cell r="C265" t="str">
            <v>Cổ dê bắt tủ trạm treo trụ ghép (có giá nới)</v>
          </cell>
          <cell r="D265" t="str">
            <v>bộ</v>
          </cell>
          <cell r="F265">
            <v>0</v>
          </cell>
          <cell r="G265">
            <v>0</v>
          </cell>
          <cell r="H265">
            <v>1.5</v>
          </cell>
        </row>
        <row r="266">
          <cell r="A266" t="str">
            <v>CD90</v>
          </cell>
          <cell r="C266" t="str">
            <v>Cổ dê kẹp ống PVC φ 90 (có giá nới)</v>
          </cell>
          <cell r="D266" t="str">
            <v>bộ</v>
          </cell>
          <cell r="E266">
            <v>74000</v>
          </cell>
          <cell r="F266">
            <v>0</v>
          </cell>
          <cell r="G266">
            <v>0</v>
          </cell>
          <cell r="H266">
            <v>1.5</v>
          </cell>
        </row>
        <row r="267">
          <cell r="A267" t="str">
            <v>CD114</v>
          </cell>
          <cell r="C267" t="str">
            <v>Cổ dê kẹp ống PVC φ 114 (có giá nới)</v>
          </cell>
          <cell r="D267" t="str">
            <v>bộ</v>
          </cell>
          <cell r="E267">
            <v>74000</v>
          </cell>
          <cell r="F267">
            <v>0</v>
          </cell>
          <cell r="G267">
            <v>0</v>
          </cell>
          <cell r="H267">
            <v>1.5</v>
          </cell>
        </row>
        <row r="268">
          <cell r="A268" t="str">
            <v>T75</v>
          </cell>
          <cell r="C268" t="str">
            <v>Trụ BTLT 7,5m F300 dự ứng lực</v>
          </cell>
          <cell r="D268" t="str">
            <v>trụ</v>
          </cell>
          <cell r="F268">
            <v>0</v>
          </cell>
          <cell r="G268">
            <v>0</v>
          </cell>
          <cell r="H268">
            <v>600</v>
          </cell>
        </row>
        <row r="269">
          <cell r="A269" t="str">
            <v>T84</v>
          </cell>
          <cell r="C269" t="str">
            <v>Trụ BTLT 8,4m F200 dự ứng lực</v>
          </cell>
          <cell r="D269" t="str">
            <v>trụ</v>
          </cell>
          <cell r="F269">
            <v>0</v>
          </cell>
          <cell r="G269">
            <v>0</v>
          </cell>
          <cell r="H269">
            <v>700</v>
          </cell>
        </row>
        <row r="270">
          <cell r="A270" t="str">
            <v>T85</v>
          </cell>
          <cell r="C270" t="str">
            <v>Trụ BTLT 8,5m F200 dự ứng lực</v>
          </cell>
          <cell r="D270" t="str">
            <v>trụ</v>
          </cell>
          <cell r="F270">
            <v>0</v>
          </cell>
          <cell r="G270">
            <v>0</v>
          </cell>
          <cell r="H270">
            <v>700</v>
          </cell>
        </row>
        <row r="271">
          <cell r="A271" t="str">
            <v>T85300</v>
          </cell>
          <cell r="C271" t="str">
            <v>Trụ BTLT 8,5m F300 (hệ số K=1,5 dự ứng lực)</v>
          </cell>
          <cell r="D271" t="str">
            <v>trụ</v>
          </cell>
          <cell r="E271">
            <v>2427273</v>
          </cell>
          <cell r="F271">
            <v>0</v>
          </cell>
          <cell r="G271">
            <v>0</v>
          </cell>
          <cell r="H271">
            <v>700</v>
          </cell>
        </row>
        <row r="272">
          <cell r="A272" t="str">
            <v>T10</v>
          </cell>
          <cell r="C272" t="str">
            <v>Trụ BTLT 10,5m F350 (hệ số K=2 dự ứng lực)</v>
          </cell>
          <cell r="D272" t="str">
            <v>trụ</v>
          </cell>
          <cell r="E272">
            <v>3454546</v>
          </cell>
          <cell r="F272">
            <v>0</v>
          </cell>
          <cell r="G272">
            <v>0</v>
          </cell>
          <cell r="H272">
            <v>700</v>
          </cell>
        </row>
        <row r="273">
          <cell r="A273" t="str">
            <v>T12</v>
          </cell>
          <cell r="C273" t="str">
            <v>Trụ BTLT 12m F540 (hệ số K=2 dự ứng lực)</v>
          </cell>
          <cell r="D273" t="str">
            <v>trụ</v>
          </cell>
          <cell r="E273">
            <v>4427273</v>
          </cell>
          <cell r="F273">
            <v>0</v>
          </cell>
          <cell r="G273">
            <v>0</v>
          </cell>
          <cell r="H273">
            <v>1250</v>
          </cell>
        </row>
        <row r="274">
          <cell r="A274" t="str">
            <v>T14</v>
          </cell>
          <cell r="C274" t="str">
            <v>Trụ BTLT 14m F650 dự ứng lực</v>
          </cell>
          <cell r="D274" t="str">
            <v>trụ</v>
          </cell>
          <cell r="E274">
            <v>5963636</v>
          </cell>
          <cell r="F274">
            <v>0</v>
          </cell>
          <cell r="G274">
            <v>0</v>
          </cell>
          <cell r="H274">
            <v>1390</v>
          </cell>
        </row>
        <row r="275">
          <cell r="A275" t="str">
            <v>T20</v>
          </cell>
          <cell r="C275" t="str">
            <v>Trụ BTLT 20m F1300 dự ứng lực</v>
          </cell>
          <cell r="D275" t="str">
            <v>trụ</v>
          </cell>
          <cell r="F275">
            <v>0</v>
          </cell>
          <cell r="G275">
            <v>0</v>
          </cell>
          <cell r="H275">
            <v>2720</v>
          </cell>
        </row>
        <row r="276">
          <cell r="A276" t="str">
            <v>D1x2</v>
          </cell>
          <cell r="C276" t="str">
            <v>Đá 1x2</v>
          </cell>
          <cell r="D276" t="str">
            <v>m3</v>
          </cell>
          <cell r="E276">
            <v>335000</v>
          </cell>
          <cell r="F276">
            <v>0</v>
          </cell>
          <cell r="G276">
            <v>0</v>
          </cell>
          <cell r="H276">
            <v>1500</v>
          </cell>
        </row>
        <row r="277">
          <cell r="A277" t="str">
            <v>XM</v>
          </cell>
          <cell r="C277" t="str">
            <v>Xi măng</v>
          </cell>
          <cell r="D277" t="str">
            <v>kg</v>
          </cell>
          <cell r="E277">
            <v>1740</v>
          </cell>
          <cell r="F277">
            <v>0</v>
          </cell>
          <cell r="G277">
            <v>0</v>
          </cell>
          <cell r="H277">
            <v>1</v>
          </cell>
        </row>
        <row r="278">
          <cell r="A278" t="str">
            <v>CV</v>
          </cell>
          <cell r="C278" t="str">
            <v>Cát vàng</v>
          </cell>
          <cell r="D278" t="str">
            <v>m3</v>
          </cell>
          <cell r="E278">
            <v>512000</v>
          </cell>
          <cell r="F278">
            <v>0</v>
          </cell>
          <cell r="G278">
            <v>0</v>
          </cell>
          <cell r="H278">
            <v>1500</v>
          </cell>
        </row>
        <row r="279">
          <cell r="A279" t="str">
            <v>YC</v>
          </cell>
          <cell r="C279" t="str">
            <v>Yếm cáp dày 2mm</v>
          </cell>
          <cell r="D279" t="str">
            <v>cái</v>
          </cell>
          <cell r="E279">
            <v>7000</v>
          </cell>
          <cell r="F279">
            <v>0</v>
          </cell>
          <cell r="G279">
            <v>0</v>
          </cell>
          <cell r="H279">
            <v>0.3</v>
          </cell>
        </row>
        <row r="280">
          <cell r="F280">
            <v>0</v>
          </cell>
          <cell r="G280">
            <v>0</v>
          </cell>
          <cell r="H280">
            <v>0</v>
          </cell>
        </row>
        <row r="281">
          <cell r="A281" t="str">
            <v>Bảng kê đơn giá nhân công</v>
          </cell>
          <cell r="F281">
            <v>0</v>
          </cell>
          <cell r="G281">
            <v>0</v>
          </cell>
          <cell r="H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</row>
        <row r="283">
          <cell r="A283" t="str">
            <v>MDDA1</v>
          </cell>
          <cell r="B283" t="str">
            <v>AB.11211</v>
          </cell>
          <cell r="C283" t="str">
            <v>Phá đá chân hố móng, đá cấp I</v>
          </cell>
          <cell r="D283" t="str">
            <v>m3</v>
          </cell>
          <cell r="F283">
            <v>1131597</v>
          </cell>
          <cell r="G283">
            <v>0</v>
          </cell>
          <cell r="H283">
            <v>0</v>
          </cell>
        </row>
        <row r="284">
          <cell r="A284" t="str">
            <v>MDDA2</v>
          </cell>
          <cell r="B284" t="str">
            <v>AB.11212</v>
          </cell>
          <cell r="C284" t="str">
            <v>Phá đá chân hố móng, đá cấp II</v>
          </cell>
          <cell r="D284" t="str">
            <v>m3</v>
          </cell>
          <cell r="F284">
            <v>877964</v>
          </cell>
          <cell r="G284">
            <v>0</v>
          </cell>
          <cell r="H284">
            <v>0</v>
          </cell>
        </row>
        <row r="285">
          <cell r="A285" t="str">
            <v>MDDA3</v>
          </cell>
          <cell r="B285" t="str">
            <v>AB.11213</v>
          </cell>
          <cell r="C285" t="str">
            <v>Phá đá chân hố móng, đá cấp III</v>
          </cell>
          <cell r="D285" t="str">
            <v>m3</v>
          </cell>
          <cell r="F285">
            <v>760902</v>
          </cell>
          <cell r="G285">
            <v>0</v>
          </cell>
          <cell r="H285">
            <v>0</v>
          </cell>
        </row>
        <row r="286">
          <cell r="A286" t="str">
            <v>MDD11</v>
          </cell>
          <cell r="B286" t="str">
            <v>03.1101</v>
          </cell>
          <cell r="C286" t="str">
            <v>Đào hố móng đất cấp 1 sâu &lt;=1m</v>
          </cell>
          <cell r="D286" t="str">
            <v>m3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MDD21</v>
          </cell>
          <cell r="B287" t="str">
            <v>03.1102</v>
          </cell>
          <cell r="C287" t="str">
            <v>Đào hố móng đất cấp 2 sâu &lt;=1m</v>
          </cell>
          <cell r="D287" t="str">
            <v>m3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MDD31</v>
          </cell>
          <cell r="B288" t="str">
            <v>AB.11413</v>
          </cell>
          <cell r="C288" t="str">
            <v>Đào hố móng đất cấp 3 sâu &lt;=1m</v>
          </cell>
          <cell r="D288" t="str">
            <v>m3</v>
          </cell>
          <cell r="F288">
            <v>340001</v>
          </cell>
          <cell r="G288">
            <v>0</v>
          </cell>
          <cell r="H288">
            <v>0</v>
          </cell>
        </row>
        <row r="289">
          <cell r="A289" t="str">
            <v>MDD41</v>
          </cell>
          <cell r="B289" t="str">
            <v>03.1104</v>
          </cell>
          <cell r="C289" t="str">
            <v>Đào hố móng đất cấp 4 sâu &lt;=1m</v>
          </cell>
          <cell r="D289" t="str">
            <v>m3</v>
          </cell>
          <cell r="F289">
            <v>0</v>
          </cell>
          <cell r="G289">
            <v>0</v>
          </cell>
          <cell r="H289">
            <v>0</v>
          </cell>
        </row>
        <row r="290">
          <cell r="A290" t="str">
            <v>MDD2</v>
          </cell>
          <cell r="B290" t="str">
            <v>03.1012</v>
          </cell>
          <cell r="C290" t="str">
            <v>Đào hố móng đất cấp 2 sâu &gt;1m</v>
          </cell>
          <cell r="D290" t="str">
            <v>m3</v>
          </cell>
          <cell r="F290">
            <v>0</v>
          </cell>
          <cell r="G290">
            <v>0</v>
          </cell>
          <cell r="H290">
            <v>0</v>
          </cell>
        </row>
        <row r="291">
          <cell r="A291" t="str">
            <v>MDD3</v>
          </cell>
          <cell r="B291" t="str">
            <v>AB.11423</v>
          </cell>
          <cell r="C291" t="str">
            <v>Đào hố móng đất cấp 3 sâu &gt;1m</v>
          </cell>
          <cell r="D291" t="str">
            <v>m3</v>
          </cell>
          <cell r="F291">
            <v>418738</v>
          </cell>
          <cell r="G291">
            <v>0</v>
          </cell>
          <cell r="H291">
            <v>0</v>
          </cell>
        </row>
        <row r="292">
          <cell r="A292" t="str">
            <v>MDD4</v>
          </cell>
          <cell r="B292" t="str">
            <v>03.1114</v>
          </cell>
          <cell r="C292" t="str">
            <v>Đào hố móng đất cấp 4 sâu &gt;1m</v>
          </cell>
          <cell r="D292" t="str">
            <v>m3</v>
          </cell>
          <cell r="F292">
            <v>0</v>
          </cell>
          <cell r="G292">
            <v>0</v>
          </cell>
          <cell r="H292">
            <v>0</v>
          </cell>
        </row>
        <row r="293">
          <cell r="A293" t="str">
            <v>MDAP1</v>
          </cell>
          <cell r="B293" t="str">
            <v>03.2201</v>
          </cell>
          <cell r="C293" t="str">
            <v>Đắp đất hố móng, đất cấp 1</v>
          </cell>
          <cell r="D293" t="str">
            <v>m3</v>
          </cell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MDAP2</v>
          </cell>
          <cell r="B294" t="str">
            <v>03.2202</v>
          </cell>
          <cell r="C294" t="str">
            <v>Đắp đất hố móng, đất cấp 2</v>
          </cell>
          <cell r="D294" t="str">
            <v>m3</v>
          </cell>
          <cell r="F294">
            <v>0</v>
          </cell>
          <cell r="G294">
            <v>0</v>
          </cell>
          <cell r="H294">
            <v>0</v>
          </cell>
        </row>
        <row r="295">
          <cell r="A295" t="str">
            <v>MDAP3</v>
          </cell>
          <cell r="B295" t="str">
            <v>AB.13113</v>
          </cell>
          <cell r="C295" t="str">
            <v>Đắp đất hố móng (K=0,95)</v>
          </cell>
          <cell r="D295" t="str">
            <v>m3</v>
          </cell>
          <cell r="F295">
            <v>125264</v>
          </cell>
          <cell r="G295">
            <v>0</v>
          </cell>
          <cell r="H295">
            <v>0</v>
          </cell>
        </row>
        <row r="296">
          <cell r="A296" t="str">
            <v>MDAP4</v>
          </cell>
          <cell r="B296" t="str">
            <v>03.2203</v>
          </cell>
          <cell r="C296" t="str">
            <v>Đắp đất hố móng, đất cấp 4</v>
          </cell>
          <cell r="D296" t="str">
            <v>m3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DMC2</v>
          </cell>
          <cell r="B297" t="str">
            <v>03.3102</v>
          </cell>
          <cell r="C297" t="str">
            <v>Đào mương cáp ngầm đất cấp 2</v>
          </cell>
          <cell r="D297" t="str">
            <v>m3</v>
          </cell>
          <cell r="F297">
            <v>0</v>
          </cell>
          <cell r="G297">
            <v>0</v>
          </cell>
          <cell r="H297">
            <v>0</v>
          </cell>
        </row>
        <row r="298">
          <cell r="A298" t="str">
            <v>DMC3</v>
          </cell>
          <cell r="B298" t="str">
            <v>03.3103</v>
          </cell>
          <cell r="C298" t="str">
            <v>Đào mương cáp ngầm đất cấp 3</v>
          </cell>
          <cell r="D298" t="str">
            <v>m3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DMC4</v>
          </cell>
          <cell r="B299" t="str">
            <v>03.3104</v>
          </cell>
          <cell r="C299" t="str">
            <v>Đào mương cáp ngầm đất cấp 4</v>
          </cell>
          <cell r="D299" t="str">
            <v>m3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DDMC2</v>
          </cell>
          <cell r="B300" t="str">
            <v>03.3202</v>
          </cell>
          <cell r="C300" t="str">
            <v>Đắp đất mương cáp ngầm, đất cấp 2</v>
          </cell>
          <cell r="D300" t="str">
            <v>m3</v>
          </cell>
          <cell r="F300">
            <v>0</v>
          </cell>
          <cell r="G300">
            <v>0</v>
          </cell>
          <cell r="H300">
            <v>0</v>
          </cell>
        </row>
        <row r="301">
          <cell r="A301" t="str">
            <v>DDMC3</v>
          </cell>
          <cell r="B301" t="str">
            <v>03.3203</v>
          </cell>
          <cell r="C301" t="str">
            <v>Đắp đất mương cáp ngầm, đất cấp 3</v>
          </cell>
          <cell r="D301" t="str">
            <v>m3</v>
          </cell>
          <cell r="F301">
            <v>0</v>
          </cell>
          <cell r="G301">
            <v>0</v>
          </cell>
          <cell r="H301">
            <v>0</v>
          </cell>
        </row>
        <row r="302">
          <cell r="A302" t="str">
            <v>DDMC4</v>
          </cell>
          <cell r="B302" t="str">
            <v>03.3203</v>
          </cell>
          <cell r="C302" t="str">
            <v>Đắp đất mương cáp ngầm, đất cấp 4</v>
          </cell>
          <cell r="D302" t="str">
            <v>m3</v>
          </cell>
          <cell r="F302">
            <v>0</v>
          </cell>
          <cell r="G302">
            <v>0</v>
          </cell>
          <cell r="H302">
            <v>0</v>
          </cell>
        </row>
        <row r="303">
          <cell r="A303" t="str">
            <v>DCAT</v>
          </cell>
          <cell r="B303" t="str">
            <v>03.7000</v>
          </cell>
          <cell r="C303" t="str">
            <v xml:space="preserve">Đắp cát </v>
          </cell>
          <cell r="D303" t="str">
            <v>m3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DD1x2</v>
          </cell>
          <cell r="B304" t="str">
            <v>03.7000</v>
          </cell>
          <cell r="C304" t="str">
            <v>Đắp đá 1x2</v>
          </cell>
          <cell r="D304" t="str">
            <v>m3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DD1x2</v>
          </cell>
          <cell r="B305" t="str">
            <v>03.7000</v>
          </cell>
          <cell r="C305" t="str">
            <v>Đắp đá 2x4</v>
          </cell>
          <cell r="D305" t="str">
            <v>m3</v>
          </cell>
          <cell r="F305">
            <v>0</v>
          </cell>
          <cell r="G305">
            <v>0</v>
          </cell>
          <cell r="H305">
            <v>0</v>
          </cell>
        </row>
        <row r="306">
          <cell r="A306" t="str">
            <v>DTD2</v>
          </cell>
          <cell r="B306" t="str">
            <v>03.3102</v>
          </cell>
          <cell r="C306" t="str">
            <v>Đào rãnh tiếp địa đất cấp 2</v>
          </cell>
          <cell r="D306" t="str">
            <v>m3</v>
          </cell>
          <cell r="F306">
            <v>0</v>
          </cell>
          <cell r="G306">
            <v>0</v>
          </cell>
          <cell r="H306">
            <v>0</v>
          </cell>
        </row>
        <row r="307">
          <cell r="A307" t="str">
            <v>DTD3</v>
          </cell>
          <cell r="B307" t="str">
            <v>AB.11513</v>
          </cell>
          <cell r="C307" t="str">
            <v>Đào rãnh tiếp địa đất cấp 3</v>
          </cell>
          <cell r="D307" t="str">
            <v>m3</v>
          </cell>
          <cell r="F307">
            <v>241580</v>
          </cell>
          <cell r="G307">
            <v>0</v>
          </cell>
          <cell r="H307">
            <v>0</v>
          </cell>
        </row>
        <row r="308">
          <cell r="A308" t="str">
            <v>DTD4</v>
          </cell>
          <cell r="B308" t="str">
            <v>03.3103</v>
          </cell>
          <cell r="C308" t="str">
            <v>Đào rãnh tiếp địa đất cấp 4</v>
          </cell>
          <cell r="D308" t="str">
            <v>m3</v>
          </cell>
          <cell r="F308">
            <v>0</v>
          </cell>
          <cell r="G308">
            <v>0</v>
          </cell>
          <cell r="H308">
            <v>0</v>
          </cell>
        </row>
        <row r="309">
          <cell r="A309" t="str">
            <v>DATD2</v>
          </cell>
          <cell r="B309" t="str">
            <v>03.3202</v>
          </cell>
          <cell r="C309" t="str">
            <v>Đắp đất rãnh tiếp địa cấp 2</v>
          </cell>
          <cell r="D309" t="str">
            <v>m3</v>
          </cell>
          <cell r="F309">
            <v>0</v>
          </cell>
          <cell r="G309">
            <v>0</v>
          </cell>
          <cell r="H309">
            <v>0</v>
          </cell>
        </row>
        <row r="310">
          <cell r="A310" t="str">
            <v>DATD3</v>
          </cell>
          <cell r="B310" t="str">
            <v>AB.13111</v>
          </cell>
          <cell r="C310" t="str">
            <v>Đắp đất rãnh tiếp địa (K=0,85)</v>
          </cell>
          <cell r="D310" t="str">
            <v>m3</v>
          </cell>
          <cell r="F310">
            <v>100211</v>
          </cell>
          <cell r="G310">
            <v>0</v>
          </cell>
          <cell r="H310">
            <v>0</v>
          </cell>
        </row>
        <row r="311">
          <cell r="A311" t="str">
            <v>DATD4</v>
          </cell>
          <cell r="B311" t="str">
            <v>03.3203</v>
          </cell>
          <cell r="C311" t="str">
            <v>Đắp đất rãnh tiếp địa cấp 4</v>
          </cell>
          <cell r="D311" t="str">
            <v>m3</v>
          </cell>
          <cell r="F311">
            <v>0</v>
          </cell>
          <cell r="G311">
            <v>0</v>
          </cell>
          <cell r="H311">
            <v>0</v>
          </cell>
        </row>
        <row r="312">
          <cell r="A312" t="str">
            <v>LGIA</v>
          </cell>
          <cell r="B312" t="str">
            <v>05.6101</v>
          </cell>
          <cell r="C312" t="str">
            <v>Lắp gía đỡ cáp</v>
          </cell>
          <cell r="D312" t="str">
            <v>bộ</v>
          </cell>
          <cell r="F312">
            <v>0</v>
          </cell>
          <cell r="G312">
            <v>0</v>
          </cell>
          <cell r="H312">
            <v>0</v>
          </cell>
        </row>
        <row r="313">
          <cell r="A313" t="str">
            <v>lapkep</v>
          </cell>
          <cell r="B313" t="str">
            <v>04.3107</v>
          </cell>
          <cell r="C313" t="str">
            <v>Lắp kẹp các loại</v>
          </cell>
          <cell r="D313" t="str">
            <v>bộ</v>
          </cell>
          <cell r="F313">
            <v>0</v>
          </cell>
          <cell r="G313">
            <v>0</v>
          </cell>
          <cell r="H313">
            <v>0</v>
          </cell>
        </row>
        <row r="314">
          <cell r="A314" t="str">
            <v>LGACH</v>
          </cell>
          <cell r="B314" t="str">
            <v>07.2104</v>
          </cell>
          <cell r="C314" t="str">
            <v>Lắp gạch làm dấu</v>
          </cell>
          <cell r="D314" t="str">
            <v>viên</v>
          </cell>
          <cell r="F314">
            <v>0</v>
          </cell>
          <cell r="G314">
            <v>0</v>
          </cell>
          <cell r="H314">
            <v>0</v>
          </cell>
        </row>
        <row r="315">
          <cell r="A315" t="str">
            <v>M12</v>
          </cell>
          <cell r="B315" t="str">
            <v>04.3801</v>
          </cell>
          <cell r="C315" t="str">
            <v>Đặt đà cản 1,2m</v>
          </cell>
          <cell r="D315" t="str">
            <v>cái</v>
          </cell>
          <cell r="F315">
            <v>0</v>
          </cell>
          <cell r="G315">
            <v>0</v>
          </cell>
          <cell r="H315">
            <v>0</v>
          </cell>
        </row>
        <row r="316">
          <cell r="A316" t="str">
            <v>M15</v>
          </cell>
          <cell r="B316" t="str">
            <v>04.3801</v>
          </cell>
          <cell r="C316" t="str">
            <v>Đặt đà cản 1,5m</v>
          </cell>
          <cell r="D316" t="str">
            <v>cái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MD25</v>
          </cell>
          <cell r="B317" t="str">
            <v>04.3802</v>
          </cell>
          <cell r="C317" t="str">
            <v xml:space="preserve">Đặt đà cản 2,5m </v>
          </cell>
          <cell r="D317" t="str">
            <v>cái</v>
          </cell>
          <cell r="F317">
            <v>0</v>
          </cell>
          <cell r="G317">
            <v>0</v>
          </cell>
          <cell r="H317">
            <v>0</v>
          </cell>
        </row>
        <row r="318">
          <cell r="A318" t="str">
            <v>DCT25</v>
          </cell>
          <cell r="B318" t="str">
            <v>04.5142</v>
          </cell>
          <cell r="C318" t="str">
            <v>Đóng cừ tràm 2,5 m</v>
          </cell>
          <cell r="D318" t="str">
            <v>cây</v>
          </cell>
          <cell r="F318">
            <v>0</v>
          </cell>
          <cell r="G318">
            <v>0</v>
          </cell>
          <cell r="H318">
            <v>0</v>
          </cell>
        </row>
        <row r="319">
          <cell r="A319" t="str">
            <v>DCT30</v>
          </cell>
          <cell r="B319" t="str">
            <v>04.5142</v>
          </cell>
          <cell r="C319" t="str">
            <v>Đóng cừ tràm 3 m</v>
          </cell>
          <cell r="D319" t="str">
            <v>cây</v>
          </cell>
          <cell r="F319">
            <v>0</v>
          </cell>
          <cell r="G319">
            <v>0</v>
          </cell>
          <cell r="H319">
            <v>0</v>
          </cell>
        </row>
        <row r="320">
          <cell r="A320" t="str">
            <v>DCT50</v>
          </cell>
          <cell r="B320" t="str">
            <v>04.5142</v>
          </cell>
          <cell r="C320" t="str">
            <v>Đóng cừ tràm 5 m</v>
          </cell>
          <cell r="D320" t="str">
            <v>cây</v>
          </cell>
          <cell r="F320">
            <v>0</v>
          </cell>
          <cell r="G320">
            <v>0</v>
          </cell>
          <cell r="H320">
            <v>0</v>
          </cell>
        </row>
        <row r="321">
          <cell r="A321" t="str">
            <v>KTD</v>
          </cell>
          <cell r="B321" t="str">
            <v>D2.7001</v>
          </cell>
          <cell r="C321" t="str">
            <v xml:space="preserve">Kéo dây tiếp địa </v>
          </cell>
          <cell r="D321" t="str">
            <v>kg</v>
          </cell>
          <cell r="F321">
            <v>2195</v>
          </cell>
          <cell r="G321">
            <v>0</v>
          </cell>
          <cell r="H321">
            <v>0</v>
          </cell>
        </row>
        <row r="322">
          <cell r="A322" t="str">
            <v>KTDTBA</v>
          </cell>
          <cell r="B322" t="str">
            <v>T4.7001</v>
          </cell>
          <cell r="C322" t="str">
            <v>Kéo dây tiếp địa trong TBA</v>
          </cell>
          <cell r="D322" t="str">
            <v>mét</v>
          </cell>
          <cell r="F322">
            <v>6871</v>
          </cell>
          <cell r="G322">
            <v>0</v>
          </cell>
          <cell r="H322">
            <v>0</v>
          </cell>
        </row>
        <row r="323">
          <cell r="A323" t="str">
            <v>DCTD3</v>
          </cell>
          <cell r="B323" t="str">
            <v>D2.8103</v>
          </cell>
          <cell r="C323" t="str">
            <v>Đóng cọc tiếp địa đất cấp 3</v>
          </cell>
          <cell r="D323" t="str">
            <v>cọc</v>
          </cell>
          <cell r="F323">
            <v>76928</v>
          </cell>
          <cell r="G323">
            <v>0</v>
          </cell>
          <cell r="H323">
            <v>0</v>
          </cell>
        </row>
        <row r="324">
          <cell r="A324" t="str">
            <v>DCTD4</v>
          </cell>
          <cell r="B324" t="str">
            <v>D2.8104</v>
          </cell>
          <cell r="C324" t="str">
            <v>Đóng cọc tiếp địa đất cấp 4</v>
          </cell>
          <cell r="D324" t="str">
            <v>cọc</v>
          </cell>
          <cell r="F324">
            <v>1646565</v>
          </cell>
          <cell r="G324">
            <v>0</v>
          </cell>
          <cell r="H324">
            <v>0</v>
          </cell>
        </row>
        <row r="325">
          <cell r="A325" t="str">
            <v>DCTDTBA</v>
          </cell>
          <cell r="B325" t="str">
            <v>D2.8103</v>
          </cell>
          <cell r="C325" t="str">
            <v>Đóng cọc tiếp địa trong TBA (đất cấp 3)</v>
          </cell>
          <cell r="D325" t="str">
            <v>cọc</v>
          </cell>
          <cell r="F325">
            <v>76928</v>
          </cell>
          <cell r="G325">
            <v>0</v>
          </cell>
          <cell r="H325">
            <v>0</v>
          </cell>
        </row>
        <row r="326">
          <cell r="A326" t="str">
            <v>C8</v>
          </cell>
          <cell r="B326" t="str">
            <v>D2.5211</v>
          </cell>
          <cell r="C326" t="str">
            <v>Dựng trụ BTLT &lt;=8m bằng thủ công</v>
          </cell>
          <cell r="D326" t="str">
            <v>trụ</v>
          </cell>
          <cell r="F326">
            <v>1092293</v>
          </cell>
          <cell r="G326">
            <v>0</v>
          </cell>
          <cell r="H326">
            <v>0</v>
          </cell>
        </row>
        <row r="327">
          <cell r="A327" t="str">
            <v>C10</v>
          </cell>
          <cell r="B327" t="str">
            <v>D2.5221</v>
          </cell>
          <cell r="C327" t="str">
            <v>Dựng trụ BTLT &lt;=10m bằng thủ công</v>
          </cell>
          <cell r="D327" t="str">
            <v>trụ</v>
          </cell>
          <cell r="F327">
            <v>1175222</v>
          </cell>
          <cell r="G327">
            <v>0</v>
          </cell>
          <cell r="H327">
            <v>0</v>
          </cell>
        </row>
        <row r="328">
          <cell r="A328" t="str">
            <v>C105</v>
          </cell>
          <cell r="B328" t="str">
            <v>D2.5231</v>
          </cell>
          <cell r="C328" t="str">
            <v>Dựng trụ BTLT 10,5m bằng thủ công</v>
          </cell>
          <cell r="D328" t="str">
            <v>trụ</v>
          </cell>
          <cell r="F328">
            <v>1258151</v>
          </cell>
          <cell r="G328">
            <v>0</v>
          </cell>
          <cell r="H328">
            <v>0</v>
          </cell>
        </row>
        <row r="329">
          <cell r="A329" t="str">
            <v>C12</v>
          </cell>
          <cell r="B329" t="str">
            <v>D2.5231</v>
          </cell>
          <cell r="C329" t="str">
            <v>Dựng trụ BTLT 12m bằng thủ công</v>
          </cell>
          <cell r="D329" t="str">
            <v>trụ</v>
          </cell>
          <cell r="F329">
            <v>1258151</v>
          </cell>
          <cell r="G329">
            <v>0</v>
          </cell>
          <cell r="H329">
            <v>0</v>
          </cell>
        </row>
        <row r="330">
          <cell r="A330" t="str">
            <v>C14</v>
          </cell>
          <cell r="B330" t="str">
            <v>D2.5241</v>
          </cell>
          <cell r="C330" t="str">
            <v>Dựng trụ BTLT 14m bằng thủ công</v>
          </cell>
          <cell r="D330" t="str">
            <v>trụ</v>
          </cell>
          <cell r="F330">
            <v>1566173</v>
          </cell>
          <cell r="G330">
            <v>0</v>
          </cell>
          <cell r="H330">
            <v>0</v>
          </cell>
        </row>
        <row r="331">
          <cell r="A331" t="str">
            <v>C20</v>
          </cell>
          <cell r="B331" t="str">
            <v>05.5217</v>
          </cell>
          <cell r="C331" t="str">
            <v>Dựng trụ BTLT 20m bằng thủ công</v>
          </cell>
          <cell r="D331" t="str">
            <v>trụ</v>
          </cell>
          <cell r="F331">
            <v>0</v>
          </cell>
          <cell r="G331">
            <v>0</v>
          </cell>
          <cell r="H331">
            <v>0</v>
          </cell>
        </row>
        <row r="332">
          <cell r="A332" t="str">
            <v>C8m</v>
          </cell>
          <cell r="B332" t="str">
            <v>D2.5222</v>
          </cell>
          <cell r="C332" t="str">
            <v>Dựng trụ BTLT &lt;=8m thủ công +cơ giới</v>
          </cell>
          <cell r="D332" t="str">
            <v>trụ</v>
          </cell>
          <cell r="F332">
            <v>438339</v>
          </cell>
          <cell r="G332">
            <v>135772</v>
          </cell>
          <cell r="H332">
            <v>0</v>
          </cell>
        </row>
        <row r="333">
          <cell r="A333" t="str">
            <v>C10m</v>
          </cell>
          <cell r="B333" t="str">
            <v>D2.5222</v>
          </cell>
          <cell r="C333" t="str">
            <v>Dựng trụ BTLT &lt;=10m thủ công +cơ giới</v>
          </cell>
          <cell r="D333" t="str">
            <v>trụ</v>
          </cell>
          <cell r="F333">
            <v>469141</v>
          </cell>
          <cell r="G333">
            <v>135772</v>
          </cell>
          <cell r="H333">
            <v>0</v>
          </cell>
        </row>
        <row r="334">
          <cell r="A334" t="str">
            <v>C105m</v>
          </cell>
          <cell r="B334" t="str">
            <v>D2.5232</v>
          </cell>
          <cell r="C334" t="str">
            <v>Dựng trụ BTLT 10,5m thủ công + cơ giới</v>
          </cell>
          <cell r="D334" t="str">
            <v>trụ</v>
          </cell>
          <cell r="F334">
            <v>502313</v>
          </cell>
          <cell r="G334">
            <v>193960</v>
          </cell>
          <cell r="H334">
            <v>0</v>
          </cell>
        </row>
        <row r="335">
          <cell r="A335" t="str">
            <v>C12m</v>
          </cell>
          <cell r="B335" t="str">
            <v>D2.5232</v>
          </cell>
          <cell r="C335" t="str">
            <v>Dựng trụ BTLT 12m thủ công + cơ giới</v>
          </cell>
          <cell r="D335" t="str">
            <v>trụ</v>
          </cell>
          <cell r="F335">
            <v>502313</v>
          </cell>
          <cell r="G335">
            <v>193960</v>
          </cell>
          <cell r="H335">
            <v>0</v>
          </cell>
        </row>
        <row r="336">
          <cell r="A336" t="str">
            <v>C14m</v>
          </cell>
          <cell r="B336" t="str">
            <v>D2.5242</v>
          </cell>
          <cell r="C336" t="str">
            <v>Dựng trụ BTLT 14m thủ công + cơ giới</v>
          </cell>
          <cell r="D336" t="str">
            <v>trụ</v>
          </cell>
          <cell r="F336">
            <v>625522</v>
          </cell>
          <cell r="G336">
            <v>193960</v>
          </cell>
          <cell r="H336">
            <v>0</v>
          </cell>
        </row>
        <row r="337">
          <cell r="A337" t="str">
            <v>C20m</v>
          </cell>
          <cell r="B337" t="str">
            <v>05.5227</v>
          </cell>
          <cell r="C337" t="str">
            <v>Dựng trụ BTLT 20m thủ công + cơ giới</v>
          </cell>
          <cell r="D337" t="str">
            <v>trụ</v>
          </cell>
          <cell r="F337">
            <v>0</v>
          </cell>
          <cell r="G337">
            <v>0</v>
          </cell>
          <cell r="H337">
            <v>0</v>
          </cell>
        </row>
        <row r="338">
          <cell r="A338" t="str">
            <v>C12TBA</v>
          </cell>
          <cell r="B338" t="str">
            <v>T4.9103</v>
          </cell>
          <cell r="C338" t="str">
            <v>Dựng trụ BTLT 12m trong TBA</v>
          </cell>
          <cell r="D338" t="str">
            <v>trụ</v>
          </cell>
          <cell r="F338">
            <v>837772</v>
          </cell>
          <cell r="G338">
            <v>310336</v>
          </cell>
          <cell r="H338">
            <v>0</v>
          </cell>
        </row>
        <row r="339">
          <cell r="A339" t="str">
            <v>C14TBA</v>
          </cell>
          <cell r="B339" t="str">
            <v>T4.9103</v>
          </cell>
          <cell r="C339" t="str">
            <v>Dựng trụ BTLT 14m trong TBA</v>
          </cell>
          <cell r="D339" t="str">
            <v>trụ</v>
          </cell>
          <cell r="F339">
            <v>837772</v>
          </cell>
          <cell r="G339">
            <v>310336</v>
          </cell>
          <cell r="H339">
            <v>0</v>
          </cell>
        </row>
        <row r="340">
          <cell r="A340" t="str">
            <v>LCOM800</v>
          </cell>
          <cell r="B340" t="str">
            <v>D2.6011</v>
          </cell>
          <cell r="C340" t="str">
            <v>Lắp đà composite 800mm đơn</v>
          </cell>
          <cell r="D340" t="str">
            <v>bộ</v>
          </cell>
          <cell r="F340">
            <v>167950</v>
          </cell>
          <cell r="G340">
            <v>0</v>
          </cell>
          <cell r="H340">
            <v>0</v>
          </cell>
        </row>
        <row r="341">
          <cell r="A341" t="str">
            <v>LCOM2400</v>
          </cell>
          <cell r="B341" t="str">
            <v>D2.6011</v>
          </cell>
          <cell r="C341" t="str">
            <v>Lắp đà composite 2400mm đơn</v>
          </cell>
          <cell r="D341" t="str">
            <v>bộ</v>
          </cell>
          <cell r="F341">
            <v>167950</v>
          </cell>
          <cell r="G341">
            <v>0</v>
          </cell>
          <cell r="H341">
            <v>0</v>
          </cell>
        </row>
        <row r="342">
          <cell r="A342" t="str">
            <v>LCOM800K</v>
          </cell>
          <cell r="B342" t="str">
            <v>D2.6011</v>
          </cell>
          <cell r="C342" t="str">
            <v>Lắp đà composite 800mm kép</v>
          </cell>
          <cell r="D342" t="str">
            <v>bộ</v>
          </cell>
          <cell r="F342">
            <v>167950</v>
          </cell>
          <cell r="G342">
            <v>0</v>
          </cell>
          <cell r="H342">
            <v>0</v>
          </cell>
        </row>
        <row r="343">
          <cell r="A343" t="str">
            <v>LCOM2400K</v>
          </cell>
          <cell r="B343" t="str">
            <v>D2.6011</v>
          </cell>
          <cell r="C343" t="str">
            <v>Lắp đà composite 2400mm kép</v>
          </cell>
          <cell r="D343" t="str">
            <v>bộ</v>
          </cell>
          <cell r="F343">
            <v>167950</v>
          </cell>
          <cell r="G343">
            <v>0</v>
          </cell>
          <cell r="H343">
            <v>0</v>
          </cell>
        </row>
        <row r="344">
          <cell r="A344" t="str">
            <v>LCOM2600</v>
          </cell>
          <cell r="B344" t="str">
            <v>D2.6011</v>
          </cell>
          <cell r="C344" t="str">
            <v>Lắp đà composite 2600mm đơn</v>
          </cell>
          <cell r="D344" t="str">
            <v>bộ</v>
          </cell>
          <cell r="F344">
            <v>167950</v>
          </cell>
          <cell r="G344">
            <v>0</v>
          </cell>
          <cell r="H344">
            <v>0</v>
          </cell>
        </row>
        <row r="345">
          <cell r="A345" t="str">
            <v>LX2000D</v>
          </cell>
          <cell r="B345" t="str">
            <v>D2.6021a</v>
          </cell>
          <cell r="C345" t="str">
            <v>Lắp đặt xà thép L75x75x8x2000 đơn cột đỡ (25,356 kg/bộ)</v>
          </cell>
          <cell r="D345" t="str">
            <v>bộ</v>
          </cell>
          <cell r="F345">
            <v>283835</v>
          </cell>
          <cell r="G345">
            <v>0</v>
          </cell>
          <cell r="H345">
            <v>0</v>
          </cell>
        </row>
        <row r="346">
          <cell r="A346" t="str">
            <v>LX2000K</v>
          </cell>
          <cell r="B346" t="str">
            <v>D2.6031a</v>
          </cell>
          <cell r="C346" t="str">
            <v>Lắp đặt xà thép L75x75x8x2000 kép cột đỡ (50,7514 kg/bộ)</v>
          </cell>
          <cell r="D346" t="str">
            <v>bộ</v>
          </cell>
          <cell r="F346">
            <v>380603</v>
          </cell>
          <cell r="G346">
            <v>0</v>
          </cell>
          <cell r="H346">
            <v>0</v>
          </cell>
        </row>
        <row r="347">
          <cell r="A347" t="str">
            <v>LX1660D</v>
          </cell>
          <cell r="B347" t="str">
            <v>D2.6021c</v>
          </cell>
          <cell r="C347" t="str">
            <v>Lắp đặt xà thép L75x75x8x1660 đơn cột đỡ (26,5504 kg/bộ)</v>
          </cell>
          <cell r="D347" t="str">
            <v>bộ</v>
          </cell>
          <cell r="F347">
            <v>286074</v>
          </cell>
          <cell r="G347">
            <v>0</v>
          </cell>
          <cell r="H347">
            <v>0</v>
          </cell>
        </row>
        <row r="348">
          <cell r="A348" t="str">
            <v>LX1660K</v>
          </cell>
          <cell r="B348" t="str">
            <v>D2.6031c</v>
          </cell>
          <cell r="C348" t="str">
            <v>Lắp đặt xà thép L75x75x8x1660 kép cột đỡ (51,5748 kg/bộ)</v>
          </cell>
          <cell r="D348" t="str">
            <v>bộ</v>
          </cell>
          <cell r="F348">
            <v>382876</v>
          </cell>
          <cell r="G348">
            <v>0</v>
          </cell>
          <cell r="H348">
            <v>0</v>
          </cell>
        </row>
        <row r="349">
          <cell r="A349" t="str">
            <v>LX2100D</v>
          </cell>
          <cell r="B349" t="str">
            <v>D2.6021d</v>
          </cell>
          <cell r="C349" t="str">
            <v>Lắp đặt xà thép L75x75x8x2100 đơn cột đỡ (29,4245 kg/bộ)</v>
          </cell>
          <cell r="D349" t="str">
            <v>bộ</v>
          </cell>
          <cell r="F349">
            <v>297271</v>
          </cell>
          <cell r="G349">
            <v>0</v>
          </cell>
          <cell r="H349">
            <v>0</v>
          </cell>
        </row>
        <row r="350">
          <cell r="A350" t="str">
            <v>LX2100K</v>
          </cell>
          <cell r="B350" t="str">
            <v>D2.6031d</v>
          </cell>
          <cell r="C350" t="str">
            <v>Lắp đặt xà thép L75x75x8x2100 kép cột đỡ (58,889 kg/bộ)</v>
          </cell>
          <cell r="D350" t="str">
            <v>bộ</v>
          </cell>
          <cell r="F350">
            <v>402190</v>
          </cell>
          <cell r="G350">
            <v>0</v>
          </cell>
          <cell r="H350">
            <v>0</v>
          </cell>
        </row>
        <row r="351">
          <cell r="A351" t="str">
            <v>LX2200D</v>
          </cell>
          <cell r="B351" t="str">
            <v>D2.6021e</v>
          </cell>
          <cell r="C351" t="str">
            <v>Lắp đặt xà thép L75x75x8x2200 đơn cột đỡ (29,759 kg/bộ)</v>
          </cell>
          <cell r="D351" t="str">
            <v>bộ</v>
          </cell>
          <cell r="F351">
            <v>298670</v>
          </cell>
          <cell r="G351">
            <v>0</v>
          </cell>
          <cell r="H351">
            <v>0</v>
          </cell>
        </row>
        <row r="352">
          <cell r="A352" t="str">
            <v>LX2200K</v>
          </cell>
          <cell r="B352" t="str">
            <v>D2.6032b</v>
          </cell>
          <cell r="C352" t="str">
            <v>Lắp đặt xà thép L75x75x8x2200 kép cột néo (58,628 kg/bộ)</v>
          </cell>
          <cell r="D352" t="str">
            <v>bộ</v>
          </cell>
          <cell r="F352">
            <v>534080</v>
          </cell>
          <cell r="G352">
            <v>0</v>
          </cell>
          <cell r="H352">
            <v>0</v>
          </cell>
        </row>
        <row r="353">
          <cell r="A353" t="str">
            <v>LX2600D</v>
          </cell>
          <cell r="B353" t="str">
            <v>D2.6021e</v>
          </cell>
          <cell r="C353" t="str">
            <v>Lắp đặt xà thép L75x75x8x2600 đơn cột đỡ (29,759 kg/bộ)</v>
          </cell>
          <cell r="D353" t="str">
            <v>bộ</v>
          </cell>
          <cell r="F353">
            <v>534080</v>
          </cell>
          <cell r="G353">
            <v>0</v>
          </cell>
          <cell r="H353">
            <v>0</v>
          </cell>
        </row>
        <row r="354">
          <cell r="A354" t="str">
            <v>LXU160-22D</v>
          </cell>
          <cell r="B354" t="str">
            <v>D2.6021e</v>
          </cell>
          <cell r="C354" t="str">
            <v>Lắp đặt xà tháp U160x68x5x2200 đơn cột đỡ (29,759 kg/bộ)</v>
          </cell>
          <cell r="D354" t="str">
            <v>bộ</v>
          </cell>
          <cell r="F354">
            <v>279916</v>
          </cell>
          <cell r="G354">
            <v>0</v>
          </cell>
          <cell r="H354">
            <v>0</v>
          </cell>
        </row>
        <row r="355">
          <cell r="A355" t="str">
            <v>LXU160-22K</v>
          </cell>
          <cell r="B355" t="str">
            <v>D2.6031b</v>
          </cell>
          <cell r="C355" t="str">
            <v>Lắp đặt xà tháp U160x68x5x2200 kép cột đỡ (76,74 kg/bộ)</v>
          </cell>
          <cell r="D355" t="str">
            <v>bộ</v>
          </cell>
          <cell r="F355">
            <v>449132</v>
          </cell>
          <cell r="G355">
            <v>0</v>
          </cell>
          <cell r="H355">
            <v>0</v>
          </cell>
        </row>
        <row r="356">
          <cell r="A356" t="str">
            <v>LX800D</v>
          </cell>
          <cell r="B356" t="str">
            <v>D2.6021c</v>
          </cell>
          <cell r="C356" t="str">
            <v>Lắp đặt xà thép L75x75x8x800 đơn cột đỡ (13,5504 kg/bộ)</v>
          </cell>
          <cell r="D356" t="str">
            <v>bộ</v>
          </cell>
          <cell r="F356">
            <v>279916</v>
          </cell>
          <cell r="G356">
            <v>0</v>
          </cell>
          <cell r="H356">
            <v>0</v>
          </cell>
        </row>
        <row r="357">
          <cell r="A357" t="str">
            <v>LX800K</v>
          </cell>
          <cell r="B357" t="str">
            <v>D2.6031c</v>
          </cell>
          <cell r="C357" t="str">
            <v>Lắp đặt xà thép L75x75x8x800 kép cột đỡ (26,55 kg/bộ)</v>
          </cell>
          <cell r="D357" t="str">
            <v>bộ</v>
          </cell>
          <cell r="F357">
            <v>378710</v>
          </cell>
          <cell r="G357">
            <v>0</v>
          </cell>
          <cell r="H357">
            <v>0</v>
          </cell>
        </row>
        <row r="358">
          <cell r="A358" t="str">
            <v>LXTBAGA</v>
          </cell>
          <cell r="B358" t="str">
            <v>T4.8002</v>
          </cell>
          <cell r="C358" t="str">
            <v>Lắp bộ đà trạm giàn (S&lt;560kVA) - 145,98kg/bộ</v>
          </cell>
          <cell r="D358" t="str">
            <v>Bộ</v>
          </cell>
          <cell r="F358">
            <v>350727.46055999998</v>
          </cell>
          <cell r="G358">
            <v>0</v>
          </cell>
          <cell r="H358">
            <v>145.97999999999999</v>
          </cell>
        </row>
        <row r="359">
          <cell r="A359" t="str">
            <v>LXTBAG</v>
          </cell>
          <cell r="B359" t="str">
            <v>T4.8002</v>
          </cell>
          <cell r="C359" t="str">
            <v>Lắp bộ đà trạm giàn (S&lt;560kVA) - 145,98kg/bộ</v>
          </cell>
          <cell r="D359" t="str">
            <v>bộ</v>
          </cell>
          <cell r="F359">
            <v>350727.46055999998</v>
          </cell>
          <cell r="G359">
            <v>0</v>
          </cell>
          <cell r="H359">
            <v>145.97999999999999</v>
          </cell>
        </row>
        <row r="360">
          <cell r="A360" t="str">
            <v>LXTBAN</v>
          </cell>
          <cell r="B360" t="str">
            <v>T4.8002</v>
          </cell>
          <cell r="C360" t="str">
            <v>Lắp bộ đà trạm ngồi (S&lt;560kVA) - 186,6kg/bộ</v>
          </cell>
          <cell r="D360" t="str">
            <v>bộ</v>
          </cell>
          <cell r="F360">
            <v>448319.93520000001</v>
          </cell>
          <cell r="G360">
            <v>0</v>
          </cell>
          <cell r="H360">
            <v>186.6</v>
          </cell>
        </row>
        <row r="361">
          <cell r="A361" t="str">
            <v>LX2600DPI3</v>
          </cell>
          <cell r="B361" t="str">
            <v>D2.6021f</v>
          </cell>
          <cell r="C361" t="str">
            <v>Lắp đặt xà thép L75x75x8x2600 đơn (3 ốp) trụ PI (26,35 kg/bộ)</v>
          </cell>
          <cell r="D361" t="str">
            <v>bộ</v>
          </cell>
          <cell r="F361">
            <v>534080</v>
          </cell>
          <cell r="G361">
            <v>0</v>
          </cell>
          <cell r="H361">
            <v>0</v>
          </cell>
        </row>
        <row r="362">
          <cell r="A362" t="str">
            <v>LX2600DPI0</v>
          </cell>
          <cell r="B362" t="str">
            <v>D2.6021g</v>
          </cell>
          <cell r="C362" t="str">
            <v>Lắp đặt xà thép L75x75x8x2600 đơn (0 ốp) trụ PI (24,452 kg/bộ)</v>
          </cell>
          <cell r="D362" t="str">
            <v>bộ</v>
          </cell>
          <cell r="F362">
            <v>534080</v>
          </cell>
          <cell r="G362">
            <v>0</v>
          </cell>
          <cell r="H362">
            <v>0</v>
          </cell>
        </row>
        <row r="363">
          <cell r="A363" t="str">
            <v>LXID</v>
          </cell>
          <cell r="B363" t="str">
            <v>05.6301</v>
          </cell>
          <cell r="C363" t="str">
            <v>Lắp xà trụ ghép ≤ 140kg</v>
          </cell>
          <cell r="D363" t="str">
            <v>bộ</v>
          </cell>
          <cell r="F363">
            <v>0</v>
          </cell>
          <cell r="G363">
            <v>0</v>
          </cell>
          <cell r="H363">
            <v>0</v>
          </cell>
        </row>
        <row r="364">
          <cell r="A364" t="str">
            <v>LXIDL</v>
          </cell>
          <cell r="B364" t="str">
            <v>05.6302</v>
          </cell>
          <cell r="C364" t="str">
            <v>Lắp xà trụ ghép ≤ 230kg</v>
          </cell>
          <cell r="D364" t="str">
            <v>bộ</v>
          </cell>
          <cell r="F364">
            <v>0</v>
          </cell>
          <cell r="G364">
            <v>0</v>
          </cell>
          <cell r="H364">
            <v>0</v>
          </cell>
        </row>
        <row r="365">
          <cell r="A365" t="str">
            <v>LXHN1</v>
          </cell>
          <cell r="B365" t="str">
            <v>05.6044</v>
          </cell>
          <cell r="C365" t="str">
            <v>Lắp xà cột Pi loại ≤140kg/xà</v>
          </cell>
          <cell r="D365" t="str">
            <v>bộ</v>
          </cell>
          <cell r="F365">
            <v>511533</v>
          </cell>
          <cell r="G365">
            <v>0</v>
          </cell>
          <cell r="H365">
            <v>0</v>
          </cell>
        </row>
        <row r="366">
          <cell r="A366" t="str">
            <v>LXHN2</v>
          </cell>
          <cell r="B366" t="str">
            <v>05.6402</v>
          </cell>
          <cell r="C366" t="str">
            <v>Lắp xà cột Pi loại ≤ 230kg/xà</v>
          </cell>
          <cell r="D366" t="str">
            <v>bộ</v>
          </cell>
          <cell r="F366">
            <v>0</v>
          </cell>
          <cell r="G366">
            <v>0</v>
          </cell>
          <cell r="H366">
            <v>0</v>
          </cell>
        </row>
        <row r="367">
          <cell r="A367" t="str">
            <v>LXHN3</v>
          </cell>
          <cell r="B367" t="str">
            <v>05.6403</v>
          </cell>
          <cell r="C367" t="str">
            <v>Lắp xà cột Pi loại ≤ 320kg/xà</v>
          </cell>
          <cell r="D367" t="str">
            <v>bộ</v>
          </cell>
          <cell r="F367">
            <v>0</v>
          </cell>
          <cell r="G367">
            <v>0</v>
          </cell>
          <cell r="H367">
            <v>0</v>
          </cell>
        </row>
        <row r="368">
          <cell r="A368" t="str">
            <v>LDAUCAP70</v>
          </cell>
          <cell r="B368" t="str">
            <v>07.4312</v>
          </cell>
          <cell r="C368" t="str">
            <v>Lắp đầu cáp trung thế 3x50mm2, 70mm2</v>
          </cell>
          <cell r="D368" t="str">
            <v>cái</v>
          </cell>
          <cell r="F368">
            <v>0</v>
          </cell>
          <cell r="G368">
            <v>0</v>
          </cell>
          <cell r="H368">
            <v>0</v>
          </cell>
        </row>
        <row r="369">
          <cell r="A369" t="str">
            <v>LDAUCAP120</v>
          </cell>
          <cell r="B369" t="str">
            <v>07.4313</v>
          </cell>
          <cell r="C369" t="str">
            <v>Lắp đầu cáp trung thế 3x120mm2, 95mm2</v>
          </cell>
          <cell r="D369" t="str">
            <v>cái</v>
          </cell>
          <cell r="F369">
            <v>0</v>
          </cell>
          <cell r="G369">
            <v>0</v>
          </cell>
          <cell r="H369">
            <v>0</v>
          </cell>
        </row>
        <row r="370">
          <cell r="A370" t="str">
            <v>LDAUCAP185</v>
          </cell>
          <cell r="B370" t="str">
            <v>07.4314</v>
          </cell>
          <cell r="C370" t="str">
            <v>Lắp đầu cáp trung thế 3x150mm2, 185mm2</v>
          </cell>
          <cell r="D370" t="str">
            <v>cái</v>
          </cell>
          <cell r="F370">
            <v>0</v>
          </cell>
          <cell r="G370">
            <v>0</v>
          </cell>
          <cell r="H370">
            <v>0</v>
          </cell>
        </row>
        <row r="371">
          <cell r="A371" t="str">
            <v>LDAUCAP70HT</v>
          </cell>
          <cell r="B371" t="str">
            <v>07.4102</v>
          </cell>
          <cell r="C371" t="str">
            <v>Lắp đầu cáp hạ thế 3x50mm2, 70mm2</v>
          </cell>
          <cell r="D371" t="str">
            <v>cái</v>
          </cell>
          <cell r="F371">
            <v>0</v>
          </cell>
          <cell r="G371">
            <v>0</v>
          </cell>
          <cell r="H371">
            <v>0</v>
          </cell>
        </row>
        <row r="372">
          <cell r="A372" t="str">
            <v>LDAUCAP120HT</v>
          </cell>
          <cell r="B372" t="str">
            <v>07.4103</v>
          </cell>
          <cell r="C372" t="str">
            <v>Lắp đầu cáp hạ thế 3x120mm2, 95mm2</v>
          </cell>
          <cell r="D372" t="str">
            <v>cái</v>
          </cell>
          <cell r="F372">
            <v>0</v>
          </cell>
          <cell r="G372">
            <v>0</v>
          </cell>
          <cell r="H372">
            <v>0</v>
          </cell>
        </row>
        <row r="373">
          <cell r="A373" t="str">
            <v>LDAUCAP185HT</v>
          </cell>
          <cell r="B373" t="str">
            <v>07.4104</v>
          </cell>
          <cell r="C373" t="str">
            <v>Lắp đầu cáp hạ thế 3x150mm2, 185mm2</v>
          </cell>
          <cell r="D373" t="str">
            <v>cái</v>
          </cell>
          <cell r="F373">
            <v>0</v>
          </cell>
          <cell r="G373">
            <v>0</v>
          </cell>
          <cell r="H373">
            <v>0</v>
          </cell>
        </row>
        <row r="374">
          <cell r="A374" t="str">
            <v>XLCD</v>
          </cell>
          <cell r="B374" t="str">
            <v>06.2110</v>
          </cell>
          <cell r="C374" t="str">
            <v>Lắp cổ dề</v>
          </cell>
          <cell r="D374" t="str">
            <v>cái</v>
          </cell>
          <cell r="F374">
            <v>0</v>
          </cell>
          <cell r="G374">
            <v>0</v>
          </cell>
          <cell r="H374">
            <v>0</v>
          </cell>
        </row>
        <row r="375">
          <cell r="A375" t="str">
            <v>LBAKE</v>
          </cell>
          <cell r="C375" t="str">
            <v>Lắp tấm bakelit</v>
          </cell>
          <cell r="F375">
            <v>0</v>
          </cell>
          <cell r="G375">
            <v>0</v>
          </cell>
          <cell r="H375">
            <v>0</v>
          </cell>
        </row>
        <row r="376">
          <cell r="A376" t="str">
            <v>LCHI</v>
          </cell>
          <cell r="C376" t="str">
            <v>Lắp cầu chì 5A</v>
          </cell>
          <cell r="F376">
            <v>0</v>
          </cell>
          <cell r="G376">
            <v>0</v>
          </cell>
          <cell r="H376">
            <v>0</v>
          </cell>
        </row>
        <row r="377">
          <cell r="A377" t="str">
            <v>LCSD</v>
          </cell>
          <cell r="B377" t="str">
            <v>06.2110</v>
          </cell>
          <cell r="C377" t="str">
            <v>Lắp chân sứ đỉnh</v>
          </cell>
          <cell r="D377" t="str">
            <v>cái</v>
          </cell>
          <cell r="F377">
            <v>0</v>
          </cell>
          <cell r="G377">
            <v>0</v>
          </cell>
          <cell r="H377">
            <v>0</v>
          </cell>
        </row>
        <row r="378">
          <cell r="A378" t="str">
            <v>LCL</v>
          </cell>
          <cell r="B378" t="str">
            <v>05.6011</v>
          </cell>
          <cell r="C378" t="str">
            <v>Lắp bộ chống lệch</v>
          </cell>
          <cell r="D378" t="str">
            <v>bộ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LDN</v>
          </cell>
          <cell r="B379" t="str">
            <v>D3.3251</v>
          </cell>
          <cell r="C379" t="str">
            <v>Lắp bộ dây néo</v>
          </cell>
          <cell r="D379" t="str">
            <v>bộ</v>
          </cell>
          <cell r="F379">
            <v>106623</v>
          </cell>
          <cell r="G379">
            <v>0</v>
          </cell>
          <cell r="H379">
            <v>0</v>
          </cell>
        </row>
        <row r="380">
          <cell r="A380" t="str">
            <v>NXOE</v>
          </cell>
          <cell r="B380" t="str">
            <v>04.3801</v>
          </cell>
          <cell r="C380" t="str">
            <v>Đặt neo xòe 8 hướng (dày 3,2mm)</v>
          </cell>
          <cell r="D380" t="str">
            <v>cái</v>
          </cell>
          <cell r="F380">
            <v>0</v>
          </cell>
          <cell r="G380">
            <v>0</v>
          </cell>
          <cell r="H380">
            <v>0</v>
          </cell>
        </row>
        <row r="381">
          <cell r="A381" t="str">
            <v>LDN0212</v>
          </cell>
          <cell r="B381" t="str">
            <v>04.3801</v>
          </cell>
          <cell r="C381" t="str">
            <v>Đặt đế néo BTCT 200x1200</v>
          </cell>
          <cell r="D381" t="str">
            <v>cái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LDN0412</v>
          </cell>
          <cell r="B382" t="str">
            <v>04.3801</v>
          </cell>
          <cell r="C382" t="str">
            <v>Đặt đế néo BTCT 400x1200</v>
          </cell>
          <cell r="D382" t="str">
            <v>cái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LDN0415</v>
          </cell>
          <cell r="B383" t="str">
            <v>04.3802</v>
          </cell>
          <cell r="C383" t="str">
            <v>Đặt đế néo BTCT 400x1500</v>
          </cell>
          <cell r="D383" t="str">
            <v>cái</v>
          </cell>
          <cell r="F383">
            <v>0</v>
          </cell>
          <cell r="G383">
            <v>0</v>
          </cell>
          <cell r="H383">
            <v>0</v>
          </cell>
        </row>
        <row r="384">
          <cell r="A384" t="str">
            <v>LDN0615</v>
          </cell>
          <cell r="B384" t="str">
            <v>04.3802</v>
          </cell>
          <cell r="C384" t="str">
            <v>Đặt đế néo BTCT 600x1500</v>
          </cell>
          <cell r="D384" t="str">
            <v>cái</v>
          </cell>
          <cell r="F384">
            <v>0</v>
          </cell>
          <cell r="G384">
            <v>0</v>
          </cell>
          <cell r="H384">
            <v>0</v>
          </cell>
        </row>
        <row r="385">
          <cell r="A385" t="str">
            <v>LDN4</v>
          </cell>
          <cell r="B385" t="str">
            <v>04.3801</v>
          </cell>
          <cell r="C385" t="str">
            <v>Đặt đế néo BTCT 500x1200</v>
          </cell>
          <cell r="D385" t="str">
            <v>cái</v>
          </cell>
          <cell r="F385">
            <v>0</v>
          </cell>
          <cell r="G385">
            <v>0</v>
          </cell>
          <cell r="H385">
            <v>0</v>
          </cell>
        </row>
        <row r="386">
          <cell r="A386" t="str">
            <v>LDN6</v>
          </cell>
          <cell r="B386" t="str">
            <v>04.3802</v>
          </cell>
          <cell r="C386" t="str">
            <v>Đặt đế néo BTCT 500x1500</v>
          </cell>
          <cell r="D386" t="str">
            <v>cái</v>
          </cell>
          <cell r="F386">
            <v>0</v>
          </cell>
          <cell r="G386">
            <v>0</v>
          </cell>
          <cell r="H386">
            <v>0</v>
          </cell>
        </row>
        <row r="387">
          <cell r="A387" t="str">
            <v>DBT10046</v>
          </cell>
          <cell r="B387" t="str">
            <v>04.3112</v>
          </cell>
          <cell r="C387" t="str">
            <v>Đổ bê tông mác M100 đá 4x6</v>
          </cell>
          <cell r="D387" t="str">
            <v>m3</v>
          </cell>
          <cell r="F387">
            <v>0</v>
          </cell>
          <cell r="G387">
            <v>0</v>
          </cell>
          <cell r="H387">
            <v>0</v>
          </cell>
        </row>
        <row r="388">
          <cell r="A388" t="str">
            <v>DBT15012</v>
          </cell>
          <cell r="B388" t="str">
            <v>AF.11210</v>
          </cell>
          <cell r="C388" t="str">
            <v xml:space="preserve">Đổ bê tông mác M150 </v>
          </cell>
          <cell r="D388" t="str">
            <v>m3</v>
          </cell>
          <cell r="F388">
            <v>293475</v>
          </cell>
          <cell r="G388">
            <v>25982</v>
          </cell>
          <cell r="H388">
            <v>0</v>
          </cell>
        </row>
        <row r="389">
          <cell r="A389" t="str">
            <v>DBT20012</v>
          </cell>
          <cell r="B389" t="str">
            <v>AF.11210</v>
          </cell>
          <cell r="C389" t="str">
            <v>Đổ bê tông mác M200 đá 1x2</v>
          </cell>
          <cell r="D389" t="str">
            <v>m3</v>
          </cell>
          <cell r="F389">
            <v>293475</v>
          </cell>
          <cell r="G389">
            <v>44701</v>
          </cell>
          <cell r="H389">
            <v>0</v>
          </cell>
        </row>
        <row r="390">
          <cell r="A390" t="str">
            <v>LCT10</v>
          </cell>
          <cell r="B390" t="str">
            <v>04.1101</v>
          </cell>
          <cell r="C390" t="str">
            <v>Gia công và lắp dựng cốt thép D&lt;=10</v>
          </cell>
          <cell r="D390" t="str">
            <v>kg</v>
          </cell>
          <cell r="F390">
            <v>0</v>
          </cell>
          <cell r="G390">
            <v>0</v>
          </cell>
          <cell r="H390">
            <v>0</v>
          </cell>
        </row>
        <row r="391">
          <cell r="A391" t="str">
            <v>LCT18</v>
          </cell>
          <cell r="B391" t="str">
            <v>04.1102</v>
          </cell>
          <cell r="C391" t="str">
            <v>Gia công và lắp dựng cốt thép D&lt;=18</v>
          </cell>
          <cell r="D391" t="str">
            <v>kg</v>
          </cell>
          <cell r="F391">
            <v>0</v>
          </cell>
          <cell r="G391">
            <v>0</v>
          </cell>
          <cell r="H391">
            <v>0</v>
          </cell>
        </row>
        <row r="392">
          <cell r="A392" t="str">
            <v>LCT&gt;18</v>
          </cell>
          <cell r="B392" t="str">
            <v>04.1103</v>
          </cell>
          <cell r="C392" t="str">
            <v>Gia công và lắp dựng cốt thép D&gt;18</v>
          </cell>
          <cell r="D392" t="str">
            <v>kg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LDVANK</v>
          </cell>
          <cell r="B393" t="str">
            <v>04.2001</v>
          </cell>
          <cell r="C393" t="str">
            <v>Gia công và lắp dựng ván khuôn</v>
          </cell>
          <cell r="D393" t="str">
            <v>m2</v>
          </cell>
          <cell r="F393">
            <v>0</v>
          </cell>
          <cell r="G393">
            <v>0</v>
          </cell>
          <cell r="H393">
            <v>0</v>
          </cell>
        </row>
        <row r="394">
          <cell r="A394" t="str">
            <v>KDA35</v>
          </cell>
          <cell r="B394" t="str">
            <v>06.6123</v>
          </cell>
          <cell r="C394" t="str">
            <v>Kéo dây nhôm cỡ dây 35mm2</v>
          </cell>
          <cell r="D394" t="str">
            <v>km</v>
          </cell>
          <cell r="F394">
            <v>0</v>
          </cell>
          <cell r="G394">
            <v>0</v>
          </cell>
          <cell r="H394">
            <v>0</v>
          </cell>
        </row>
        <row r="395">
          <cell r="A395" t="str">
            <v>KDA50</v>
          </cell>
          <cell r="B395" t="str">
            <v>06.6124</v>
          </cell>
          <cell r="C395" t="str">
            <v>Kéo dây nhôm cỡ dây 50mm2</v>
          </cell>
          <cell r="D395" t="str">
            <v>km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KDA70</v>
          </cell>
          <cell r="B396" t="str">
            <v>06.6125</v>
          </cell>
          <cell r="C396" t="str">
            <v>Kéo dây nhôm cỡ dây 70mm2</v>
          </cell>
          <cell r="D396" t="str">
            <v>km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KDA95</v>
          </cell>
          <cell r="B397" t="str">
            <v>06.6126</v>
          </cell>
          <cell r="C397" t="str">
            <v>Kéo dây nhôm cỡ dây 95mm2</v>
          </cell>
          <cell r="D397" t="str">
            <v>km</v>
          </cell>
          <cell r="F397">
            <v>0</v>
          </cell>
          <cell r="G397">
            <v>0</v>
          </cell>
          <cell r="H397">
            <v>0</v>
          </cell>
        </row>
        <row r="398">
          <cell r="A398" t="str">
            <v>KDA35B</v>
          </cell>
          <cell r="B398" t="str">
            <v>06.6103</v>
          </cell>
          <cell r="C398" t="str">
            <v>Kéo dây nhôm bọc 35mm2</v>
          </cell>
          <cell r="D398" t="str">
            <v>km</v>
          </cell>
          <cell r="F398">
            <v>0</v>
          </cell>
          <cell r="G398">
            <v>0</v>
          </cell>
          <cell r="H398">
            <v>0</v>
          </cell>
        </row>
        <row r="399">
          <cell r="A399" t="str">
            <v>KDA50B</v>
          </cell>
          <cell r="B399" t="str">
            <v>06.6104</v>
          </cell>
          <cell r="C399" t="str">
            <v>Kéo dây nhôm bọc 50mm2</v>
          </cell>
          <cell r="D399" t="str">
            <v>km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KDA70B</v>
          </cell>
          <cell r="B400" t="str">
            <v>06.6105</v>
          </cell>
          <cell r="C400" t="str">
            <v>Kéo dây nhôm bọc 70mm2</v>
          </cell>
          <cell r="D400" t="str">
            <v>km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KDA95B</v>
          </cell>
          <cell r="B401" t="str">
            <v>06.6106</v>
          </cell>
          <cell r="C401" t="str">
            <v>Kéo dây nhôm bọc 95mm2</v>
          </cell>
          <cell r="D401" t="str">
            <v>km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KDA120B</v>
          </cell>
          <cell r="B402" t="str">
            <v>06.6107</v>
          </cell>
          <cell r="C402" t="str">
            <v>Kéo dây nhôm bọc 120mm2</v>
          </cell>
          <cell r="D402" t="str">
            <v>km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KDA150B</v>
          </cell>
          <cell r="B403" t="str">
            <v>06.6108</v>
          </cell>
          <cell r="C403" t="str">
            <v>Kéo dây nhôm bọc 150mm2</v>
          </cell>
          <cell r="D403" t="str">
            <v>km</v>
          </cell>
          <cell r="F403">
            <v>0</v>
          </cell>
          <cell r="G403">
            <v>0</v>
          </cell>
          <cell r="H403">
            <v>0</v>
          </cell>
        </row>
        <row r="404">
          <cell r="A404" t="str">
            <v>KDA185B</v>
          </cell>
          <cell r="B404" t="str">
            <v>06.6109</v>
          </cell>
          <cell r="C404" t="str">
            <v>Kéo dây nhôm bọc 185mm2</v>
          </cell>
          <cell r="D404" t="str">
            <v>km</v>
          </cell>
          <cell r="F404">
            <v>0</v>
          </cell>
          <cell r="G404">
            <v>0</v>
          </cell>
          <cell r="H404">
            <v>0</v>
          </cell>
        </row>
        <row r="405">
          <cell r="A405" t="str">
            <v>KDA240B</v>
          </cell>
          <cell r="B405" t="str">
            <v>06.6110</v>
          </cell>
          <cell r="C405" t="str">
            <v>Kéo dây nhôm bọc 240mm2</v>
          </cell>
          <cell r="D405" t="str">
            <v>km</v>
          </cell>
          <cell r="F405">
            <v>0</v>
          </cell>
          <cell r="G405">
            <v>0</v>
          </cell>
          <cell r="H405">
            <v>0</v>
          </cell>
        </row>
        <row r="406">
          <cell r="A406" t="str">
            <v>KDAABC50</v>
          </cell>
          <cell r="B406" t="str">
            <v>D3.6304</v>
          </cell>
          <cell r="C406" t="str">
            <v>Kéo dây ABC 4x50mm2</v>
          </cell>
          <cell r="D406" t="str">
            <v>km</v>
          </cell>
          <cell r="F406">
            <v>5651019</v>
          </cell>
          <cell r="G406">
            <v>0</v>
          </cell>
          <cell r="H406">
            <v>0</v>
          </cell>
        </row>
        <row r="407">
          <cell r="A407" t="str">
            <v>KDAABC70</v>
          </cell>
          <cell r="B407" t="str">
            <v>D3.6305</v>
          </cell>
          <cell r="C407" t="str">
            <v>Kéo dây ABC 4x70mm2</v>
          </cell>
          <cell r="D407" t="str">
            <v>km</v>
          </cell>
          <cell r="F407">
            <v>6669861</v>
          </cell>
          <cell r="G407">
            <v>0</v>
          </cell>
          <cell r="H407">
            <v>0</v>
          </cell>
        </row>
        <row r="408">
          <cell r="A408" t="str">
            <v>KDAABC95</v>
          </cell>
          <cell r="B408" t="str">
            <v>D3.6306</v>
          </cell>
          <cell r="C408" t="str">
            <v>Kéo dây ABC 4x95mm2</v>
          </cell>
          <cell r="D408" t="str">
            <v>km</v>
          </cell>
          <cell r="F408">
            <v>9250138</v>
          </cell>
          <cell r="G408">
            <v>0</v>
          </cell>
          <cell r="H408">
            <v>0</v>
          </cell>
        </row>
        <row r="409">
          <cell r="A409" t="str">
            <v>KDAABC120</v>
          </cell>
          <cell r="B409" t="str">
            <v>D3.6307</v>
          </cell>
          <cell r="C409" t="str">
            <v>Kéo dây ABC 4x120mm2 (&lt;10m)</v>
          </cell>
          <cell r="D409" t="str">
            <v>km</v>
          </cell>
          <cell r="F409">
            <v>8548321</v>
          </cell>
          <cell r="G409">
            <v>0</v>
          </cell>
          <cell r="H409">
            <v>0</v>
          </cell>
        </row>
        <row r="410">
          <cell r="A410" t="str">
            <v>KDAABC150</v>
          </cell>
          <cell r="B410" t="str">
            <v>D3.6308</v>
          </cell>
          <cell r="C410" t="str">
            <v>Kéo dây ABC 4x150mm2</v>
          </cell>
          <cell r="D410" t="str">
            <v>km</v>
          </cell>
          <cell r="F410">
            <v>14654739</v>
          </cell>
          <cell r="G410">
            <v>0</v>
          </cell>
          <cell r="H410">
            <v>0</v>
          </cell>
        </row>
        <row r="411">
          <cell r="A411" t="str">
            <v>KDAABC703</v>
          </cell>
          <cell r="B411" t="str">
            <v>D3.6305</v>
          </cell>
          <cell r="C411" t="str">
            <v>Kéo dây ABC 3x70mm2</v>
          </cell>
          <cell r="D411" t="str">
            <v>km</v>
          </cell>
          <cell r="F411">
            <v>5669382</v>
          </cell>
          <cell r="G411">
            <v>0</v>
          </cell>
          <cell r="H411">
            <v>0</v>
          </cell>
        </row>
        <row r="412">
          <cell r="A412" t="str">
            <v>KDAABC953</v>
          </cell>
          <cell r="B412" t="str">
            <v>D3.6306</v>
          </cell>
          <cell r="C412" t="str">
            <v>Kéo dây ABC 3x95mm2</v>
          </cell>
          <cell r="D412" t="str">
            <v>km</v>
          </cell>
          <cell r="F412">
            <v>7862617</v>
          </cell>
          <cell r="G412">
            <v>0</v>
          </cell>
          <cell r="H412">
            <v>0</v>
          </cell>
        </row>
        <row r="413">
          <cell r="A413" t="str">
            <v>KDAABC1203</v>
          </cell>
          <cell r="B413" t="str">
            <v>D3.6307</v>
          </cell>
          <cell r="C413" t="str">
            <v>Kéo dây ABC 3x120mm2 (&lt;10m)</v>
          </cell>
          <cell r="D413" t="str">
            <v>km</v>
          </cell>
          <cell r="F413">
            <v>7266073</v>
          </cell>
          <cell r="G413">
            <v>0</v>
          </cell>
          <cell r="H413">
            <v>0</v>
          </cell>
        </row>
        <row r="414">
          <cell r="A414" t="str">
            <v>KDAABC1503</v>
          </cell>
          <cell r="B414" t="str">
            <v>D3.6308</v>
          </cell>
          <cell r="C414" t="str">
            <v>Kéo dây ABC 3x150mm2</v>
          </cell>
          <cell r="D414" t="str">
            <v>km</v>
          </cell>
          <cell r="F414">
            <v>12456528</v>
          </cell>
          <cell r="G414">
            <v>0</v>
          </cell>
          <cell r="H414">
            <v>0</v>
          </cell>
        </row>
        <row r="415">
          <cell r="A415" t="str">
            <v>KDAC35</v>
          </cell>
          <cell r="B415" t="str">
            <v>06.6103</v>
          </cell>
          <cell r="C415" t="str">
            <v>Kéo dây nhôm lõi thép cỡ dây 35mm2</v>
          </cell>
          <cell r="D415" t="str">
            <v>km</v>
          </cell>
          <cell r="F415">
            <v>0</v>
          </cell>
          <cell r="G415">
            <v>0</v>
          </cell>
          <cell r="H415">
            <v>0</v>
          </cell>
        </row>
        <row r="416">
          <cell r="A416" t="str">
            <v>KDAC50</v>
          </cell>
          <cell r="B416" t="str">
            <v>D3.6211</v>
          </cell>
          <cell r="C416" t="str">
            <v>Kéo dây nhôm lõi thép cỡ dây 50mm2</v>
          </cell>
          <cell r="D416" t="str">
            <v>km</v>
          </cell>
          <cell r="F416">
            <v>1577041</v>
          </cell>
          <cell r="G416">
            <v>142765</v>
          </cell>
          <cell r="H416">
            <v>0</v>
          </cell>
        </row>
        <row r="417">
          <cell r="A417" t="str">
            <v>KDAC70</v>
          </cell>
          <cell r="B417" t="str">
            <v>D3.6211</v>
          </cell>
          <cell r="C417" t="str">
            <v>Kéo dây nhôm lõi thép cỡ dây 70mm2</v>
          </cell>
          <cell r="D417" t="str">
            <v>km</v>
          </cell>
          <cell r="F417">
            <v>1577041</v>
          </cell>
          <cell r="G417">
            <v>142765</v>
          </cell>
          <cell r="H417">
            <v>0</v>
          </cell>
        </row>
        <row r="418">
          <cell r="A418" t="str">
            <v>KDAC95</v>
          </cell>
          <cell r="B418" t="str">
            <v>D3.6212</v>
          </cell>
          <cell r="C418" t="str">
            <v>Kéo dây nhôm lõi thép cỡ dây 95mm2</v>
          </cell>
          <cell r="D418" t="str">
            <v>km</v>
          </cell>
          <cell r="F418">
            <v>2140657</v>
          </cell>
          <cell r="G418">
            <v>193511</v>
          </cell>
          <cell r="H418">
            <v>0</v>
          </cell>
        </row>
        <row r="419">
          <cell r="A419" t="str">
            <v>KDAC50T</v>
          </cell>
          <cell r="B419" t="str">
            <v>06.6114</v>
          </cell>
          <cell r="C419" t="str">
            <v>Kéo dây nhôm lõi thép cỡ dây 50mm2 (TC)</v>
          </cell>
          <cell r="D419" t="str">
            <v>km</v>
          </cell>
          <cell r="F419">
            <v>2665338</v>
          </cell>
          <cell r="G419">
            <v>0</v>
          </cell>
          <cell r="H419">
            <v>0</v>
          </cell>
        </row>
        <row r="420">
          <cell r="A420" t="str">
            <v>KDAC70T</v>
          </cell>
          <cell r="B420" t="str">
            <v>06.6115</v>
          </cell>
          <cell r="C420" t="str">
            <v>Kéo dây nhôm lõi thép cỡ dây 70mm2 (TC)</v>
          </cell>
          <cell r="D420" t="str">
            <v>km</v>
          </cell>
          <cell r="F420">
            <v>5087102</v>
          </cell>
          <cell r="G420">
            <v>0</v>
          </cell>
          <cell r="H420">
            <v>0</v>
          </cell>
        </row>
        <row r="421">
          <cell r="A421" t="str">
            <v>KDAC95T</v>
          </cell>
          <cell r="B421" t="str">
            <v>06.6116</v>
          </cell>
          <cell r="C421" t="str">
            <v>Kéo dây nhôm lõi thép cỡ dây 95mm2 (TC)</v>
          </cell>
          <cell r="D421" t="str">
            <v>km</v>
          </cell>
          <cell r="F421">
            <v>6928126</v>
          </cell>
          <cell r="G421">
            <v>0</v>
          </cell>
          <cell r="H421">
            <v>0</v>
          </cell>
        </row>
        <row r="422">
          <cell r="A422" t="str">
            <v>KDAC120</v>
          </cell>
          <cell r="B422" t="str">
            <v>06.6161</v>
          </cell>
          <cell r="C422" t="str">
            <v>Kéo dây nhôm lõi thép cỡ dây 120mm2</v>
          </cell>
          <cell r="D422" t="str">
            <v>km</v>
          </cell>
          <cell r="F422">
            <v>0</v>
          </cell>
          <cell r="G422">
            <v>0</v>
          </cell>
          <cell r="H422">
            <v>0</v>
          </cell>
        </row>
        <row r="423">
          <cell r="A423" t="str">
            <v>KDAC150</v>
          </cell>
          <cell r="B423" t="str">
            <v>06.6162</v>
          </cell>
          <cell r="C423" t="str">
            <v>Kéo dây nhôm lõi thép cỡ dây 150mm2</v>
          </cell>
          <cell r="D423" t="str">
            <v>km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KDACXV150</v>
          </cell>
          <cell r="B424" t="str">
            <v>06.6252</v>
          </cell>
          <cell r="C424" t="str">
            <v>Kéo dây nhôm lõi thép bọc XLPE cỡ dây 150mm2</v>
          </cell>
          <cell r="D424" t="str">
            <v>km</v>
          </cell>
          <cell r="F424">
            <v>0</v>
          </cell>
          <cell r="G424">
            <v>0</v>
          </cell>
          <cell r="H424">
            <v>0</v>
          </cell>
        </row>
        <row r="425">
          <cell r="A425" t="str">
            <v>KDAC185</v>
          </cell>
          <cell r="B425" t="str">
            <v>06.6163</v>
          </cell>
          <cell r="C425" t="str">
            <v>Kéo dây nhôm lõi thép cỡ dây 185mm2</v>
          </cell>
          <cell r="D425" t="str">
            <v>km</v>
          </cell>
          <cell r="F425">
            <v>0</v>
          </cell>
          <cell r="G425">
            <v>0</v>
          </cell>
          <cell r="H425">
            <v>0</v>
          </cell>
        </row>
        <row r="426">
          <cell r="A426" t="str">
            <v>KDAC240</v>
          </cell>
          <cell r="B426" t="str">
            <v>06.6164</v>
          </cell>
          <cell r="C426" t="str">
            <v>Kéo dây nhôm lõi thép cỡ dây 240mm2</v>
          </cell>
          <cell r="D426" t="str">
            <v>km</v>
          </cell>
          <cell r="F426">
            <v>0</v>
          </cell>
          <cell r="G426">
            <v>0</v>
          </cell>
          <cell r="H426">
            <v>0</v>
          </cell>
        </row>
        <row r="427">
          <cell r="A427" t="str">
            <v>KDAC50B</v>
          </cell>
          <cell r="B427" t="str">
            <v>D3.6211</v>
          </cell>
          <cell r="C427" t="str">
            <v>Kéo dây nhôm lõi thép bọc XLPE cỡ dây 50mm2</v>
          </cell>
          <cell r="D427" t="str">
            <v>km</v>
          </cell>
          <cell r="F427">
            <v>2478208</v>
          </cell>
          <cell r="G427">
            <v>157041</v>
          </cell>
          <cell r="H427">
            <v>0</v>
          </cell>
        </row>
        <row r="428">
          <cell r="A428" t="str">
            <v>KDAC70B</v>
          </cell>
          <cell r="B428" t="str">
            <v>D3.6211</v>
          </cell>
          <cell r="C428" t="str">
            <v>Kéo dây nhôm lõi thép bọc XLPE cỡ dây 70mm2</v>
          </cell>
          <cell r="D428" t="str">
            <v>km</v>
          </cell>
          <cell r="F428">
            <v>2478208</v>
          </cell>
          <cell r="G428">
            <v>157041</v>
          </cell>
          <cell r="H428">
            <v>0</v>
          </cell>
        </row>
        <row r="429">
          <cell r="A429" t="str">
            <v>KDAC95B</v>
          </cell>
          <cell r="B429" t="str">
            <v>D3.6212</v>
          </cell>
          <cell r="C429" t="str">
            <v>Kéo dây nhôm lõi thép bọc XLPE cỡ dây 95mm2</v>
          </cell>
          <cell r="D429" t="str">
            <v>km</v>
          </cell>
          <cell r="F429">
            <v>3363890</v>
          </cell>
          <cell r="G429">
            <v>212862</v>
          </cell>
          <cell r="H429">
            <v>0</v>
          </cell>
        </row>
        <row r="430">
          <cell r="A430" t="str">
            <v>KDAC50BT</v>
          </cell>
          <cell r="B430" t="str">
            <v>D3.6114</v>
          </cell>
          <cell r="C430" t="str">
            <v>Kéo dây nhôm lõi thép bọc XLPE cỡ dây 50mm2 (TC)</v>
          </cell>
          <cell r="D430" t="str">
            <v>km</v>
          </cell>
          <cell r="F430">
            <v>3807626</v>
          </cell>
          <cell r="G430">
            <v>0</v>
          </cell>
          <cell r="H430">
            <v>0</v>
          </cell>
        </row>
        <row r="431">
          <cell r="A431" t="str">
            <v>KDAC70BT</v>
          </cell>
          <cell r="B431" t="str">
            <v>D3.6115</v>
          </cell>
          <cell r="C431" t="str">
            <v>Kéo dây nhôm lõi thép bọc XLPE cỡ dây 70mm2 (TC)</v>
          </cell>
          <cell r="D431" t="str">
            <v>km</v>
          </cell>
          <cell r="F431">
            <v>5087102</v>
          </cell>
          <cell r="G431">
            <v>0</v>
          </cell>
          <cell r="H431">
            <v>0</v>
          </cell>
        </row>
        <row r="432">
          <cell r="A432" t="str">
            <v>KDAC95BT</v>
          </cell>
          <cell r="B432" t="str">
            <v>D3.6116</v>
          </cell>
          <cell r="C432" t="str">
            <v>Kéo dây nhôm lõi thép bọc XLPE cỡ dây 95mm2 (TC)</v>
          </cell>
          <cell r="D432" t="str">
            <v>km</v>
          </cell>
          <cell r="F432">
            <v>6928126</v>
          </cell>
          <cell r="G432">
            <v>0</v>
          </cell>
          <cell r="H432">
            <v>0</v>
          </cell>
        </row>
        <row r="433">
          <cell r="A433" t="str">
            <v>KDAC120B</v>
          </cell>
          <cell r="B433" t="str">
            <v>D3.6251</v>
          </cell>
          <cell r="C433" t="str">
            <v>Kéo dây nhôm lõi thép bọc XLPE cỡ dây 120mm2</v>
          </cell>
          <cell r="D433" t="str">
            <v>km</v>
          </cell>
          <cell r="F433">
            <v>0</v>
          </cell>
          <cell r="G433">
            <v>0</v>
          </cell>
          <cell r="H433">
            <v>0</v>
          </cell>
        </row>
        <row r="434">
          <cell r="A434" t="str">
            <v>KDAC150B</v>
          </cell>
          <cell r="B434" t="str">
            <v>D3.6252</v>
          </cell>
          <cell r="C434" t="str">
            <v>Kéo dây nhôm lõi thép bọc XLPE cỡ dây 150mm2</v>
          </cell>
          <cell r="D434" t="str">
            <v>km</v>
          </cell>
          <cell r="F434">
            <v>0</v>
          </cell>
          <cell r="G434">
            <v>0</v>
          </cell>
          <cell r="H434">
            <v>0</v>
          </cell>
        </row>
        <row r="435">
          <cell r="A435" t="str">
            <v>KDAC185B</v>
          </cell>
          <cell r="B435" t="str">
            <v>D3.6252</v>
          </cell>
          <cell r="C435" t="str">
            <v>Kéo dây nhôm lõi thép bọc XLPE cỡ dây 185mm2</v>
          </cell>
          <cell r="D435" t="str">
            <v>km</v>
          </cell>
          <cell r="F435">
            <v>0</v>
          </cell>
          <cell r="G435">
            <v>0</v>
          </cell>
          <cell r="H435">
            <v>0</v>
          </cell>
        </row>
        <row r="436">
          <cell r="A436" t="str">
            <v>KDM22</v>
          </cell>
          <cell r="B436" t="str">
            <v>06.6142</v>
          </cell>
          <cell r="C436" t="str">
            <v>Kéo dây đồng trần 22mm2</v>
          </cell>
          <cell r="D436" t="str">
            <v>km</v>
          </cell>
          <cell r="F436">
            <v>2717702</v>
          </cell>
          <cell r="G436">
            <v>0</v>
          </cell>
          <cell r="H436">
            <v>0</v>
          </cell>
        </row>
        <row r="437">
          <cell r="A437" t="str">
            <v>KDM25</v>
          </cell>
          <cell r="B437" t="str">
            <v>06.6142</v>
          </cell>
          <cell r="C437" t="str">
            <v>Kéo dây đồng trần 25mm2</v>
          </cell>
          <cell r="D437" t="str">
            <v>km</v>
          </cell>
          <cell r="F437">
            <v>2717702</v>
          </cell>
          <cell r="G437">
            <v>0</v>
          </cell>
          <cell r="H437">
            <v>0</v>
          </cell>
        </row>
        <row r="438">
          <cell r="A438" t="str">
            <v>KDM35</v>
          </cell>
          <cell r="B438" t="str">
            <v>06.6143</v>
          </cell>
          <cell r="C438" t="str">
            <v>Kéo dây đồng trần 35mm2</v>
          </cell>
          <cell r="D438" t="str">
            <v>km</v>
          </cell>
          <cell r="F438">
            <v>3757868</v>
          </cell>
          <cell r="G438">
            <v>0</v>
          </cell>
          <cell r="H438">
            <v>0</v>
          </cell>
        </row>
        <row r="439">
          <cell r="A439" t="str">
            <v>KDM48</v>
          </cell>
          <cell r="B439" t="str">
            <v>06.6144</v>
          </cell>
          <cell r="C439" t="str">
            <v>Kéo dây đồng trần 48mm2</v>
          </cell>
          <cell r="D439" t="str">
            <v>km</v>
          </cell>
          <cell r="F439">
            <v>4909397</v>
          </cell>
          <cell r="G439">
            <v>0</v>
          </cell>
          <cell r="H439">
            <v>0</v>
          </cell>
        </row>
        <row r="440">
          <cell r="A440" t="str">
            <v>KDM50</v>
          </cell>
          <cell r="B440" t="str">
            <v>06.6144</v>
          </cell>
          <cell r="C440" t="str">
            <v>Kéo dây đồng trần 50mm2</v>
          </cell>
          <cell r="D440" t="str">
            <v>km</v>
          </cell>
          <cell r="F440">
            <v>4909397</v>
          </cell>
          <cell r="G440">
            <v>0</v>
          </cell>
          <cell r="H440">
            <v>0</v>
          </cell>
        </row>
        <row r="441">
          <cell r="A441" t="str">
            <v>KDM70</v>
          </cell>
          <cell r="B441" t="str">
            <v>06.6145</v>
          </cell>
          <cell r="C441" t="str">
            <v>Kéo dây đồng trần 70mm2</v>
          </cell>
          <cell r="D441" t="str">
            <v>km</v>
          </cell>
          <cell r="F441">
            <v>6612995</v>
          </cell>
          <cell r="G441">
            <v>0</v>
          </cell>
          <cell r="H441">
            <v>0</v>
          </cell>
        </row>
        <row r="442">
          <cell r="A442" t="str">
            <v>KDM95</v>
          </cell>
          <cell r="B442" t="str">
            <v>06.6146</v>
          </cell>
          <cell r="C442" t="str">
            <v>Kéo dây đồng trần 95mm2</v>
          </cell>
          <cell r="D442" t="str">
            <v>km</v>
          </cell>
          <cell r="F442">
            <v>9013198</v>
          </cell>
          <cell r="G442">
            <v>0</v>
          </cell>
          <cell r="H442">
            <v>0</v>
          </cell>
        </row>
        <row r="443">
          <cell r="A443" t="str">
            <v>KDM25B</v>
          </cell>
          <cell r="B443" t="str">
            <v>06.6142</v>
          </cell>
          <cell r="C443" t="str">
            <v>Kéo dây đồng bọc 25mm2</v>
          </cell>
          <cell r="D443" t="str">
            <v>km</v>
          </cell>
          <cell r="F443">
            <v>0</v>
          </cell>
          <cell r="G443">
            <v>0</v>
          </cell>
          <cell r="H443">
            <v>0</v>
          </cell>
        </row>
        <row r="444">
          <cell r="A444" t="str">
            <v>KDM50B</v>
          </cell>
          <cell r="B444" t="str">
            <v>06.6144</v>
          </cell>
          <cell r="C444" t="str">
            <v>Kéo dây đồng bọc 50mm3</v>
          </cell>
          <cell r="D444" t="str">
            <v>km</v>
          </cell>
          <cell r="F444">
            <v>0</v>
          </cell>
          <cell r="G444">
            <v>0</v>
          </cell>
          <cell r="H444">
            <v>0</v>
          </cell>
        </row>
        <row r="445">
          <cell r="A445" t="str">
            <v>KDM95B</v>
          </cell>
          <cell r="B445" t="str">
            <v>06.6146</v>
          </cell>
          <cell r="C445" t="str">
            <v>Kéo dây đồng bọc 95mm2</v>
          </cell>
          <cell r="D445" t="str">
            <v>km</v>
          </cell>
          <cell r="F445">
            <v>0</v>
          </cell>
          <cell r="G445">
            <v>0</v>
          </cell>
          <cell r="H445">
            <v>0</v>
          </cell>
        </row>
        <row r="446">
          <cell r="A446" t="str">
            <v>LPVC90CL</v>
          </cell>
          <cell r="B446" t="str">
            <v>T4.8003</v>
          </cell>
          <cell r="C446" t="str">
            <v>Lắp ống nhựa PVC D90</v>
          </cell>
          <cell r="D446" t="str">
            <v>mét</v>
          </cell>
          <cell r="F446">
            <v>35541</v>
          </cell>
          <cell r="G446">
            <v>0</v>
          </cell>
          <cell r="H446">
            <v>0</v>
          </cell>
        </row>
        <row r="447">
          <cell r="A447" t="str">
            <v>LPVC114CL</v>
          </cell>
          <cell r="B447" t="str">
            <v>T4.8003</v>
          </cell>
          <cell r="C447" t="str">
            <v>Lắp ống nhựa PVC D114</v>
          </cell>
          <cell r="D447" t="str">
            <v>mét</v>
          </cell>
          <cell r="F447">
            <v>35541</v>
          </cell>
          <cell r="G447">
            <v>0</v>
          </cell>
          <cell r="H447">
            <v>0</v>
          </cell>
        </row>
        <row r="448">
          <cell r="A448" t="str">
            <v>LPVC140CL</v>
          </cell>
          <cell r="B448" t="str">
            <v>T4.8003</v>
          </cell>
          <cell r="C448" t="str">
            <v>Lắp ống nhựa PVC D140</v>
          </cell>
          <cell r="D448" t="str">
            <v>mét</v>
          </cell>
          <cell r="F448">
            <v>35541</v>
          </cell>
          <cell r="G448">
            <v>0</v>
          </cell>
          <cell r="H448">
            <v>0</v>
          </cell>
        </row>
        <row r="449">
          <cell r="A449" t="str">
            <v>LSD</v>
          </cell>
          <cell r="B449" t="str">
            <v>D3.1115</v>
          </cell>
          <cell r="C449" t="str">
            <v>Lắp sứ đứng 24KV</v>
          </cell>
          <cell r="D449" t="str">
            <v>bộ</v>
          </cell>
          <cell r="F449">
            <v>49616</v>
          </cell>
          <cell r="G449">
            <v>0</v>
          </cell>
          <cell r="H449">
            <v>0</v>
          </cell>
        </row>
        <row r="450">
          <cell r="A450" t="str">
            <v>LSDTBA</v>
          </cell>
          <cell r="B450" t="str">
            <v>T4.2201</v>
          </cell>
          <cell r="C450" t="str">
            <v>Lắp sứ đứng 24KV trong TBA</v>
          </cell>
          <cell r="D450" t="str">
            <v>bộ</v>
          </cell>
          <cell r="F450">
            <v>54496</v>
          </cell>
          <cell r="G450">
            <v>0</v>
          </cell>
          <cell r="H450">
            <v>0</v>
          </cell>
        </row>
        <row r="451">
          <cell r="A451" t="str">
            <v>LSD_T</v>
          </cell>
          <cell r="B451" t="str">
            <v>06.1115</v>
          </cell>
          <cell r="C451" t="str">
            <v>Tháo sứ đứng 24KV</v>
          </cell>
          <cell r="D451" t="str">
            <v>bộ</v>
          </cell>
          <cell r="F451">
            <v>0</v>
          </cell>
          <cell r="G451">
            <v>0</v>
          </cell>
          <cell r="H451">
            <v>0</v>
          </cell>
        </row>
        <row r="452">
          <cell r="A452" t="str">
            <v>lsd35</v>
          </cell>
          <cell r="B452" t="str">
            <v>06.1116</v>
          </cell>
          <cell r="C452" t="str">
            <v>Lắp sứ đứng 35KV</v>
          </cell>
          <cell r="D452" t="str">
            <v>bộ</v>
          </cell>
          <cell r="F452">
            <v>0</v>
          </cell>
          <cell r="G452">
            <v>0</v>
          </cell>
          <cell r="H452">
            <v>0</v>
          </cell>
        </row>
        <row r="453">
          <cell r="A453" t="str">
            <v>LCHSNply</v>
          </cell>
          <cell r="B453" t="str">
            <v>D3.2411</v>
          </cell>
          <cell r="C453" t="str">
            <v>Lắp chuỗi sứ néo Polymer</v>
          </cell>
          <cell r="D453" t="str">
            <v>chuỗi</v>
          </cell>
          <cell r="F453">
            <v>59709</v>
          </cell>
          <cell r="G453">
            <v>0</v>
          </cell>
          <cell r="H453">
            <v>0</v>
          </cell>
        </row>
        <row r="454">
          <cell r="A454" t="str">
            <v>LSOC</v>
          </cell>
          <cell r="B454" t="str">
            <v>D3.1201</v>
          </cell>
          <cell r="C454" t="str">
            <v>Lắp rack sứ + sứ ống chỉ</v>
          </cell>
          <cell r="D454" t="str">
            <v>bộ</v>
          </cell>
          <cell r="F454">
            <v>13173</v>
          </cell>
          <cell r="G454">
            <v>0</v>
          </cell>
          <cell r="H454">
            <v>0</v>
          </cell>
        </row>
        <row r="455">
          <cell r="A455" t="str">
            <v>LR2</v>
          </cell>
          <cell r="B455" t="str">
            <v>06.1213</v>
          </cell>
          <cell r="C455" t="str">
            <v>Lắp rack 2 sứ + sứ ống chỉ</v>
          </cell>
          <cell r="D455" t="str">
            <v>bộ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LR3</v>
          </cell>
          <cell r="B456" t="str">
            <v>06.1214</v>
          </cell>
          <cell r="C456" t="str">
            <v>Lắp rack 3 sứ + sứ ống chỉ</v>
          </cell>
          <cell r="D456" t="str">
            <v>bộ</v>
          </cell>
          <cell r="F456">
            <v>0</v>
          </cell>
          <cell r="G456">
            <v>0</v>
          </cell>
          <cell r="H456">
            <v>0</v>
          </cell>
        </row>
        <row r="457">
          <cell r="A457" t="str">
            <v>LR4</v>
          </cell>
          <cell r="B457" t="str">
            <v>06.1215</v>
          </cell>
          <cell r="C457" t="str">
            <v>Lắp rack 4 sứ + sứ ống chỉ</v>
          </cell>
          <cell r="D457" t="str">
            <v>bộ</v>
          </cell>
          <cell r="F457">
            <v>0</v>
          </cell>
          <cell r="G457">
            <v>0</v>
          </cell>
          <cell r="H457">
            <v>0</v>
          </cell>
        </row>
        <row r="458">
          <cell r="A458" t="str">
            <v>LcapdongTB95</v>
          </cell>
          <cell r="B458" t="str">
            <v>T4.4201</v>
          </cell>
          <cell r="C458" t="str">
            <v>Lắp cáp đồng xuống thiết bị D ≤ 95mm2</v>
          </cell>
          <cell r="D458" t="str">
            <v>m</v>
          </cell>
          <cell r="F458">
            <v>11847</v>
          </cell>
          <cell r="G458">
            <v>0</v>
          </cell>
          <cell r="H458">
            <v>0</v>
          </cell>
        </row>
        <row r="459">
          <cell r="A459" t="str">
            <v>LcapdongTB150</v>
          </cell>
          <cell r="B459" t="str">
            <v>T4.4202</v>
          </cell>
          <cell r="C459" t="str">
            <v>Lắp cáp đồng xuống thiết bị D ≤ 150mm2</v>
          </cell>
          <cell r="D459" t="str">
            <v>m</v>
          </cell>
          <cell r="F459">
            <v>28433</v>
          </cell>
          <cell r="G459">
            <v>0</v>
          </cell>
          <cell r="H459">
            <v>0</v>
          </cell>
        </row>
        <row r="460">
          <cell r="A460" t="str">
            <v>LcapdongTB240</v>
          </cell>
          <cell r="B460" t="str">
            <v>T4.4203</v>
          </cell>
          <cell r="C460" t="str">
            <v>Lắp cáp đồng xuống thiết bị D &gt; 150mm2</v>
          </cell>
          <cell r="D460" t="str">
            <v>m</v>
          </cell>
          <cell r="F460">
            <v>40280</v>
          </cell>
          <cell r="G460">
            <v>0</v>
          </cell>
          <cell r="H460">
            <v>0</v>
          </cell>
        </row>
        <row r="461">
          <cell r="A461" t="str">
            <v>LFCO</v>
          </cell>
          <cell r="B461" t="str">
            <v>02.3505</v>
          </cell>
          <cell r="C461" t="str">
            <v>Lắp FCO 27KV</v>
          </cell>
          <cell r="D461" t="str">
            <v>cái</v>
          </cell>
          <cell r="F461">
            <v>0</v>
          </cell>
          <cell r="G461">
            <v>0</v>
          </cell>
          <cell r="H461">
            <v>0</v>
          </cell>
        </row>
        <row r="462">
          <cell r="F462">
            <v>0</v>
          </cell>
          <cell r="G462">
            <v>0</v>
          </cell>
          <cell r="H462">
            <v>0</v>
          </cell>
        </row>
        <row r="463">
          <cell r="A463" t="str">
            <v>Bảng kê đơn gía trạm biến áp</v>
          </cell>
          <cell r="F463">
            <v>0</v>
          </cell>
          <cell r="G463">
            <v>0</v>
          </cell>
          <cell r="H463">
            <v>0</v>
          </cell>
        </row>
        <row r="464">
          <cell r="F464">
            <v>0</v>
          </cell>
          <cell r="G464">
            <v>0</v>
          </cell>
          <cell r="H464">
            <v>0</v>
          </cell>
        </row>
        <row r="465">
          <cell r="A465" t="str">
            <v>TR251</v>
          </cell>
          <cell r="B465" t="str">
            <v>T1.1431</v>
          </cell>
          <cell r="C465" t="str">
            <v>Máy biến áp AMORPHOUS 12,7/0,22-0,44kV 25kVA</v>
          </cell>
          <cell r="D465" t="str">
            <v>máy</v>
          </cell>
          <cell r="F465">
            <v>647230</v>
          </cell>
          <cell r="G465">
            <v>360605</v>
          </cell>
          <cell r="H465">
            <v>320</v>
          </cell>
        </row>
        <row r="466">
          <cell r="A466" t="str">
            <v>TR371</v>
          </cell>
          <cell r="B466" t="str">
            <v>T1.1432</v>
          </cell>
          <cell r="C466" t="str">
            <v>Máy biến áp AMORPHOUS 12,7/0,22-0,44kV 37,5kVA</v>
          </cell>
          <cell r="D466" t="str">
            <v>máy</v>
          </cell>
          <cell r="F466">
            <v>746585</v>
          </cell>
          <cell r="G466">
            <v>360605</v>
          </cell>
          <cell r="H466">
            <v>355</v>
          </cell>
        </row>
        <row r="467">
          <cell r="A467" t="str">
            <v>TR501</v>
          </cell>
          <cell r="B467" t="str">
            <v>T1.1432</v>
          </cell>
          <cell r="C467" t="str">
            <v>Máy biến áp AMORPHOUS 12,7/0,22-0,44kV 50kVA</v>
          </cell>
          <cell r="D467" t="str">
            <v>máy</v>
          </cell>
          <cell r="E467">
            <v>44055000</v>
          </cell>
          <cell r="F467">
            <v>746585</v>
          </cell>
          <cell r="G467">
            <v>360605</v>
          </cell>
          <cell r="H467">
            <v>390</v>
          </cell>
        </row>
        <row r="468">
          <cell r="A468" t="str">
            <v>TR751</v>
          </cell>
          <cell r="B468" t="str">
            <v>T1.1433</v>
          </cell>
          <cell r="C468" t="str">
            <v>Máy biến áp AMORPHOUS 12,7/0,22-0,44kV 75kVA</v>
          </cell>
          <cell r="D468" t="str">
            <v>máy</v>
          </cell>
          <cell r="E468">
            <v>58180000</v>
          </cell>
          <cell r="F468">
            <v>993554</v>
          </cell>
          <cell r="G468">
            <v>360605</v>
          </cell>
          <cell r="H468">
            <v>455</v>
          </cell>
        </row>
        <row r="469">
          <cell r="A469" t="str">
            <v>TR1001</v>
          </cell>
          <cell r="B469" t="str">
            <v>T1.1434</v>
          </cell>
          <cell r="C469" t="str">
            <v>Máy biến áp AMORPHOUS 12,7/0,22-0,44kV 100kVA</v>
          </cell>
          <cell r="D469" t="str">
            <v>máy</v>
          </cell>
          <cell r="E469">
            <v>68939000</v>
          </cell>
          <cell r="F469">
            <v>1056006</v>
          </cell>
          <cell r="G469">
            <v>360605</v>
          </cell>
          <cell r="H469">
            <v>565</v>
          </cell>
        </row>
        <row r="470">
          <cell r="A470" t="str">
            <v>TR160</v>
          </cell>
          <cell r="B470" t="str">
            <v>T1.1414</v>
          </cell>
          <cell r="C470" t="str">
            <v>Máy biến áp 22/0,4kV- 160kVA</v>
          </cell>
          <cell r="D470" t="str">
            <v>máy</v>
          </cell>
          <cell r="E470">
            <v>120043000</v>
          </cell>
          <cell r="F470">
            <v>1282588</v>
          </cell>
          <cell r="G470">
            <v>360605</v>
          </cell>
          <cell r="H470">
            <v>904</v>
          </cell>
        </row>
        <row r="471">
          <cell r="A471" t="str">
            <v>TR250</v>
          </cell>
          <cell r="B471" t="str">
            <v>01.1155</v>
          </cell>
          <cell r="C471" t="str">
            <v>Máy biến áp AMORPHOUS 22/0,4kV- 250kVA</v>
          </cell>
          <cell r="D471" t="str">
            <v>máy</v>
          </cell>
          <cell r="F471">
            <v>1499363</v>
          </cell>
          <cell r="G471">
            <v>457692</v>
          </cell>
          <cell r="H471">
            <v>1155</v>
          </cell>
        </row>
        <row r="472">
          <cell r="A472" t="str">
            <v>TR320</v>
          </cell>
          <cell r="B472" t="str">
            <v>01.1155</v>
          </cell>
          <cell r="C472" t="str">
            <v>Máy biến áp AMORPHOUS 22/0,4kV- 320kVA</v>
          </cell>
          <cell r="D472" t="str">
            <v>máy</v>
          </cell>
          <cell r="F472">
            <v>1499363</v>
          </cell>
          <cell r="G472">
            <v>457692</v>
          </cell>
          <cell r="H472">
            <v>0</v>
          </cell>
        </row>
        <row r="473">
          <cell r="A473" t="str">
            <v>TR400</v>
          </cell>
          <cell r="B473" t="str">
            <v>01.1155</v>
          </cell>
          <cell r="C473" t="str">
            <v>Máy biến áp AMORPHOUS 22/0,4kV- 400kVA</v>
          </cell>
          <cell r="D473" t="str">
            <v>máy</v>
          </cell>
          <cell r="F473">
            <v>1788397</v>
          </cell>
          <cell r="G473">
            <v>457692</v>
          </cell>
          <cell r="H473">
            <v>0</v>
          </cell>
        </row>
        <row r="474">
          <cell r="A474" t="str">
            <v>TR560</v>
          </cell>
          <cell r="B474" t="str">
            <v>01.1156</v>
          </cell>
          <cell r="C474" t="str">
            <v>Máy biến áp AMORPHOUS 22/0,4kV- 560kVA</v>
          </cell>
          <cell r="D474" t="str">
            <v>máy</v>
          </cell>
          <cell r="F474">
            <v>1788397</v>
          </cell>
          <cell r="G474">
            <v>457692</v>
          </cell>
          <cell r="H474">
            <v>2069</v>
          </cell>
        </row>
        <row r="475">
          <cell r="A475" t="str">
            <v>TR630</v>
          </cell>
          <cell r="B475" t="str">
            <v>01.1156</v>
          </cell>
          <cell r="C475" t="str">
            <v>Máy biến áp AMORPHOUS 22/0,4kV- 630kVA</v>
          </cell>
          <cell r="D475" t="str">
            <v>máy</v>
          </cell>
          <cell r="F475">
            <v>1788397</v>
          </cell>
          <cell r="G475">
            <v>457692</v>
          </cell>
          <cell r="H475">
            <v>0</v>
          </cell>
        </row>
        <row r="476">
          <cell r="A476" t="str">
            <v>FCO100</v>
          </cell>
          <cell r="B476" t="str">
            <v>T2.3505</v>
          </cell>
          <cell r="C476" t="str">
            <v>FCO 27kV - 100A</v>
          </cell>
          <cell r="D476" t="str">
            <v>cái</v>
          </cell>
          <cell r="E476">
            <v>1020000</v>
          </cell>
          <cell r="F476">
            <v>189552</v>
          </cell>
          <cell r="G476">
            <v>0</v>
          </cell>
          <cell r="H476">
            <v>1.5</v>
          </cell>
        </row>
        <row r="477">
          <cell r="A477" t="str">
            <v>FCO200</v>
          </cell>
          <cell r="B477" t="str">
            <v>T2.3505</v>
          </cell>
          <cell r="C477" t="str">
            <v xml:space="preserve">FCO 27KV - 200A </v>
          </cell>
          <cell r="D477" t="str">
            <v>cái</v>
          </cell>
          <cell r="F477">
            <v>189552</v>
          </cell>
          <cell r="G477">
            <v>0</v>
          </cell>
          <cell r="H477">
            <v>2</v>
          </cell>
        </row>
        <row r="478">
          <cell r="A478" t="str">
            <v>DS1P</v>
          </cell>
          <cell r="B478" t="str">
            <v>02.3302</v>
          </cell>
          <cell r="C478" t="str">
            <v xml:space="preserve">DS 1P - 24KV - 600A </v>
          </cell>
          <cell r="D478" t="str">
            <v>bộ</v>
          </cell>
          <cell r="F478">
            <v>0</v>
          </cell>
          <cell r="G478">
            <v>0</v>
          </cell>
          <cell r="H478">
            <v>0</v>
          </cell>
        </row>
        <row r="479">
          <cell r="A479" t="str">
            <v>DS3P</v>
          </cell>
          <cell r="B479" t="str">
            <v>02.3302</v>
          </cell>
          <cell r="C479" t="str">
            <v xml:space="preserve">DS 3P - 24KV - 630A </v>
          </cell>
          <cell r="D479" t="str">
            <v>bộ</v>
          </cell>
          <cell r="F479">
            <v>0</v>
          </cell>
          <cell r="G479">
            <v>0</v>
          </cell>
          <cell r="H479">
            <v>50</v>
          </cell>
        </row>
        <row r="480">
          <cell r="A480" t="str">
            <v>DS1PDD</v>
          </cell>
          <cell r="B480" t="str">
            <v>02.3109</v>
          </cell>
          <cell r="C480" t="str">
            <v xml:space="preserve">DS 1P - 24KV - 600A </v>
          </cell>
          <cell r="D480" t="str">
            <v>bộ</v>
          </cell>
          <cell r="F480">
            <v>0</v>
          </cell>
          <cell r="G480">
            <v>0</v>
          </cell>
          <cell r="H480">
            <v>0</v>
          </cell>
        </row>
        <row r="481">
          <cell r="A481" t="str">
            <v>DS3PDD</v>
          </cell>
          <cell r="B481" t="str">
            <v>02.3207</v>
          </cell>
          <cell r="C481" t="str">
            <v xml:space="preserve">DS 3P - 24KV - 630A </v>
          </cell>
          <cell r="D481" t="str">
            <v>bộ</v>
          </cell>
          <cell r="F481">
            <v>0</v>
          </cell>
          <cell r="G481">
            <v>0</v>
          </cell>
          <cell r="H481">
            <v>0</v>
          </cell>
        </row>
        <row r="482">
          <cell r="A482" t="str">
            <v>LBS 16</v>
          </cell>
          <cell r="B482" t="str">
            <v>02.2124</v>
          </cell>
          <cell r="C482" t="str">
            <v>LBS SF6 3pha 24kV 630A - 16kA</v>
          </cell>
          <cell r="D482" t="str">
            <v>bộ</v>
          </cell>
          <cell r="F482">
            <v>0</v>
          </cell>
          <cell r="G482">
            <v>0</v>
          </cell>
          <cell r="H482">
            <v>0</v>
          </cell>
        </row>
        <row r="483">
          <cell r="A483" t="str">
            <v>LBS treo</v>
          </cell>
          <cell r="B483" t="str">
            <v>02.2124</v>
          </cell>
          <cell r="C483" t="str">
            <v>LBS SF6 3pha 24kV 630A 12kA + bộ truyền động</v>
          </cell>
          <cell r="D483" t="str">
            <v>bộ</v>
          </cell>
          <cell r="F483">
            <v>0</v>
          </cell>
          <cell r="G483">
            <v>0</v>
          </cell>
          <cell r="H483">
            <v>0</v>
          </cell>
        </row>
        <row r="484">
          <cell r="A484" t="str">
            <v>REC</v>
          </cell>
          <cell r="B484" t="str">
            <v>02.2113</v>
          </cell>
          <cell r="C484" t="str">
            <v>Recloser 24kV 630A</v>
          </cell>
          <cell r="D484" t="str">
            <v>bộ</v>
          </cell>
          <cell r="F484">
            <v>0</v>
          </cell>
          <cell r="G484">
            <v>0</v>
          </cell>
          <cell r="H484">
            <v>0</v>
          </cell>
        </row>
        <row r="485">
          <cell r="A485" t="str">
            <v>Recloser</v>
          </cell>
          <cell r="B485" t="str">
            <v>02.2124</v>
          </cell>
          <cell r="C485" t="str">
            <v>Recloser 24kV 630-800A</v>
          </cell>
          <cell r="D485" t="str">
            <v>bộ</v>
          </cell>
          <cell r="F485">
            <v>0</v>
          </cell>
          <cell r="G485">
            <v>0</v>
          </cell>
          <cell r="H485">
            <v>0</v>
          </cell>
        </row>
        <row r="486">
          <cell r="A486" t="str">
            <v>LTD</v>
          </cell>
          <cell r="B486" t="str">
            <v>02.3104</v>
          </cell>
          <cell r="C486" t="str">
            <v>LTD 1P 24KV - 800A</v>
          </cell>
          <cell r="D486" t="str">
            <v>cái</v>
          </cell>
          <cell r="F486">
            <v>0</v>
          </cell>
          <cell r="G486">
            <v>0</v>
          </cell>
          <cell r="H486">
            <v>0</v>
          </cell>
        </row>
        <row r="487">
          <cell r="A487" t="str">
            <v>LA12</v>
          </cell>
          <cell r="B487" t="str">
            <v>02.5114</v>
          </cell>
          <cell r="C487" t="str">
            <v>LA 12kV 10kA</v>
          </cell>
          <cell r="D487" t="str">
            <v>cái</v>
          </cell>
          <cell r="F487">
            <v>0</v>
          </cell>
          <cell r="G487">
            <v>0</v>
          </cell>
          <cell r="H487">
            <v>0.8</v>
          </cell>
        </row>
        <row r="488">
          <cell r="A488" t="str">
            <v>LA18</v>
          </cell>
          <cell r="B488" t="str">
            <v>T2.5004</v>
          </cell>
          <cell r="C488" t="str">
            <v>LA 18kV 10kA</v>
          </cell>
          <cell r="D488" t="str">
            <v>cái</v>
          </cell>
          <cell r="E488">
            <v>910000</v>
          </cell>
          <cell r="F488">
            <v>71082</v>
          </cell>
          <cell r="G488">
            <v>0</v>
          </cell>
          <cell r="H488">
            <v>0.8</v>
          </cell>
        </row>
        <row r="489">
          <cell r="A489" t="str">
            <v>TI1005</v>
          </cell>
          <cell r="C489" t="str">
            <v>Biến dòng 600V - 100/5A</v>
          </cell>
          <cell r="D489" t="str">
            <v>cái</v>
          </cell>
          <cell r="F489">
            <v>0</v>
          </cell>
          <cell r="G489">
            <v>0</v>
          </cell>
          <cell r="H489">
            <v>0</v>
          </cell>
        </row>
        <row r="490">
          <cell r="A490" t="str">
            <v>TI1255</v>
          </cell>
          <cell r="C490" t="str">
            <v xml:space="preserve">Biến dòng 600V - 125/5A </v>
          </cell>
          <cell r="D490" t="str">
            <v>cái</v>
          </cell>
          <cell r="F490">
            <v>0</v>
          </cell>
          <cell r="G490">
            <v>0</v>
          </cell>
          <cell r="H490">
            <v>1</v>
          </cell>
        </row>
        <row r="491">
          <cell r="A491" t="str">
            <v>TI1505</v>
          </cell>
          <cell r="C491" t="str">
            <v xml:space="preserve">Biến dòng 600V - 150/5A </v>
          </cell>
          <cell r="D491" t="str">
            <v>cái</v>
          </cell>
          <cell r="F491">
            <v>0</v>
          </cell>
          <cell r="G491">
            <v>0</v>
          </cell>
          <cell r="H491">
            <v>0</v>
          </cell>
        </row>
        <row r="492">
          <cell r="A492" t="str">
            <v>TI200</v>
          </cell>
          <cell r="C492" t="str">
            <v xml:space="preserve">Biến dòng 600V - 200/5A </v>
          </cell>
          <cell r="D492" t="str">
            <v>cái</v>
          </cell>
          <cell r="F492">
            <v>0</v>
          </cell>
          <cell r="G492">
            <v>0</v>
          </cell>
          <cell r="H492">
            <v>0</v>
          </cell>
        </row>
        <row r="493">
          <cell r="A493" t="str">
            <v>TI250</v>
          </cell>
          <cell r="C493" t="str">
            <v>Biến dòng 600V - 250/5A</v>
          </cell>
          <cell r="D493" t="str">
            <v>cái</v>
          </cell>
          <cell r="F493">
            <v>0</v>
          </cell>
          <cell r="G493">
            <v>0</v>
          </cell>
          <cell r="H493">
            <v>1</v>
          </cell>
        </row>
        <row r="494">
          <cell r="A494" t="str">
            <v>TI300</v>
          </cell>
          <cell r="C494" t="str">
            <v xml:space="preserve">Biến dòng 600V - 300/5A </v>
          </cell>
          <cell r="D494" t="str">
            <v>cái</v>
          </cell>
          <cell r="F494">
            <v>0</v>
          </cell>
          <cell r="G494">
            <v>0</v>
          </cell>
          <cell r="H494">
            <v>0</v>
          </cell>
        </row>
        <row r="495">
          <cell r="A495" t="str">
            <v>TI400</v>
          </cell>
          <cell r="C495" t="str">
            <v>Biến dòng 600V - 400/5A</v>
          </cell>
          <cell r="D495" t="str">
            <v>cái</v>
          </cell>
          <cell r="F495">
            <v>0</v>
          </cell>
          <cell r="G495">
            <v>0</v>
          </cell>
          <cell r="H495">
            <v>0</v>
          </cell>
        </row>
        <row r="496">
          <cell r="A496" t="str">
            <v>TI500</v>
          </cell>
          <cell r="C496" t="str">
            <v>Biến dòng 600V - 500/5A</v>
          </cell>
          <cell r="D496" t="str">
            <v>cái</v>
          </cell>
          <cell r="F496">
            <v>0</v>
          </cell>
          <cell r="G496">
            <v>0</v>
          </cell>
          <cell r="H496">
            <v>0</v>
          </cell>
        </row>
        <row r="497">
          <cell r="A497" t="str">
            <v>TI600</v>
          </cell>
          <cell r="C497" t="str">
            <v>Biến dòng 600V - 600/5A</v>
          </cell>
          <cell r="D497" t="str">
            <v>cái</v>
          </cell>
          <cell r="F497">
            <v>0</v>
          </cell>
          <cell r="G497">
            <v>0</v>
          </cell>
          <cell r="H497">
            <v>0</v>
          </cell>
        </row>
        <row r="498">
          <cell r="A498" t="str">
            <v>TI800</v>
          </cell>
          <cell r="C498" t="str">
            <v>Biến dòng 600V - 800/5A</v>
          </cell>
          <cell r="D498" t="str">
            <v>cái</v>
          </cell>
          <cell r="F498">
            <v>0</v>
          </cell>
          <cell r="G498">
            <v>0</v>
          </cell>
          <cell r="H498">
            <v>1</v>
          </cell>
        </row>
        <row r="499">
          <cell r="A499" t="str">
            <v>TUBU250</v>
          </cell>
          <cell r="B499" t="str">
            <v>02.8504</v>
          </cell>
          <cell r="C499" t="str">
            <v>Tủ tụ bù hạ thế 250kVAr</v>
          </cell>
          <cell r="D499" t="str">
            <v>tủ</v>
          </cell>
          <cell r="F499">
            <v>502313</v>
          </cell>
          <cell r="G499">
            <v>138694</v>
          </cell>
          <cell r="H499">
            <v>0</v>
          </cell>
        </row>
        <row r="500">
          <cell r="A500" t="str">
            <v>TUBU220</v>
          </cell>
          <cell r="B500" t="str">
            <v>02.8504</v>
          </cell>
          <cell r="C500" t="str">
            <v>Tủ tụ bù hạ thế 220kVAr</v>
          </cell>
          <cell r="D500" t="str">
            <v>tủ</v>
          </cell>
          <cell r="F500">
            <v>502313</v>
          </cell>
          <cell r="G500">
            <v>138694</v>
          </cell>
          <cell r="H500">
            <v>0</v>
          </cell>
        </row>
        <row r="501">
          <cell r="A501" t="str">
            <v>TUBU160</v>
          </cell>
          <cell r="B501" t="str">
            <v>02.8504</v>
          </cell>
          <cell r="C501" t="str">
            <v>Tủ tụ bù hạ thế 160kVAr</v>
          </cell>
          <cell r="D501" t="str">
            <v>tủ</v>
          </cell>
          <cell r="F501">
            <v>502313</v>
          </cell>
          <cell r="G501">
            <v>138694</v>
          </cell>
          <cell r="H501">
            <v>0</v>
          </cell>
        </row>
        <row r="502">
          <cell r="A502" t="str">
            <v>TUBU135</v>
          </cell>
          <cell r="B502" t="str">
            <v>02.8504</v>
          </cell>
          <cell r="C502" t="str">
            <v>Tủ tụ bù hạ thế 135kVAr</v>
          </cell>
          <cell r="D502" t="str">
            <v>tủ</v>
          </cell>
          <cell r="F502">
            <v>502313</v>
          </cell>
          <cell r="G502">
            <v>138694</v>
          </cell>
          <cell r="H502">
            <v>0</v>
          </cell>
        </row>
        <row r="503">
          <cell r="A503" t="str">
            <v>TUBU130</v>
          </cell>
          <cell r="B503" t="str">
            <v>02.8504</v>
          </cell>
          <cell r="C503" t="str">
            <v>Tủ tụ bù hạ thế 130kVAr</v>
          </cell>
          <cell r="D503" t="str">
            <v>tủ</v>
          </cell>
          <cell r="F503">
            <v>502313</v>
          </cell>
          <cell r="G503">
            <v>138694</v>
          </cell>
          <cell r="H503">
            <v>0</v>
          </cell>
        </row>
        <row r="504">
          <cell r="A504" t="str">
            <v>TUBU100</v>
          </cell>
          <cell r="B504" t="str">
            <v>02.8504</v>
          </cell>
          <cell r="C504" t="str">
            <v>Tủ tụ bù hạ thế 100kVAr</v>
          </cell>
          <cell r="D504" t="str">
            <v>tủ</v>
          </cell>
          <cell r="F504">
            <v>502313</v>
          </cell>
          <cell r="G504">
            <v>138694</v>
          </cell>
          <cell r="H504">
            <v>0</v>
          </cell>
        </row>
        <row r="505">
          <cell r="A505" t="str">
            <v>TUBU95</v>
          </cell>
          <cell r="B505" t="str">
            <v>02.8504</v>
          </cell>
          <cell r="C505" t="str">
            <v>Tủ tụ bù hạ thế 95kVAr</v>
          </cell>
          <cell r="D505" t="str">
            <v>tủ</v>
          </cell>
          <cell r="F505">
            <v>502313</v>
          </cell>
          <cell r="G505">
            <v>138694</v>
          </cell>
          <cell r="H505">
            <v>0</v>
          </cell>
        </row>
        <row r="506">
          <cell r="A506" t="str">
            <v>TUBU80</v>
          </cell>
          <cell r="B506" t="str">
            <v>02.8504</v>
          </cell>
          <cell r="C506" t="str">
            <v>Tủ tụ bù hạ thế 80kVAr</v>
          </cell>
          <cell r="D506" t="str">
            <v>tủ</v>
          </cell>
          <cell r="F506">
            <v>502313</v>
          </cell>
          <cell r="G506">
            <v>138694</v>
          </cell>
          <cell r="H506">
            <v>0</v>
          </cell>
        </row>
        <row r="507">
          <cell r="A507" t="str">
            <v>TUBU60</v>
          </cell>
          <cell r="B507" t="str">
            <v>02.8504</v>
          </cell>
          <cell r="C507" t="str">
            <v>Tủ tụ bù hạ thế 60kVAr</v>
          </cell>
          <cell r="D507" t="str">
            <v>tủ</v>
          </cell>
          <cell r="F507">
            <v>502313</v>
          </cell>
          <cell r="G507">
            <v>138694</v>
          </cell>
          <cell r="H507">
            <v>0</v>
          </cell>
        </row>
        <row r="508">
          <cell r="A508" t="str">
            <v>TUBU40</v>
          </cell>
          <cell r="B508" t="str">
            <v>02.8504</v>
          </cell>
          <cell r="C508" t="str">
            <v>Tủ tụ bù hạ thế 40kVAr</v>
          </cell>
          <cell r="D508" t="str">
            <v>tủ</v>
          </cell>
          <cell r="F508">
            <v>502313</v>
          </cell>
          <cell r="G508">
            <v>138694</v>
          </cell>
          <cell r="H508">
            <v>0</v>
          </cell>
        </row>
        <row r="509">
          <cell r="A509" t="str">
            <v>TUAP1</v>
          </cell>
          <cell r="B509" t="str">
            <v>T5.1001</v>
          </cell>
          <cell r="C509" t="str">
            <v>Tủ trạm treo + khóa + boulon + Bakelit + Collier (1 pha)</v>
          </cell>
          <cell r="D509" t="str">
            <v>cái</v>
          </cell>
          <cell r="E509">
            <v>3484174</v>
          </cell>
          <cell r="F509">
            <v>838715</v>
          </cell>
          <cell r="G509">
            <v>0</v>
          </cell>
          <cell r="H509">
            <v>45</v>
          </cell>
        </row>
        <row r="510">
          <cell r="A510" t="str">
            <v>TUAP1G</v>
          </cell>
          <cell r="B510" t="str">
            <v>T5.1002</v>
          </cell>
          <cell r="C510" t="str">
            <v>Tủ trạm treo + khóa + boulon + Bakelit (3 pha)</v>
          </cell>
          <cell r="D510" t="str">
            <v>cái</v>
          </cell>
          <cell r="E510">
            <v>3484174</v>
          </cell>
          <cell r="F510">
            <v>966199</v>
          </cell>
          <cell r="G510">
            <v>0</v>
          </cell>
          <cell r="H510">
            <v>45</v>
          </cell>
        </row>
        <row r="511">
          <cell r="A511" t="str">
            <v>TUAP3</v>
          </cell>
          <cell r="B511" t="str">
            <v>T5.1002</v>
          </cell>
          <cell r="C511" t="str">
            <v>Tủ trạm treo + khóa + boulon + Bakelit + Collier (3 pha)</v>
          </cell>
          <cell r="D511" t="str">
            <v>cái</v>
          </cell>
          <cell r="E511">
            <v>3484174</v>
          </cell>
          <cell r="F511">
            <v>966199</v>
          </cell>
          <cell r="G511">
            <v>0</v>
          </cell>
          <cell r="H511">
            <v>45</v>
          </cell>
        </row>
        <row r="512">
          <cell r="A512" t="str">
            <v>TUAP3L</v>
          </cell>
          <cell r="B512" t="str">
            <v>T5.1002</v>
          </cell>
          <cell r="C512" t="str">
            <v>Vỏ tủ trạm giàn 2 ngăn + khóa tủ + Bakelit (3 pha)</v>
          </cell>
          <cell r="D512" t="str">
            <v>cái</v>
          </cell>
          <cell r="F512">
            <v>743230</v>
          </cell>
          <cell r="G512">
            <v>0</v>
          </cell>
          <cell r="H512">
            <v>45</v>
          </cell>
        </row>
        <row r="513">
          <cell r="A513" t="str">
            <v>ATM125</v>
          </cell>
          <cell r="B513" t="str">
            <v>T2.8403</v>
          </cell>
          <cell r="C513" t="str">
            <v>MCCB 3 cực 400V - 125A - 30KA (80-125A)</v>
          </cell>
          <cell r="D513" t="str">
            <v>cái</v>
          </cell>
          <cell r="E513">
            <v>2575000</v>
          </cell>
          <cell r="F513">
            <v>450186</v>
          </cell>
          <cell r="G513">
            <v>0</v>
          </cell>
          <cell r="H513">
            <v>2</v>
          </cell>
        </row>
        <row r="514">
          <cell r="A514" t="str">
            <v>ATM150</v>
          </cell>
          <cell r="B514" t="str">
            <v>T2.8403</v>
          </cell>
          <cell r="C514" t="str">
            <v>MCCB 3 cực 400V - 150A - 35KA (100-160A)</v>
          </cell>
          <cell r="D514" t="str">
            <v>cái</v>
          </cell>
          <cell r="E514">
            <v>2230000</v>
          </cell>
          <cell r="F514">
            <v>450186</v>
          </cell>
          <cell r="G514">
            <v>0</v>
          </cell>
          <cell r="H514">
            <v>2</v>
          </cell>
        </row>
        <row r="515">
          <cell r="A515" t="str">
            <v>ATM160</v>
          </cell>
          <cell r="B515" t="str">
            <v>T2.8403</v>
          </cell>
          <cell r="C515" t="str">
            <v>MCCB 3 cực 400V - 160A - 35KA (100-160A)</v>
          </cell>
          <cell r="D515" t="str">
            <v>cái</v>
          </cell>
          <cell r="E515">
            <v>2230000</v>
          </cell>
          <cell r="F515">
            <v>450186</v>
          </cell>
          <cell r="G515">
            <v>0</v>
          </cell>
          <cell r="H515">
            <v>2</v>
          </cell>
        </row>
        <row r="516">
          <cell r="A516" t="str">
            <v>ATM200</v>
          </cell>
          <cell r="B516" t="str">
            <v>T2.8403</v>
          </cell>
          <cell r="C516" t="str">
            <v>MCCB 3 cực 400V - 200A - 35KA (125-200A)</v>
          </cell>
          <cell r="D516" t="str">
            <v>cái</v>
          </cell>
          <cell r="E516">
            <v>2590000</v>
          </cell>
          <cell r="F516">
            <v>450186</v>
          </cell>
          <cell r="G516">
            <v>0</v>
          </cell>
          <cell r="H516">
            <v>2</v>
          </cell>
        </row>
        <row r="517">
          <cell r="A517" t="str">
            <v>ATM250</v>
          </cell>
          <cell r="B517" t="str">
            <v>T2.8404</v>
          </cell>
          <cell r="C517" t="str">
            <v>MCCB 3 cực 600V - 250A - 42KA (160-250A)</v>
          </cell>
          <cell r="D517" t="str">
            <v>cái</v>
          </cell>
          <cell r="E517">
            <v>2800000</v>
          </cell>
          <cell r="F517">
            <v>592350</v>
          </cell>
          <cell r="G517">
            <v>0</v>
          </cell>
          <cell r="H517">
            <v>2</v>
          </cell>
        </row>
        <row r="518">
          <cell r="A518" t="str">
            <v>ATM320</v>
          </cell>
          <cell r="B518" t="str">
            <v>T2.8404</v>
          </cell>
          <cell r="C518" t="str">
            <v>MCCB 3 cực 600V - 320A - 42KA (200-320A)</v>
          </cell>
          <cell r="D518" t="str">
            <v>cái</v>
          </cell>
          <cell r="E518">
            <v>4690000</v>
          </cell>
          <cell r="F518">
            <v>592350</v>
          </cell>
          <cell r="G518">
            <v>0</v>
          </cell>
          <cell r="H518">
            <v>3</v>
          </cell>
        </row>
        <row r="519">
          <cell r="A519" t="str">
            <v>ATM400</v>
          </cell>
          <cell r="B519" t="str">
            <v>T2.8405</v>
          </cell>
          <cell r="C519" t="str">
            <v>MCCB 3 cực 400V - 400A - 42KA (250-400A)</v>
          </cell>
          <cell r="D519" t="str">
            <v>cái</v>
          </cell>
          <cell r="E519">
            <v>5540000</v>
          </cell>
          <cell r="F519">
            <v>829290</v>
          </cell>
          <cell r="G519">
            <v>0</v>
          </cell>
          <cell r="H519">
            <v>3</v>
          </cell>
        </row>
        <row r="520">
          <cell r="A520" t="str">
            <v>ATM500</v>
          </cell>
          <cell r="B520" t="str">
            <v>T2.8406</v>
          </cell>
          <cell r="C520" t="str">
            <v>MCCB 3 cực 600V - 500A - 45KA</v>
          </cell>
          <cell r="D520" t="str">
            <v>cái</v>
          </cell>
          <cell r="F520">
            <v>947760</v>
          </cell>
          <cell r="G520">
            <v>0</v>
          </cell>
          <cell r="H520">
            <v>3</v>
          </cell>
        </row>
        <row r="521">
          <cell r="A521" t="str">
            <v>ATM600</v>
          </cell>
          <cell r="B521" t="str">
            <v>02.8403</v>
          </cell>
          <cell r="C521" t="str">
            <v>MCCB 3 cực 400V - 600A - 35KA</v>
          </cell>
          <cell r="D521" t="str">
            <v>cái</v>
          </cell>
          <cell r="F521">
            <v>947760</v>
          </cell>
          <cell r="G521">
            <v>0</v>
          </cell>
          <cell r="H521">
            <v>4</v>
          </cell>
        </row>
        <row r="522">
          <cell r="A522" t="str">
            <v>ATM630</v>
          </cell>
          <cell r="B522" t="str">
            <v>02.8403</v>
          </cell>
          <cell r="C522" t="str">
            <v>MCCB 3 cực 400V - 630A - 50KA (300-630A)</v>
          </cell>
          <cell r="D522" t="str">
            <v>cái</v>
          </cell>
          <cell r="F522">
            <v>0</v>
          </cell>
          <cell r="G522">
            <v>0</v>
          </cell>
          <cell r="H522">
            <v>4</v>
          </cell>
        </row>
        <row r="523">
          <cell r="A523" t="str">
            <v>ATM800</v>
          </cell>
          <cell r="B523" t="str">
            <v>02.8403</v>
          </cell>
          <cell r="C523" t="str">
            <v>MCCB 3 cực 400V - 800A - 50KA (400-800A)</v>
          </cell>
          <cell r="D523" t="str">
            <v>cái</v>
          </cell>
          <cell r="F523">
            <v>0</v>
          </cell>
          <cell r="G523">
            <v>0</v>
          </cell>
          <cell r="H523">
            <v>4</v>
          </cell>
        </row>
        <row r="524">
          <cell r="A524" t="str">
            <v>CHI3K</v>
          </cell>
          <cell r="C524" t="str">
            <v>Dây chảy 3K</v>
          </cell>
          <cell r="D524" t="str">
            <v>Sợi</v>
          </cell>
          <cell r="E524">
            <v>84000</v>
          </cell>
          <cell r="F524">
            <v>0</v>
          </cell>
          <cell r="G524">
            <v>0</v>
          </cell>
          <cell r="H524">
            <v>0</v>
          </cell>
        </row>
        <row r="525">
          <cell r="A525" t="str">
            <v>CHI6K</v>
          </cell>
          <cell r="C525" t="str">
            <v>Dây chảy 6K</v>
          </cell>
          <cell r="D525" t="str">
            <v>Sợi</v>
          </cell>
          <cell r="E525">
            <v>84000</v>
          </cell>
          <cell r="F525">
            <v>0</v>
          </cell>
          <cell r="G525">
            <v>0</v>
          </cell>
          <cell r="H525">
            <v>0</v>
          </cell>
        </row>
        <row r="526">
          <cell r="A526" t="str">
            <v>CHI8K</v>
          </cell>
          <cell r="C526" t="str">
            <v>Dây chảy 8K</v>
          </cell>
          <cell r="D526" t="str">
            <v>Sợi</v>
          </cell>
          <cell r="E526">
            <v>84000</v>
          </cell>
          <cell r="F526">
            <v>0</v>
          </cell>
          <cell r="G526">
            <v>0</v>
          </cell>
          <cell r="H526">
            <v>0</v>
          </cell>
        </row>
        <row r="527">
          <cell r="A527" t="str">
            <v>CHI10K</v>
          </cell>
          <cell r="C527" t="str">
            <v>Dây chảy 10K</v>
          </cell>
          <cell r="D527" t="str">
            <v>Sợi</v>
          </cell>
          <cell r="E527">
            <v>84000</v>
          </cell>
          <cell r="F527">
            <v>0</v>
          </cell>
          <cell r="G527">
            <v>0</v>
          </cell>
          <cell r="H527">
            <v>0</v>
          </cell>
        </row>
        <row r="528">
          <cell r="A528" t="str">
            <v>CHI12K</v>
          </cell>
          <cell r="C528" t="str">
            <v>Dây chảy 12K</v>
          </cell>
          <cell r="D528" t="str">
            <v>Sợi</v>
          </cell>
          <cell r="E528">
            <v>95000</v>
          </cell>
          <cell r="F528">
            <v>0</v>
          </cell>
          <cell r="G528">
            <v>0</v>
          </cell>
          <cell r="H528">
            <v>0</v>
          </cell>
        </row>
        <row r="529">
          <cell r="A529" t="str">
            <v>CHI15K</v>
          </cell>
          <cell r="C529" t="str">
            <v>Dây chảy 15K</v>
          </cell>
          <cell r="D529" t="str">
            <v>Sợi</v>
          </cell>
          <cell r="E529">
            <v>103000</v>
          </cell>
          <cell r="F529">
            <v>0</v>
          </cell>
          <cell r="G529">
            <v>0</v>
          </cell>
          <cell r="H529">
            <v>0</v>
          </cell>
        </row>
        <row r="530">
          <cell r="A530" t="str">
            <v>CHI20K</v>
          </cell>
          <cell r="C530" t="str">
            <v>Dây chảy 20K</v>
          </cell>
          <cell r="D530" t="str">
            <v>Sợi</v>
          </cell>
          <cell r="F530">
            <v>0</v>
          </cell>
          <cell r="G530">
            <v>0</v>
          </cell>
          <cell r="H530">
            <v>0</v>
          </cell>
        </row>
        <row r="531">
          <cell r="A531" t="str">
            <v>CHI25K</v>
          </cell>
          <cell r="C531" t="str">
            <v>Dây chảy 25K</v>
          </cell>
          <cell r="D531" t="str">
            <v>Sợi</v>
          </cell>
          <cell r="F531">
            <v>0</v>
          </cell>
          <cell r="G531">
            <v>0</v>
          </cell>
          <cell r="H531">
            <v>0</v>
          </cell>
        </row>
        <row r="532">
          <cell r="A532" t="str">
            <v>CHI30K</v>
          </cell>
          <cell r="C532" t="str">
            <v>Dây chảy 30K</v>
          </cell>
          <cell r="D532" t="str">
            <v>Sợi</v>
          </cell>
          <cell r="F532">
            <v>0</v>
          </cell>
          <cell r="G532">
            <v>0</v>
          </cell>
          <cell r="H532">
            <v>0</v>
          </cell>
        </row>
        <row r="533">
          <cell r="A533" t="str">
            <v>CHI40K</v>
          </cell>
          <cell r="C533" t="str">
            <v>Dây chảy 40K</v>
          </cell>
          <cell r="D533" t="str">
            <v>Sợi</v>
          </cell>
          <cell r="F533">
            <v>0</v>
          </cell>
          <cell r="G533">
            <v>0</v>
          </cell>
          <cell r="H533">
            <v>0</v>
          </cell>
        </row>
        <row r="534">
          <cell r="A534" t="str">
            <v>CHI50K</v>
          </cell>
          <cell r="C534" t="str">
            <v>Dây chảy 50K</v>
          </cell>
          <cell r="D534" t="str">
            <v>Sợi</v>
          </cell>
          <cell r="F534">
            <v>0</v>
          </cell>
          <cell r="G534">
            <v>0</v>
          </cell>
          <cell r="H534">
            <v>0</v>
          </cell>
        </row>
        <row r="535">
          <cell r="A535" t="str">
            <v>CHI65K</v>
          </cell>
          <cell r="C535" t="str">
            <v>Dây chảy 65K</v>
          </cell>
          <cell r="D535" t="str">
            <v>Sợi</v>
          </cell>
          <cell r="F535">
            <v>0</v>
          </cell>
          <cell r="G535">
            <v>0</v>
          </cell>
          <cell r="H535">
            <v>0</v>
          </cell>
        </row>
        <row r="536">
          <cell r="A536" t="str">
            <v>CHI80K</v>
          </cell>
          <cell r="C536" t="str">
            <v>Dây chảy 80K</v>
          </cell>
          <cell r="D536" t="str">
            <v>Sợi</v>
          </cell>
          <cell r="F536">
            <v>0</v>
          </cell>
          <cell r="G536">
            <v>0</v>
          </cell>
          <cell r="H536">
            <v>0</v>
          </cell>
        </row>
        <row r="537">
          <cell r="A537" t="str">
            <v>CHI100K</v>
          </cell>
          <cell r="C537" t="str">
            <v>Dây chảy 100K</v>
          </cell>
          <cell r="D537" t="str">
            <v>Sợi</v>
          </cell>
          <cell r="F537">
            <v>0</v>
          </cell>
          <cell r="G537">
            <v>0</v>
          </cell>
          <cell r="H537">
            <v>0</v>
          </cell>
        </row>
        <row r="538">
          <cell r="A538" t="str">
            <v>CHI140K</v>
          </cell>
          <cell r="C538" t="str">
            <v>Dây chảy 140K</v>
          </cell>
          <cell r="D538" t="str">
            <v>Sợi</v>
          </cell>
          <cell r="F538">
            <v>0</v>
          </cell>
          <cell r="G538">
            <v>0</v>
          </cell>
          <cell r="H538">
            <v>0</v>
          </cell>
        </row>
        <row r="539">
          <cell r="A539" t="str">
            <v>DK1p100A</v>
          </cell>
          <cell r="C539" t="str">
            <v>Điện kế 1 pha 2 dây 220V-100A</v>
          </cell>
          <cell r="D539" t="str">
            <v>cái</v>
          </cell>
          <cell r="F539">
            <v>0</v>
          </cell>
          <cell r="G539">
            <v>0</v>
          </cell>
          <cell r="H539">
            <v>0</v>
          </cell>
        </row>
        <row r="540">
          <cell r="A540" t="str">
            <v>DK1p80A</v>
          </cell>
          <cell r="C540" t="str">
            <v>Điện kế 1 pha 2 dây 220V-80A</v>
          </cell>
          <cell r="D540" t="str">
            <v>cái</v>
          </cell>
          <cell r="F540">
            <v>0</v>
          </cell>
          <cell r="G540">
            <v>0</v>
          </cell>
          <cell r="H540">
            <v>0</v>
          </cell>
        </row>
        <row r="541">
          <cell r="A541" t="str">
            <v>DK1p5A</v>
          </cell>
          <cell r="C541" t="str">
            <v>Điện kế 1 pha 2 dây 220V-5A</v>
          </cell>
          <cell r="D541" t="str">
            <v>cái</v>
          </cell>
          <cell r="F541">
            <v>0</v>
          </cell>
          <cell r="G541">
            <v>0</v>
          </cell>
          <cell r="H541">
            <v>1</v>
          </cell>
        </row>
        <row r="542">
          <cell r="A542" t="str">
            <v>DK3p50(100)A</v>
          </cell>
          <cell r="C542" t="str">
            <v>Điện kế 3 pha 4 dây 220/380V-50(100)A</v>
          </cell>
          <cell r="D542" t="str">
            <v>cái</v>
          </cell>
          <cell r="F542">
            <v>0</v>
          </cell>
          <cell r="G542">
            <v>0</v>
          </cell>
          <cell r="H542">
            <v>0</v>
          </cell>
        </row>
        <row r="543">
          <cell r="A543" t="str">
            <v>DK3p5A</v>
          </cell>
          <cell r="C543" t="str">
            <v>Điện kế 3 pha 4 dây 220/380V-5A</v>
          </cell>
          <cell r="D543" t="str">
            <v>cái</v>
          </cell>
          <cell r="F543">
            <v>0</v>
          </cell>
          <cell r="G543">
            <v>0</v>
          </cell>
          <cell r="H543">
            <v>1.5</v>
          </cell>
        </row>
        <row r="544">
          <cell r="A544" t="str">
            <v>DK3DT</v>
          </cell>
          <cell r="C544" t="str">
            <v>Điện kế 3 pha điện tử 120(60)V-5A</v>
          </cell>
          <cell r="D544" t="str">
            <v>cái</v>
          </cell>
          <cell r="F544">
            <v>0</v>
          </cell>
          <cell r="G544">
            <v>0</v>
          </cell>
          <cell r="H544">
            <v>1.5</v>
          </cell>
        </row>
        <row r="545">
          <cell r="A545" t="str">
            <v>DK3P</v>
          </cell>
          <cell r="C545" t="str">
            <v>Điện năng kế 3 pha 380V-5A</v>
          </cell>
          <cell r="D545" t="str">
            <v>cái</v>
          </cell>
          <cell r="F545">
            <v>0</v>
          </cell>
          <cell r="G545">
            <v>0</v>
          </cell>
          <cell r="H545">
            <v>0</v>
          </cell>
        </row>
        <row r="546">
          <cell r="A546" t="str">
            <v>DK-1P</v>
          </cell>
          <cell r="C546" t="str">
            <v>Điện năng kế 1 pha</v>
          </cell>
          <cell r="D546" t="str">
            <v>cái</v>
          </cell>
          <cell r="G546">
            <v>0</v>
          </cell>
          <cell r="H546">
            <v>0</v>
          </cell>
        </row>
        <row r="547">
          <cell r="A547" t="str">
            <v>DK-3P</v>
          </cell>
          <cell r="C547" t="str">
            <v>Điện năng kế 3 pha</v>
          </cell>
          <cell r="D547" t="str">
            <v>cái</v>
          </cell>
          <cell r="G547">
            <v>0</v>
          </cell>
          <cell r="H547">
            <v>0</v>
          </cell>
        </row>
        <row r="548">
          <cell r="A548" t="str">
            <v>BCDTB</v>
          </cell>
          <cell r="C548" t="str">
            <v>Bảng chỉn danh thiết bị đầu nhánh</v>
          </cell>
          <cell r="D548" t="str">
            <v>bộ</v>
          </cell>
          <cell r="E548">
            <v>150000</v>
          </cell>
          <cell r="F548">
            <v>0</v>
          </cell>
          <cell r="G548">
            <v>0</v>
          </cell>
          <cell r="H548">
            <v>0</v>
          </cell>
        </row>
        <row r="549">
          <cell r="A549" t="str">
            <v>BANG</v>
          </cell>
          <cell r="C549" t="str">
            <v>Bảng tên trạm + bulon</v>
          </cell>
          <cell r="D549" t="str">
            <v>bộ</v>
          </cell>
          <cell r="E549">
            <v>100000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GTMBA50</v>
          </cell>
          <cell r="B550" t="str">
            <v>T4.9302</v>
          </cell>
          <cell r="C550" t="str">
            <v>Giá chùm treo máy biến áp 3x50</v>
          </cell>
          <cell r="D550" t="str">
            <v>Bộ</v>
          </cell>
          <cell r="E550">
            <v>2524500</v>
          </cell>
          <cell r="F550">
            <v>103615.056</v>
          </cell>
          <cell r="G550">
            <v>0</v>
          </cell>
          <cell r="H550">
            <v>38</v>
          </cell>
        </row>
        <row r="551">
          <cell r="A551" t="str">
            <v>GTMBA25</v>
          </cell>
          <cell r="B551" t="str">
            <v>T4.9302</v>
          </cell>
          <cell r="C551" t="str">
            <v>Giá chùm treo máy biến áp 3x25</v>
          </cell>
          <cell r="D551" t="str">
            <v>Bộ</v>
          </cell>
          <cell r="E551">
            <v>2524500</v>
          </cell>
          <cell r="F551">
            <v>95434.92</v>
          </cell>
          <cell r="G551">
            <v>0</v>
          </cell>
          <cell r="H551">
            <v>35</v>
          </cell>
        </row>
        <row r="552">
          <cell r="A552" t="str">
            <v>GTMBA37,5</v>
          </cell>
          <cell r="B552" t="str">
            <v>T4.9302</v>
          </cell>
          <cell r="C552" t="str">
            <v>Giá chùm treo máy biến áp 3x37,5</v>
          </cell>
          <cell r="D552" t="str">
            <v>Bộ</v>
          </cell>
          <cell r="E552">
            <v>2524500</v>
          </cell>
          <cell r="F552">
            <v>100888.344</v>
          </cell>
          <cell r="G552">
            <v>0</v>
          </cell>
          <cell r="H552">
            <v>37</v>
          </cell>
        </row>
        <row r="553">
          <cell r="A553" t="str">
            <v>GTMBA</v>
          </cell>
          <cell r="B553" t="str">
            <v>T4.9302</v>
          </cell>
          <cell r="C553" t="str">
            <v>Giá chùm treo máy biến áp 3x75</v>
          </cell>
          <cell r="D553" t="str">
            <v>Bộ</v>
          </cell>
          <cell r="E553">
            <v>2580000</v>
          </cell>
          <cell r="F553">
            <v>139062.31200000001</v>
          </cell>
          <cell r="G553">
            <v>0</v>
          </cell>
          <cell r="H553">
            <v>51</v>
          </cell>
        </row>
        <row r="554">
          <cell r="A554" t="str">
            <v>GTMBA100</v>
          </cell>
          <cell r="B554" t="str">
            <v>T4.9302</v>
          </cell>
          <cell r="C554" t="str">
            <v>Giá chùm treo máy biến áp 3x100</v>
          </cell>
          <cell r="D554" t="str">
            <v>Bộ</v>
          </cell>
          <cell r="E554">
            <v>2695000</v>
          </cell>
          <cell r="F554">
            <v>149969.16</v>
          </cell>
          <cell r="G554">
            <v>0</v>
          </cell>
          <cell r="H554">
            <v>55</v>
          </cell>
        </row>
        <row r="555">
          <cell r="A555" t="str">
            <v>COSe16</v>
          </cell>
          <cell r="C555" t="str">
            <v>Đầu cosse ép Cu-Al 16mm2</v>
          </cell>
          <cell r="D555" t="str">
            <v>cái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COSe25</v>
          </cell>
          <cell r="C556" t="str">
            <v>Đầu cosse ép Cu-Al 25mm2</v>
          </cell>
          <cell r="D556" t="str">
            <v>cái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COSe50</v>
          </cell>
          <cell r="C557" t="str">
            <v>Đầu cosse ép Cu-Al 50mm2</v>
          </cell>
          <cell r="D557" t="str">
            <v>cái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COSe70</v>
          </cell>
          <cell r="C558" t="str">
            <v>Đầu cosse ép Cu-Al 70mm2</v>
          </cell>
          <cell r="D558" t="str">
            <v>cái</v>
          </cell>
          <cell r="F558">
            <v>0</v>
          </cell>
          <cell r="G558">
            <v>0</v>
          </cell>
          <cell r="H558">
            <v>0.2</v>
          </cell>
        </row>
        <row r="559">
          <cell r="A559" t="str">
            <v>COSe95</v>
          </cell>
          <cell r="C559" t="str">
            <v>Đầu cosse ép Cu-Al 95mm2</v>
          </cell>
          <cell r="D559" t="str">
            <v>cái</v>
          </cell>
          <cell r="F559">
            <v>0</v>
          </cell>
          <cell r="G559">
            <v>0</v>
          </cell>
          <cell r="H559">
            <v>0.2</v>
          </cell>
        </row>
        <row r="560">
          <cell r="A560" t="str">
            <v>COSe120</v>
          </cell>
          <cell r="C560" t="str">
            <v>Đầu cosse ép Cu-Al 120mm2</v>
          </cell>
          <cell r="D560" t="str">
            <v>cái</v>
          </cell>
          <cell r="F560">
            <v>0</v>
          </cell>
          <cell r="G560">
            <v>0</v>
          </cell>
          <cell r="H560">
            <v>0.2</v>
          </cell>
        </row>
        <row r="561">
          <cell r="A561" t="str">
            <v>COSe150</v>
          </cell>
          <cell r="C561" t="str">
            <v>Đầu cosse ép Cu-Al 150mm2</v>
          </cell>
          <cell r="D561" t="str">
            <v>cái</v>
          </cell>
          <cell r="F561">
            <v>0</v>
          </cell>
          <cell r="G561">
            <v>0</v>
          </cell>
          <cell r="H561">
            <v>0.2</v>
          </cell>
        </row>
        <row r="562">
          <cell r="A562" t="str">
            <v>COSe185</v>
          </cell>
          <cell r="C562" t="str">
            <v>Đầu cosse ép Cu-Al 185mm2</v>
          </cell>
          <cell r="D562" t="str">
            <v>cái</v>
          </cell>
          <cell r="F562">
            <v>0</v>
          </cell>
          <cell r="G562">
            <v>0</v>
          </cell>
          <cell r="H562">
            <v>0.2</v>
          </cell>
        </row>
        <row r="563">
          <cell r="A563" t="str">
            <v>COSe200</v>
          </cell>
          <cell r="C563" t="str">
            <v>Đầu cosse ép Cu-Al 200mm2</v>
          </cell>
          <cell r="D563" t="str">
            <v>cái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COSe240</v>
          </cell>
          <cell r="C564" t="str">
            <v>Đầu cosse ép Cu-Al 240mm2</v>
          </cell>
          <cell r="D564" t="str">
            <v>cái</v>
          </cell>
          <cell r="F564">
            <v>0</v>
          </cell>
          <cell r="G564">
            <v>0</v>
          </cell>
          <cell r="H564">
            <v>0.2</v>
          </cell>
        </row>
        <row r="565">
          <cell r="A565" t="str">
            <v>COSe250</v>
          </cell>
          <cell r="C565" t="str">
            <v>Đầu cosse ép Cu-Al 250mm2</v>
          </cell>
          <cell r="D565" t="str">
            <v>cái</v>
          </cell>
          <cell r="F565">
            <v>0</v>
          </cell>
          <cell r="G565">
            <v>0</v>
          </cell>
          <cell r="H565">
            <v>0</v>
          </cell>
        </row>
        <row r="566">
          <cell r="A566" t="str">
            <v>COSe300</v>
          </cell>
          <cell r="C566" t="str">
            <v>Đầu cosse ép Cu-Al 300mm2</v>
          </cell>
          <cell r="D566" t="str">
            <v>cái</v>
          </cell>
          <cell r="F566">
            <v>0</v>
          </cell>
          <cell r="G566">
            <v>0</v>
          </cell>
          <cell r="H566">
            <v>0.2</v>
          </cell>
        </row>
        <row r="567">
          <cell r="A567" t="str">
            <v>COSe300</v>
          </cell>
          <cell r="C567" t="str">
            <v>Đầu cosse ép Cu-Al 400mm2</v>
          </cell>
          <cell r="D567" t="str">
            <v>cái</v>
          </cell>
          <cell r="F567">
            <v>0</v>
          </cell>
          <cell r="G567">
            <v>0</v>
          </cell>
          <cell r="H567">
            <v>0.2</v>
          </cell>
        </row>
        <row r="568">
          <cell r="A568" t="str">
            <v>COS25</v>
          </cell>
          <cell r="C568" t="str">
            <v>Đầu cosse ép Cu 25mm2</v>
          </cell>
          <cell r="D568" t="str">
            <v>cái</v>
          </cell>
          <cell r="F568">
            <v>0</v>
          </cell>
          <cell r="G568">
            <v>0</v>
          </cell>
          <cell r="H568">
            <v>0.1</v>
          </cell>
        </row>
        <row r="569">
          <cell r="A569" t="str">
            <v>COS35</v>
          </cell>
          <cell r="C569" t="str">
            <v>Đầu cosse ép Cu 35mm2</v>
          </cell>
          <cell r="D569" t="str">
            <v>cái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COS38</v>
          </cell>
          <cell r="C570" t="str">
            <v>Đầu cosse ép Cu 38mm2</v>
          </cell>
          <cell r="D570" t="str">
            <v>cái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COS50</v>
          </cell>
          <cell r="C571" t="str">
            <v>Đầu cosse ép Cu 50mm2</v>
          </cell>
          <cell r="D571" t="str">
            <v>cái</v>
          </cell>
          <cell r="E571">
            <v>24000</v>
          </cell>
          <cell r="H571">
            <v>0.1</v>
          </cell>
        </row>
        <row r="572">
          <cell r="A572" t="str">
            <v>COS70</v>
          </cell>
          <cell r="C572" t="str">
            <v>Đầu cosse ép Cu 70mm2</v>
          </cell>
          <cell r="D572" t="str">
            <v>cái</v>
          </cell>
          <cell r="E572">
            <v>34500</v>
          </cell>
          <cell r="H572">
            <v>0.2</v>
          </cell>
        </row>
        <row r="573">
          <cell r="A573" t="str">
            <v>COS95</v>
          </cell>
          <cell r="C573" t="str">
            <v>Đầu cosse ép Cu 95mm2</v>
          </cell>
          <cell r="D573" t="str">
            <v>cái</v>
          </cell>
          <cell r="E573">
            <v>47500</v>
          </cell>
          <cell r="H573">
            <v>0.2</v>
          </cell>
        </row>
        <row r="574">
          <cell r="A574" t="str">
            <v>COS120</v>
          </cell>
          <cell r="C574" t="str">
            <v>Đầu cosse ép Cu 120mm2</v>
          </cell>
          <cell r="D574" t="str">
            <v>cái</v>
          </cell>
          <cell r="E574">
            <v>68500</v>
          </cell>
          <cell r="H574">
            <v>0.1</v>
          </cell>
        </row>
        <row r="575">
          <cell r="A575" t="str">
            <v>COS150</v>
          </cell>
          <cell r="C575" t="str">
            <v>Đầu cosse ép Cu 150mm2</v>
          </cell>
          <cell r="D575" t="str">
            <v>cái</v>
          </cell>
          <cell r="E575">
            <v>94500</v>
          </cell>
          <cell r="H575">
            <v>0.2</v>
          </cell>
        </row>
        <row r="576">
          <cell r="A576" t="str">
            <v>COS185</v>
          </cell>
          <cell r="C576" t="str">
            <v>Đầu cosse ép Cu 185mm2</v>
          </cell>
          <cell r="D576" t="str">
            <v>cái</v>
          </cell>
          <cell r="E576">
            <v>110500</v>
          </cell>
          <cell r="H576">
            <v>0</v>
          </cell>
        </row>
        <row r="577">
          <cell r="A577" t="str">
            <v>COS200</v>
          </cell>
          <cell r="C577" t="str">
            <v>Đầu cosse ép Cu 200mm2</v>
          </cell>
          <cell r="D577" t="str">
            <v>cái</v>
          </cell>
          <cell r="E577">
            <v>158000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COS240</v>
          </cell>
          <cell r="C578" t="str">
            <v>Đầu cosse ép Cu 240mm2</v>
          </cell>
          <cell r="D578" t="str">
            <v>cái</v>
          </cell>
          <cell r="F578">
            <v>0</v>
          </cell>
          <cell r="G578">
            <v>0</v>
          </cell>
          <cell r="H578">
            <v>0.2</v>
          </cell>
        </row>
        <row r="579">
          <cell r="A579" t="str">
            <v>COS250</v>
          </cell>
          <cell r="C579" t="str">
            <v>Đầu cosse ép Cu 250mm2</v>
          </cell>
          <cell r="D579" t="str">
            <v>cái</v>
          </cell>
          <cell r="F579">
            <v>0</v>
          </cell>
          <cell r="G579">
            <v>0</v>
          </cell>
          <cell r="H579">
            <v>0.2</v>
          </cell>
        </row>
        <row r="580">
          <cell r="A580" t="str">
            <v>COS300</v>
          </cell>
          <cell r="C580" t="str">
            <v>Đầu cosse ép Cu 300mm2</v>
          </cell>
          <cell r="D580" t="str">
            <v>cái</v>
          </cell>
          <cell r="F580">
            <v>0</v>
          </cell>
          <cell r="G580">
            <v>0</v>
          </cell>
          <cell r="H580">
            <v>0</v>
          </cell>
        </row>
        <row r="581">
          <cell r="A581" t="str">
            <v>CHCOS11</v>
          </cell>
          <cell r="C581" t="str">
            <v>Chụp đầu cosse  11mm2</v>
          </cell>
          <cell r="D581" t="str">
            <v>cái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CHCOS16</v>
          </cell>
          <cell r="C582" t="str">
            <v>Chụp đầu cosse  16mm2</v>
          </cell>
          <cell r="D582" t="str">
            <v>cái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CHCOS25</v>
          </cell>
          <cell r="C583" t="str">
            <v>Chụp đầu cosse  25mm2</v>
          </cell>
          <cell r="D583" t="str">
            <v>cái</v>
          </cell>
          <cell r="F583">
            <v>0</v>
          </cell>
          <cell r="G583">
            <v>0</v>
          </cell>
          <cell r="H583">
            <v>0</v>
          </cell>
        </row>
        <row r="584">
          <cell r="A584" t="str">
            <v>CHCOS35</v>
          </cell>
          <cell r="C584" t="str">
            <v>Chụp đầu cosse  35mm2</v>
          </cell>
          <cell r="D584" t="str">
            <v>cái</v>
          </cell>
          <cell r="F584">
            <v>0</v>
          </cell>
          <cell r="G584">
            <v>0</v>
          </cell>
          <cell r="H584">
            <v>0</v>
          </cell>
        </row>
        <row r="585">
          <cell r="A585" t="str">
            <v>CHCOS50</v>
          </cell>
          <cell r="C585" t="str">
            <v>Chụp đầu cosse  50mm2</v>
          </cell>
          <cell r="D585" t="str">
            <v>cái</v>
          </cell>
          <cell r="E585">
            <v>1300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CHCOS70</v>
          </cell>
          <cell r="C586" t="str">
            <v>Chụp đầu cosse  70mm2</v>
          </cell>
          <cell r="D586" t="str">
            <v>cái</v>
          </cell>
          <cell r="E586">
            <v>2300</v>
          </cell>
          <cell r="F586">
            <v>0</v>
          </cell>
          <cell r="G586">
            <v>0</v>
          </cell>
          <cell r="H586">
            <v>0</v>
          </cell>
        </row>
        <row r="587">
          <cell r="A587" t="str">
            <v>CHCOS95</v>
          </cell>
          <cell r="C587" t="str">
            <v>Chụp đầu cosse  95mm2</v>
          </cell>
          <cell r="D587" t="str">
            <v>cái</v>
          </cell>
          <cell r="E587">
            <v>3300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CHCOS120</v>
          </cell>
          <cell r="C588" t="str">
            <v>Chụp đầu cosse  120mm2</v>
          </cell>
          <cell r="D588" t="str">
            <v>cái</v>
          </cell>
          <cell r="E588">
            <v>3900</v>
          </cell>
          <cell r="F588">
            <v>0</v>
          </cell>
          <cell r="G588">
            <v>0</v>
          </cell>
          <cell r="H588">
            <v>0</v>
          </cell>
        </row>
        <row r="589">
          <cell r="A589" t="str">
            <v>CHCOS150</v>
          </cell>
          <cell r="C589" t="str">
            <v>Chụp đầu cosse  150mm2</v>
          </cell>
          <cell r="D589" t="str">
            <v>cái</v>
          </cell>
          <cell r="E589">
            <v>4600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CHCOS185</v>
          </cell>
          <cell r="C590" t="str">
            <v>Chụp đầu cosse  185mm2</v>
          </cell>
          <cell r="D590" t="str">
            <v>cái</v>
          </cell>
          <cell r="E590">
            <v>5200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CHCOS200</v>
          </cell>
          <cell r="C591" t="str">
            <v>Chụp đầu cosse  200mm2</v>
          </cell>
          <cell r="D591" t="str">
            <v>cái</v>
          </cell>
          <cell r="E591">
            <v>5200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CHCOS240</v>
          </cell>
          <cell r="C592" t="str">
            <v>Chụp đầu cosse  240mm2</v>
          </cell>
          <cell r="D592" t="str">
            <v>cái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CHCOS250</v>
          </cell>
          <cell r="C593" t="str">
            <v>Chụp đầu cosse  250mm2</v>
          </cell>
          <cell r="D593" t="str">
            <v>cái</v>
          </cell>
          <cell r="F593">
            <v>0</v>
          </cell>
          <cell r="G593">
            <v>0</v>
          </cell>
          <cell r="H593">
            <v>0</v>
          </cell>
        </row>
        <row r="594">
          <cell r="A594" t="str">
            <v>CHCOS300</v>
          </cell>
          <cell r="C594" t="str">
            <v>Chụp đầu cosse  300mm2</v>
          </cell>
          <cell r="D594" t="str">
            <v>cái</v>
          </cell>
          <cell r="F594">
            <v>0</v>
          </cell>
          <cell r="G594">
            <v>0</v>
          </cell>
          <cell r="H594">
            <v>0</v>
          </cell>
        </row>
        <row r="595">
          <cell r="A595" t="str">
            <v>Duplex 216</v>
          </cell>
          <cell r="C595" t="str">
            <v>Cáp Duplex 2x16</v>
          </cell>
          <cell r="D595" t="str">
            <v>m</v>
          </cell>
          <cell r="E595">
            <v>62800</v>
          </cell>
          <cell r="F595">
            <v>0</v>
          </cell>
          <cell r="G595">
            <v>0</v>
          </cell>
          <cell r="H595">
            <v>0</v>
          </cell>
        </row>
        <row r="596">
          <cell r="A596" t="str">
            <v>Duplex 311</v>
          </cell>
          <cell r="C596" t="str">
            <v>Cáp Triplex 3x11</v>
          </cell>
          <cell r="D596" t="str">
            <v>m</v>
          </cell>
          <cell r="F596">
            <v>0</v>
          </cell>
          <cell r="G596">
            <v>0</v>
          </cell>
          <cell r="H596">
            <v>0</v>
          </cell>
        </row>
        <row r="597">
          <cell r="A597" t="str">
            <v>Duplex 316</v>
          </cell>
          <cell r="C597" t="str">
            <v>Cáp Triplex 3x16</v>
          </cell>
          <cell r="D597" t="str">
            <v>m</v>
          </cell>
          <cell r="F597">
            <v>0</v>
          </cell>
          <cell r="G597">
            <v>0</v>
          </cell>
          <cell r="H597">
            <v>0</v>
          </cell>
        </row>
        <row r="598">
          <cell r="A598" t="str">
            <v>Duplex 411</v>
          </cell>
          <cell r="C598" t="str">
            <v>Cáp Quadruplex 4x11</v>
          </cell>
          <cell r="D598" t="str">
            <v>m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Duplex 416</v>
          </cell>
          <cell r="C599" t="str">
            <v>Cáp Quadruplex 4x16</v>
          </cell>
          <cell r="D599" t="str">
            <v>m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PVC114</v>
          </cell>
          <cell r="C600" t="str">
            <v xml:space="preserve">Ống PVC D114x4,9mm </v>
          </cell>
          <cell r="D600" t="str">
            <v>m</v>
          </cell>
          <cell r="E600">
            <v>103700</v>
          </cell>
          <cell r="F600">
            <v>0</v>
          </cell>
          <cell r="G600">
            <v>0</v>
          </cell>
          <cell r="H600">
            <v>2</v>
          </cell>
        </row>
        <row r="601">
          <cell r="A601" t="str">
            <v>PVC90</v>
          </cell>
          <cell r="C601" t="str">
            <v xml:space="preserve">Ống PVC D90x3,8mm </v>
          </cell>
          <cell r="D601" t="str">
            <v>m</v>
          </cell>
          <cell r="E601">
            <v>63200</v>
          </cell>
          <cell r="F601">
            <v>0</v>
          </cell>
          <cell r="G601">
            <v>0</v>
          </cell>
          <cell r="H601">
            <v>2</v>
          </cell>
        </row>
        <row r="602">
          <cell r="A602" t="str">
            <v>CUT90</v>
          </cell>
          <cell r="C602" t="str">
            <v>Co sừng 90 độ PVC 90</v>
          </cell>
          <cell r="D602" t="str">
            <v>cái</v>
          </cell>
          <cell r="E602">
            <v>165000</v>
          </cell>
          <cell r="F602">
            <v>0</v>
          </cell>
          <cell r="G602">
            <v>0</v>
          </cell>
          <cell r="H602">
            <v>0</v>
          </cell>
        </row>
        <row r="603">
          <cell r="A603" t="str">
            <v>CUT90135</v>
          </cell>
          <cell r="C603" t="str">
            <v>Co 135 độ PVC 90</v>
          </cell>
          <cell r="D603" t="str">
            <v>cái</v>
          </cell>
          <cell r="E603">
            <v>33900</v>
          </cell>
          <cell r="F603">
            <v>0</v>
          </cell>
          <cell r="G603">
            <v>0</v>
          </cell>
          <cell r="H603">
            <v>0</v>
          </cell>
        </row>
        <row r="604">
          <cell r="A604" t="str">
            <v>CUT90T</v>
          </cell>
          <cell r="C604" t="str">
            <v>Co  90 độ PVC 90</v>
          </cell>
          <cell r="D604" t="str">
            <v>cái</v>
          </cell>
          <cell r="E604">
            <v>35200</v>
          </cell>
          <cell r="F604">
            <v>0</v>
          </cell>
          <cell r="G604">
            <v>0</v>
          </cell>
          <cell r="H604">
            <v>0</v>
          </cell>
        </row>
        <row r="605">
          <cell r="A605" t="str">
            <v>CUT114T</v>
          </cell>
          <cell r="C605" t="str">
            <v>Co  90 độ PVC 114</v>
          </cell>
          <cell r="D605" t="str">
            <v>cái</v>
          </cell>
          <cell r="E605">
            <v>65500</v>
          </cell>
          <cell r="F605">
            <v>0</v>
          </cell>
          <cell r="G605">
            <v>0</v>
          </cell>
          <cell r="H605">
            <v>0</v>
          </cell>
        </row>
        <row r="606">
          <cell r="A606" t="str">
            <v>CUT90TD</v>
          </cell>
          <cell r="C606" t="str">
            <v>Co  90 độ PVC 90 (Loại dày)</v>
          </cell>
          <cell r="D606" t="str">
            <v>cái</v>
          </cell>
          <cell r="E606">
            <v>45400</v>
          </cell>
          <cell r="F606">
            <v>0</v>
          </cell>
          <cell r="G606">
            <v>0</v>
          </cell>
          <cell r="H606">
            <v>0</v>
          </cell>
        </row>
        <row r="607">
          <cell r="A607" t="str">
            <v>CUT114TD</v>
          </cell>
          <cell r="C607" t="str">
            <v>Co  90 độ PVC 114 (Loại dày)</v>
          </cell>
          <cell r="D607" t="str">
            <v>cái</v>
          </cell>
          <cell r="E607">
            <v>104800</v>
          </cell>
          <cell r="F607">
            <v>0</v>
          </cell>
          <cell r="G607">
            <v>0</v>
          </cell>
          <cell r="H607">
            <v>0</v>
          </cell>
        </row>
        <row r="608">
          <cell r="A608" t="str">
            <v>CUT114</v>
          </cell>
          <cell r="C608" t="str">
            <v>Co sừng 90 độ PVC 114</v>
          </cell>
          <cell r="D608" t="str">
            <v>cái</v>
          </cell>
          <cell r="E608">
            <v>195000</v>
          </cell>
          <cell r="F608">
            <v>0</v>
          </cell>
          <cell r="G608">
            <v>0</v>
          </cell>
          <cell r="H608">
            <v>0</v>
          </cell>
        </row>
        <row r="609">
          <cell r="A609" t="str">
            <v>CUT114135</v>
          </cell>
          <cell r="C609" t="str">
            <v>Co 135 độ PVC 114</v>
          </cell>
          <cell r="D609" t="str">
            <v>cái</v>
          </cell>
          <cell r="E609">
            <v>70800</v>
          </cell>
          <cell r="F609">
            <v>0</v>
          </cell>
          <cell r="G609">
            <v>0</v>
          </cell>
          <cell r="H609">
            <v>0</v>
          </cell>
        </row>
        <row r="610">
          <cell r="A610" t="str">
            <v>NG11490</v>
          </cell>
          <cell r="C610" t="str">
            <v>Nối giảm PVC 114-90</v>
          </cell>
          <cell r="D610" t="str">
            <v>cái</v>
          </cell>
          <cell r="E610">
            <v>52800</v>
          </cell>
          <cell r="F610">
            <v>0</v>
          </cell>
          <cell r="G610">
            <v>0</v>
          </cell>
          <cell r="H610">
            <v>0</v>
          </cell>
        </row>
        <row r="611">
          <cell r="A611" t="str">
            <v>BAKE</v>
          </cell>
          <cell r="C611" t="str">
            <v xml:space="preserve">Bakelit 550x450 dầy 10mm </v>
          </cell>
          <cell r="D611" t="str">
            <v>cái</v>
          </cell>
          <cell r="F611">
            <v>0</v>
          </cell>
          <cell r="G611">
            <v>0</v>
          </cell>
          <cell r="H611">
            <v>0</v>
          </cell>
        </row>
        <row r="612">
          <cell r="A612" t="str">
            <v>BANGKEO</v>
          </cell>
          <cell r="C612" t="str">
            <v>Băng keo cách điện (Màu đen)</v>
          </cell>
          <cell r="D612" t="str">
            <v>cuộn</v>
          </cell>
          <cell r="E612">
            <v>6500</v>
          </cell>
          <cell r="F612">
            <v>0</v>
          </cell>
          <cell r="G612">
            <v>0</v>
          </cell>
          <cell r="H612">
            <v>0</v>
          </cell>
        </row>
        <row r="613">
          <cell r="A613" t="str">
            <v>BANGKEOV</v>
          </cell>
          <cell r="C613" t="str">
            <v>Băng keo cách điện (Màu vàng)</v>
          </cell>
          <cell r="D613" t="str">
            <v>cuộn</v>
          </cell>
          <cell r="E613">
            <v>6500</v>
          </cell>
          <cell r="F613">
            <v>0</v>
          </cell>
          <cell r="G613">
            <v>0</v>
          </cell>
          <cell r="H613">
            <v>0</v>
          </cell>
        </row>
        <row r="614">
          <cell r="A614" t="str">
            <v>BANGKEOX</v>
          </cell>
          <cell r="C614" t="str">
            <v>Băng keo cách điện (Màu xanh)</v>
          </cell>
          <cell r="D614" t="str">
            <v>cuộn</v>
          </cell>
          <cell r="E614">
            <v>6500</v>
          </cell>
          <cell r="F614">
            <v>0</v>
          </cell>
          <cell r="G614">
            <v>0</v>
          </cell>
          <cell r="H614">
            <v>0</v>
          </cell>
        </row>
        <row r="615">
          <cell r="A615" t="str">
            <v>BANGKEOD</v>
          </cell>
          <cell r="C615" t="str">
            <v>Băng keo cách điện (Màu đỏ)</v>
          </cell>
          <cell r="D615" t="str">
            <v>cuộn</v>
          </cell>
          <cell r="E615">
            <v>6500</v>
          </cell>
          <cell r="F615">
            <v>0</v>
          </cell>
          <cell r="G615">
            <v>0</v>
          </cell>
          <cell r="H615">
            <v>0</v>
          </cell>
        </row>
        <row r="616">
          <cell r="A616" t="str">
            <v>KEOBIT</v>
          </cell>
          <cell r="C616" t="str">
            <v>Keo silicon bít miệng ống</v>
          </cell>
          <cell r="D616" t="str">
            <v>ống</v>
          </cell>
          <cell r="E616">
            <v>45000</v>
          </cell>
          <cell r="F616">
            <v>0</v>
          </cell>
          <cell r="G616">
            <v>0</v>
          </cell>
          <cell r="H616">
            <v>0</v>
          </cell>
        </row>
        <row r="617">
          <cell r="A617" t="str">
            <v>KEODAN</v>
          </cell>
          <cell r="C617" t="str">
            <v>Keo dán ống PVC (100gr)</v>
          </cell>
          <cell r="D617" t="str">
            <v>tuýp</v>
          </cell>
          <cell r="E617">
            <v>11500</v>
          </cell>
          <cell r="F617">
            <v>0</v>
          </cell>
          <cell r="G617">
            <v>0</v>
          </cell>
          <cell r="H617">
            <v>0</v>
          </cell>
        </row>
        <row r="618">
          <cell r="A618" t="str">
            <v>KEO</v>
          </cell>
          <cell r="C618" t="str">
            <v>Keo dán ống PVC (500gr)</v>
          </cell>
          <cell r="D618" t="str">
            <v>lon</v>
          </cell>
          <cell r="F618">
            <v>0</v>
          </cell>
          <cell r="G618">
            <v>0</v>
          </cell>
          <cell r="H618">
            <v>0</v>
          </cell>
        </row>
        <row r="619">
          <cell r="A619" t="str">
            <v>KVRT90</v>
          </cell>
          <cell r="C619" t="str">
            <v>Khâu ven răng trong D90</v>
          </cell>
          <cell r="D619" t="str">
            <v>cái</v>
          </cell>
          <cell r="E619">
            <v>25800</v>
          </cell>
          <cell r="F619">
            <v>0</v>
          </cell>
          <cell r="G619">
            <v>0</v>
          </cell>
          <cell r="H619">
            <v>0</v>
          </cell>
        </row>
        <row r="620">
          <cell r="A620" t="str">
            <v>KVRT114</v>
          </cell>
          <cell r="C620" t="str">
            <v>Khâu ven răng trong D114</v>
          </cell>
          <cell r="D620" t="str">
            <v>cái</v>
          </cell>
          <cell r="E620">
            <v>35700</v>
          </cell>
          <cell r="F620">
            <v>0</v>
          </cell>
          <cell r="G620">
            <v>0</v>
          </cell>
          <cell r="H620">
            <v>0</v>
          </cell>
        </row>
        <row r="621">
          <cell r="A621" t="str">
            <v>KVRT140</v>
          </cell>
          <cell r="C621" t="str">
            <v>Khâu ven răng trong D140</v>
          </cell>
          <cell r="D621" t="str">
            <v>cái</v>
          </cell>
          <cell r="F621">
            <v>0</v>
          </cell>
          <cell r="G621">
            <v>0</v>
          </cell>
          <cell r="H621">
            <v>0</v>
          </cell>
        </row>
        <row r="622">
          <cell r="A622" t="str">
            <v>KVRN90</v>
          </cell>
          <cell r="C622" t="str">
            <v>Khâu ven răng ngoài D90</v>
          </cell>
          <cell r="D622" t="str">
            <v>cái</v>
          </cell>
          <cell r="E622">
            <v>21500</v>
          </cell>
          <cell r="F622">
            <v>0</v>
          </cell>
          <cell r="G622">
            <v>0</v>
          </cell>
          <cell r="H622">
            <v>0</v>
          </cell>
        </row>
        <row r="623">
          <cell r="A623" t="str">
            <v>KVRN114</v>
          </cell>
          <cell r="C623" t="str">
            <v>Khâu ven răng ngoài D114</v>
          </cell>
          <cell r="D623" t="str">
            <v>cái</v>
          </cell>
          <cell r="E623">
            <v>25600</v>
          </cell>
          <cell r="F623">
            <v>0</v>
          </cell>
          <cell r="G623">
            <v>0</v>
          </cell>
          <cell r="H623">
            <v>0</v>
          </cell>
        </row>
        <row r="624">
          <cell r="A624" t="str">
            <v>KVRN140</v>
          </cell>
          <cell r="C624" t="str">
            <v>Khâu ven răng ngoài D140</v>
          </cell>
          <cell r="D624" t="str">
            <v>cái</v>
          </cell>
          <cell r="F624">
            <v>0</v>
          </cell>
          <cell r="G624">
            <v>0</v>
          </cell>
          <cell r="H624">
            <v>0</v>
          </cell>
        </row>
        <row r="625">
          <cell r="A625" t="str">
            <v>OXC25</v>
          </cell>
          <cell r="C625" t="str">
            <v>Ốc xiết cáp cỡ 25mm2</v>
          </cell>
          <cell r="D625" t="str">
            <v>cái</v>
          </cell>
          <cell r="E625">
            <v>17000</v>
          </cell>
          <cell r="F625">
            <v>0</v>
          </cell>
          <cell r="G625">
            <v>0</v>
          </cell>
          <cell r="H625">
            <v>0</v>
          </cell>
        </row>
        <row r="626">
          <cell r="A626" t="str">
            <v>OXC38</v>
          </cell>
          <cell r="C626" t="str">
            <v xml:space="preserve">Ốc xiết cáp cỡ 38mm2 </v>
          </cell>
          <cell r="D626" t="str">
            <v>cái</v>
          </cell>
          <cell r="E626">
            <v>17000</v>
          </cell>
          <cell r="F626">
            <v>0</v>
          </cell>
          <cell r="G626">
            <v>0</v>
          </cell>
          <cell r="H626">
            <v>0</v>
          </cell>
        </row>
        <row r="627">
          <cell r="A627" t="str">
            <v>OXC50</v>
          </cell>
          <cell r="C627" t="str">
            <v xml:space="preserve">Ốc xiết cáp cỡ 50mm2 </v>
          </cell>
          <cell r="D627" t="str">
            <v>cái</v>
          </cell>
          <cell r="F627">
            <v>0</v>
          </cell>
          <cell r="G627">
            <v>0</v>
          </cell>
          <cell r="H627">
            <v>0</v>
          </cell>
        </row>
        <row r="628">
          <cell r="A628" t="str">
            <v>OXC70</v>
          </cell>
          <cell r="C628" t="str">
            <v xml:space="preserve">Ốc xiết cáp cỡ 70mm2 </v>
          </cell>
          <cell r="D628" t="str">
            <v>cái</v>
          </cell>
          <cell r="F628">
            <v>0</v>
          </cell>
          <cell r="G628">
            <v>0</v>
          </cell>
          <cell r="H628">
            <v>0</v>
          </cell>
        </row>
        <row r="629">
          <cell r="A629" t="str">
            <v>OXC95</v>
          </cell>
          <cell r="C629" t="str">
            <v xml:space="preserve">Ốc xiết cáp cỡ 95mm2 </v>
          </cell>
          <cell r="D629" t="str">
            <v>cái</v>
          </cell>
          <cell r="F629">
            <v>0</v>
          </cell>
          <cell r="G629">
            <v>0</v>
          </cell>
          <cell r="H629">
            <v>0</v>
          </cell>
        </row>
        <row r="630">
          <cell r="A630" t="str">
            <v>OXC120</v>
          </cell>
          <cell r="C630" t="str">
            <v xml:space="preserve">Ốc xiết cáp cỡ 120mm2 </v>
          </cell>
          <cell r="D630" t="str">
            <v>cái</v>
          </cell>
          <cell r="F630">
            <v>0</v>
          </cell>
          <cell r="G630">
            <v>0</v>
          </cell>
          <cell r="H630">
            <v>0</v>
          </cell>
        </row>
        <row r="631">
          <cell r="A631" t="str">
            <v>OXC150</v>
          </cell>
          <cell r="C631" t="str">
            <v>Ốc xiết cáp cỡ 150mm2</v>
          </cell>
          <cell r="D631" t="str">
            <v>cái</v>
          </cell>
          <cell r="F631">
            <v>0</v>
          </cell>
          <cell r="G631">
            <v>0</v>
          </cell>
          <cell r="H631">
            <v>0</v>
          </cell>
        </row>
        <row r="632">
          <cell r="A632" t="str">
            <v>OXC185</v>
          </cell>
          <cell r="C632" t="str">
            <v>Ốc xiết cáp cỡ 185mm2</v>
          </cell>
          <cell r="D632" t="str">
            <v>cái</v>
          </cell>
          <cell r="F632">
            <v>0</v>
          </cell>
          <cell r="G632">
            <v>0</v>
          </cell>
          <cell r="H632">
            <v>0</v>
          </cell>
        </row>
        <row r="633">
          <cell r="A633" t="str">
            <v>OXC240</v>
          </cell>
          <cell r="C633" t="str">
            <v>Ốc xiết cáp cỡ 240mm2</v>
          </cell>
          <cell r="D633" t="str">
            <v>cái</v>
          </cell>
          <cell r="F633">
            <v>0</v>
          </cell>
          <cell r="G633">
            <v>0</v>
          </cell>
          <cell r="H633">
            <v>0</v>
          </cell>
        </row>
        <row r="634">
          <cell r="A634" t="str">
            <v>U16-280</v>
          </cell>
          <cell r="C634" t="str">
            <v>Đà U160x64x5x2800 đỡ MBA (42,84 kg/cái)</v>
          </cell>
          <cell r="D634" t="str">
            <v>cái</v>
          </cell>
          <cell r="E634">
            <v>1247158.0799999998</v>
          </cell>
          <cell r="F634">
            <v>0</v>
          </cell>
          <cell r="G634">
            <v>0</v>
          </cell>
          <cell r="H634">
            <v>42.839999999999996</v>
          </cell>
        </row>
        <row r="635">
          <cell r="A635" t="str">
            <v>U20-280</v>
          </cell>
          <cell r="C635" t="str">
            <v>Đà U200x76x5,2x2800 đỡ MBA (54,25 kg/cái)</v>
          </cell>
          <cell r="D635" t="str">
            <v>cái</v>
          </cell>
          <cell r="E635">
            <v>1579326</v>
          </cell>
          <cell r="F635">
            <v>0</v>
          </cell>
          <cell r="G635">
            <v>0</v>
          </cell>
          <cell r="H635">
            <v>54.25</v>
          </cell>
        </row>
        <row r="636">
          <cell r="A636" t="str">
            <v>U1008</v>
          </cell>
          <cell r="C636" t="str">
            <v>Đà U100x46x4,5x800 (6,872 kg/cái)</v>
          </cell>
          <cell r="D636" t="str">
            <v>cái</v>
          </cell>
          <cell r="E636">
            <v>200057.66399999999</v>
          </cell>
          <cell r="F636">
            <v>0</v>
          </cell>
          <cell r="G636">
            <v>0</v>
          </cell>
          <cell r="H636">
            <v>6.8719999999999999</v>
          </cell>
        </row>
        <row r="637">
          <cell r="A637" t="str">
            <v>U1004</v>
          </cell>
          <cell r="C637" t="str">
            <v>Đà U100x46x4,5x400 (3,436 kg/cái)</v>
          </cell>
          <cell r="D637" t="str">
            <v>cái</v>
          </cell>
          <cell r="E637">
            <v>100028.83199999999</v>
          </cell>
          <cell r="F637">
            <v>0</v>
          </cell>
          <cell r="G637">
            <v>0</v>
          </cell>
          <cell r="H637">
            <v>3.4359999999999999</v>
          </cell>
        </row>
        <row r="638">
          <cell r="A638" t="str">
            <v>Đà trạm ngồi</v>
          </cell>
        </row>
        <row r="639">
          <cell r="A639" t="str">
            <v>U16-1700T</v>
          </cell>
          <cell r="C639" t="str">
            <v>Đà U160x64x5x1700 (24,14 kg/cái) (trái) (Đà số 1)</v>
          </cell>
          <cell r="D639" t="str">
            <v>cái</v>
          </cell>
          <cell r="E639">
            <v>702763.68</v>
          </cell>
          <cell r="F639">
            <v>0</v>
          </cell>
          <cell r="G639">
            <v>0</v>
          </cell>
          <cell r="H639">
            <v>24.14</v>
          </cell>
        </row>
        <row r="640">
          <cell r="A640" t="str">
            <v>U16-1700P</v>
          </cell>
          <cell r="C640" t="str">
            <v>Đà U160x64x5x1700 (24,14 kg/cái) (phải) (Đà số 1)</v>
          </cell>
          <cell r="D640" t="str">
            <v>cái</v>
          </cell>
          <cell r="E640">
            <v>702763.68</v>
          </cell>
          <cell r="F640">
            <v>0</v>
          </cell>
          <cell r="G640">
            <v>0</v>
          </cell>
          <cell r="H640">
            <v>24.14</v>
          </cell>
        </row>
        <row r="641">
          <cell r="A641" t="str">
            <v>U16-2100T</v>
          </cell>
          <cell r="C641" t="str">
            <v>Đà U160x64x5x2100 (29,82 kg/cái) (trái) (Đà số 2)</v>
          </cell>
          <cell r="D641" t="str">
            <v>cái</v>
          </cell>
          <cell r="E641">
            <v>868119.84</v>
          </cell>
          <cell r="F641">
            <v>0</v>
          </cell>
          <cell r="G641">
            <v>0</v>
          </cell>
          <cell r="H641">
            <v>29.82</v>
          </cell>
        </row>
        <row r="642">
          <cell r="A642" t="str">
            <v>U16-2100P</v>
          </cell>
          <cell r="C642" t="str">
            <v>Đà U160x64x5x2100 (29,82 kg/cái) (phải) (Đà số 2)</v>
          </cell>
          <cell r="D642" t="str">
            <v>cái</v>
          </cell>
          <cell r="E642">
            <v>868119.84</v>
          </cell>
          <cell r="F642">
            <v>0</v>
          </cell>
          <cell r="G642">
            <v>0</v>
          </cell>
          <cell r="H642">
            <v>29.82</v>
          </cell>
        </row>
        <row r="643">
          <cell r="A643" t="str">
            <v>U16-1449</v>
          </cell>
          <cell r="C643" t="str">
            <v>Đà U160x64x5x1543,5 (21,918 kg/cái) (Đà số 3)</v>
          </cell>
          <cell r="D643" t="str">
            <v>cái</v>
          </cell>
          <cell r="E643">
            <v>638076.81599999999</v>
          </cell>
          <cell r="F643">
            <v>0</v>
          </cell>
          <cell r="G643">
            <v>0</v>
          </cell>
          <cell r="H643">
            <v>21.917999999999999</v>
          </cell>
        </row>
        <row r="644">
          <cell r="A644" t="str">
            <v>U10-400</v>
          </cell>
          <cell r="C644" t="str">
            <v>Đà U100x46x4,5x400 (3,436 kg/cái) (Đà số 4)</v>
          </cell>
          <cell r="D644" t="str">
            <v>cái</v>
          </cell>
          <cell r="E644">
            <v>100028.83199999999</v>
          </cell>
          <cell r="F644">
            <v>0</v>
          </cell>
          <cell r="G644">
            <v>0</v>
          </cell>
          <cell r="H644">
            <v>3.4359999999999999</v>
          </cell>
        </row>
        <row r="645">
          <cell r="A645" t="str">
            <v>U16-700</v>
          </cell>
          <cell r="C645" t="str">
            <v>Đà U160x64x5x700 (9,94 kg/cái) (Đà số 5)</v>
          </cell>
          <cell r="D645" t="str">
            <v>cái</v>
          </cell>
          <cell r="E645">
            <v>289373.27999999997</v>
          </cell>
          <cell r="F645">
            <v>0</v>
          </cell>
          <cell r="G645">
            <v>0</v>
          </cell>
          <cell r="H645">
            <v>9.94</v>
          </cell>
        </row>
        <row r="646">
          <cell r="A646" t="str">
            <v>U16-1100N</v>
          </cell>
          <cell r="C646" t="str">
            <v>Đà U160x64x5x1100 (15,62 kg/cái) (Đà số 6)</v>
          </cell>
          <cell r="D646" t="str">
            <v>cái</v>
          </cell>
          <cell r="E646">
            <v>454729.44</v>
          </cell>
          <cell r="F646">
            <v>0</v>
          </cell>
          <cell r="G646">
            <v>0</v>
          </cell>
          <cell r="H646">
            <v>15.62</v>
          </cell>
        </row>
        <row r="647">
          <cell r="A647" t="str">
            <v>U16-1100T</v>
          </cell>
          <cell r="C647" t="str">
            <v>Đà U160x64x5x1100 (15,62 kg/cái) (Đà số 7)</v>
          </cell>
          <cell r="D647" t="str">
            <v>cái</v>
          </cell>
          <cell r="E647">
            <v>454729.44</v>
          </cell>
          <cell r="F647">
            <v>0</v>
          </cell>
          <cell r="G647">
            <v>0</v>
          </cell>
          <cell r="H647">
            <v>15.62</v>
          </cell>
        </row>
        <row r="648">
          <cell r="A648" t="str">
            <v>U10-700</v>
          </cell>
          <cell r="C648" t="str">
            <v>Đà U100x46x4,5x700 (6,013 kg/cái) (Đà số 8)</v>
          </cell>
          <cell r="D648" t="str">
            <v>cái</v>
          </cell>
          <cell r="E648">
            <v>175050.45600000001</v>
          </cell>
          <cell r="F648">
            <v>0</v>
          </cell>
          <cell r="G648">
            <v>0</v>
          </cell>
          <cell r="H648">
            <v>6.0129999999999999</v>
          </cell>
        </row>
        <row r="649">
          <cell r="A649" t="str">
            <v>U10-1100T</v>
          </cell>
          <cell r="C649" t="str">
            <v>Đà U100x46x4,5x1100 (9,449kg/cái) (Đà số 9)</v>
          </cell>
          <cell r="D649" t="str">
            <v>cái</v>
          </cell>
          <cell r="E649">
            <v>275079.288</v>
          </cell>
          <cell r="F649">
            <v>0</v>
          </cell>
          <cell r="G649">
            <v>0</v>
          </cell>
          <cell r="H649">
            <v>9.4489999999999998</v>
          </cell>
        </row>
        <row r="650">
          <cell r="A650" t="str">
            <v>U10-1100N</v>
          </cell>
          <cell r="C650" t="str">
            <v>Đà U100x46x4,5x1100 (9,449 kg/cái) (Đà số 10)</v>
          </cell>
          <cell r="D650" t="str">
            <v>cái</v>
          </cell>
          <cell r="E650">
            <v>275079.288</v>
          </cell>
          <cell r="F650">
            <v>0</v>
          </cell>
          <cell r="G650">
            <v>0</v>
          </cell>
          <cell r="H650">
            <v>9.4489999999999998</v>
          </cell>
        </row>
        <row r="651">
          <cell r="A651" t="str">
            <v>GIP50-35</v>
          </cell>
          <cell r="C651" t="str">
            <v>Ghíp nối IPC 50-35</v>
          </cell>
          <cell r="D651" t="str">
            <v>cái</v>
          </cell>
          <cell r="G651">
            <v>0</v>
          </cell>
          <cell r="H651">
            <v>0.1</v>
          </cell>
        </row>
        <row r="652">
          <cell r="A652" t="str">
            <v>GIP70-35</v>
          </cell>
          <cell r="C652" t="str">
            <v>Ghíp nối IPC 70-35</v>
          </cell>
          <cell r="D652" t="str">
            <v>cái</v>
          </cell>
          <cell r="G652">
            <v>0</v>
          </cell>
          <cell r="H652">
            <v>0.1</v>
          </cell>
        </row>
        <row r="653">
          <cell r="A653" t="str">
            <v>GIP95-35</v>
          </cell>
          <cell r="C653" t="str">
            <v>Ghíp nối IPC 95-35</v>
          </cell>
          <cell r="D653" t="str">
            <v>cái</v>
          </cell>
          <cell r="E653">
            <v>22000</v>
          </cell>
          <cell r="G653">
            <v>0</v>
          </cell>
          <cell r="H653">
            <v>0.1</v>
          </cell>
        </row>
        <row r="654">
          <cell r="A654" t="str">
            <v>GIP120-35</v>
          </cell>
          <cell r="C654" t="str">
            <v>Ghíp nối IPC 120-35</v>
          </cell>
          <cell r="D654" t="str">
            <v>cái</v>
          </cell>
          <cell r="E654">
            <v>42000</v>
          </cell>
          <cell r="G654">
            <v>0</v>
          </cell>
          <cell r="H654">
            <v>0.1</v>
          </cell>
        </row>
        <row r="655">
          <cell r="A655" t="str">
            <v>GIP150-35</v>
          </cell>
          <cell r="C655" t="str">
            <v>Ghíp nối IPC 150-35</v>
          </cell>
          <cell r="D655" t="str">
            <v>cái</v>
          </cell>
          <cell r="E655">
            <v>42000</v>
          </cell>
          <cell r="G655">
            <v>0</v>
          </cell>
          <cell r="H655">
            <v>0.1</v>
          </cell>
        </row>
        <row r="656">
          <cell r="A656" t="str">
            <v>GIP95-95</v>
          </cell>
          <cell r="C656" t="str">
            <v>Ghíp nối IPC 95-95</v>
          </cell>
          <cell r="D656" t="str">
            <v>cái</v>
          </cell>
          <cell r="E656">
            <v>42000</v>
          </cell>
          <cell r="G656">
            <v>0</v>
          </cell>
          <cell r="H656">
            <v>0.1</v>
          </cell>
        </row>
        <row r="657">
          <cell r="A657" t="str">
            <v>GIP120-120</v>
          </cell>
          <cell r="C657" t="str">
            <v>Ghíp nối IPC 120-120</v>
          </cell>
          <cell r="D657" t="str">
            <v>cái</v>
          </cell>
          <cell r="E657">
            <v>42000</v>
          </cell>
          <cell r="G657">
            <v>0</v>
          </cell>
          <cell r="H657">
            <v>0.1</v>
          </cell>
        </row>
        <row r="658">
          <cell r="A658" t="str">
            <v>GIP95-150</v>
          </cell>
          <cell r="C658" t="str">
            <v>Ghíp nối IPC 95-150</v>
          </cell>
          <cell r="D658" t="str">
            <v>cái</v>
          </cell>
          <cell r="G658">
            <v>0</v>
          </cell>
          <cell r="H658">
            <v>0.1</v>
          </cell>
        </row>
      </sheetData>
      <sheetData sheetId="9"/>
      <sheetData sheetId="10"/>
      <sheetData sheetId="11">
        <row r="2">
          <cell r="G2">
            <v>45</v>
          </cell>
        </row>
        <row r="3">
          <cell r="B3">
            <v>0</v>
          </cell>
          <cell r="D3">
            <v>2</v>
          </cell>
          <cell r="G3">
            <v>52</v>
          </cell>
        </row>
        <row r="4">
          <cell r="B4">
            <v>0</v>
          </cell>
        </row>
        <row r="5">
          <cell r="B5">
            <v>0</v>
          </cell>
          <cell r="D5">
            <v>2</v>
          </cell>
          <cell r="G5">
            <v>2.4</v>
          </cell>
        </row>
        <row r="6">
          <cell r="B6">
            <v>8</v>
          </cell>
          <cell r="D6">
            <v>1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2">
          <cell r="B12">
            <v>5</v>
          </cell>
        </row>
        <row r="13">
          <cell r="B13">
            <v>0</v>
          </cell>
        </row>
        <row r="15">
          <cell r="B15">
            <v>0</v>
          </cell>
        </row>
        <row r="16">
          <cell r="B16">
            <v>0</v>
          </cell>
        </row>
        <row r="28">
          <cell r="A28" t="str">
            <v/>
          </cell>
          <cell r="B28" t="str">
            <v>MÃ</v>
          </cell>
          <cell r="D28" t="str">
            <v>STT</v>
          </cell>
          <cell r="E28" t="str">
            <v>MÃ ĐM</v>
          </cell>
          <cell r="F28" t="str">
            <v>TÊN CẤU KIỆN</v>
          </cell>
          <cell r="G28" t="str">
            <v>ĐƠN VỊ</v>
          </cell>
          <cell r="H28" t="str">
            <v>KHỐI LƯỢNG</v>
          </cell>
          <cell r="I28" t="str">
            <v>ĐƠN GIÁ</v>
          </cell>
          <cell r="M28" t="str">
            <v xml:space="preserve">THÀNH TIỀN </v>
          </cell>
          <cell r="Q28" t="str">
            <v>GHI CHÚ</v>
          </cell>
          <cell r="S28" t="str">
            <v>TỶ TRỌNG</v>
          </cell>
          <cell r="T28" t="str">
            <v>KHỐI LƯỢNG</v>
          </cell>
        </row>
        <row r="29">
          <cell r="A29" t="str">
            <v/>
          </cell>
          <cell r="I29" t="str">
            <v>VL-NĐM</v>
          </cell>
          <cell r="J29" t="str">
            <v>VL-ĐM</v>
          </cell>
          <cell r="K29" t="str">
            <v>NCÔNG</v>
          </cell>
          <cell r="L29" t="str">
            <v>MÁY</v>
          </cell>
          <cell r="M29" t="str">
            <v>VL-NĐM</v>
          </cell>
          <cell r="N29" t="str">
            <v>VL-ĐM</v>
          </cell>
          <cell r="O29" t="str">
            <v>NCÔNG</v>
          </cell>
          <cell r="P29" t="str">
            <v>MÁY</v>
          </cell>
        </row>
        <row r="30">
          <cell r="A30" t="str">
            <v>TR25</v>
          </cell>
          <cell r="C30" t="str">
            <v>X</v>
          </cell>
          <cell r="D30" t="str">
            <v>I</v>
          </cell>
          <cell r="E30" t="str">
            <v>0 Trạm 1 pha 25kVA</v>
          </cell>
        </row>
        <row r="31">
          <cell r="A31" t="str">
            <v>TBTR25</v>
          </cell>
          <cell r="C31" t="str">
            <v>X</v>
          </cell>
          <cell r="F31" t="str">
            <v>A.PHẦN THIẾT BỊ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T31">
            <v>0</v>
          </cell>
        </row>
        <row r="32">
          <cell r="A32" t="str">
            <v/>
          </cell>
          <cell r="B32" t="str">
            <v>TR251</v>
          </cell>
          <cell r="C32" t="str">
            <v>X</v>
          </cell>
          <cell r="E32" t="str">
            <v>T1.1431</v>
          </cell>
          <cell r="F32" t="str">
            <v>Máy biến áp AMORPHOUS 12,7/0,22-0,44kV 25kVA</v>
          </cell>
          <cell r="G32" t="str">
            <v>máy</v>
          </cell>
          <cell r="H32">
            <v>0</v>
          </cell>
          <cell r="I32">
            <v>0</v>
          </cell>
          <cell r="K32">
            <v>647230</v>
          </cell>
          <cell r="L32">
            <v>360605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320</v>
          </cell>
          <cell r="T32">
            <v>0</v>
          </cell>
        </row>
        <row r="33">
          <cell r="A33" t="str">
            <v/>
          </cell>
          <cell r="B33" t="str">
            <v>FCO100</v>
          </cell>
          <cell r="C33" t="str">
            <v>X</v>
          </cell>
          <cell r="E33" t="str">
            <v>T2.3505</v>
          </cell>
          <cell r="F33" t="str">
            <v>FCO 27kV - 100A</v>
          </cell>
          <cell r="G33" t="str">
            <v>cái</v>
          </cell>
          <cell r="H33">
            <v>0</v>
          </cell>
          <cell r="I33">
            <v>1020000</v>
          </cell>
          <cell r="K33">
            <v>189552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S33">
            <v>1.5</v>
          </cell>
          <cell r="T33">
            <v>0</v>
          </cell>
        </row>
        <row r="34">
          <cell r="A34" t="str">
            <v/>
          </cell>
          <cell r="B34" t="str">
            <v>LA18</v>
          </cell>
          <cell r="C34" t="str">
            <v>X</v>
          </cell>
          <cell r="E34" t="str">
            <v>T2.5004</v>
          </cell>
          <cell r="F34" t="str">
            <v>LA 18kV 10kA</v>
          </cell>
          <cell r="G34" t="str">
            <v>cái</v>
          </cell>
          <cell r="H34">
            <v>0</v>
          </cell>
          <cell r="I34">
            <v>910000</v>
          </cell>
          <cell r="K34">
            <v>71082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0.8</v>
          </cell>
          <cell r="T34">
            <v>0</v>
          </cell>
        </row>
        <row r="35">
          <cell r="A35" t="str">
            <v/>
          </cell>
          <cell r="B35" t="str">
            <v>ATM125</v>
          </cell>
          <cell r="C35" t="str">
            <v>X</v>
          </cell>
          <cell r="F35" t="str">
            <v>MCCB 3 cực 400V - 125A - 30KA (80-125A)</v>
          </cell>
          <cell r="G35" t="str">
            <v>cái</v>
          </cell>
          <cell r="H35">
            <v>0</v>
          </cell>
          <cell r="I35">
            <v>2575000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S35">
            <v>2</v>
          </cell>
          <cell r="T35">
            <v>0</v>
          </cell>
        </row>
        <row r="36">
          <cell r="A36" t="str">
            <v/>
          </cell>
          <cell r="B36" t="str">
            <v>TI1005</v>
          </cell>
          <cell r="C36" t="str">
            <v>X</v>
          </cell>
          <cell r="E36">
            <v>0</v>
          </cell>
          <cell r="F36" t="str">
            <v>Biến dòng 600V - 100/5A</v>
          </cell>
          <cell r="G36" t="str">
            <v>cái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 t="str">
            <v>ĐL cấp</v>
          </cell>
          <cell r="S36">
            <v>0</v>
          </cell>
          <cell r="T36">
            <v>0</v>
          </cell>
        </row>
        <row r="37">
          <cell r="A37" t="str">
            <v/>
          </cell>
          <cell r="B37" t="str">
            <v>DK1p80A</v>
          </cell>
          <cell r="C37" t="str">
            <v>X</v>
          </cell>
          <cell r="E37">
            <v>0</v>
          </cell>
          <cell r="F37" t="str">
            <v>Điện kế 1 pha 2 dây 220V-80A</v>
          </cell>
          <cell r="G37" t="str">
            <v>cái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 t="str">
            <v>ĐL cấp</v>
          </cell>
          <cell r="S37">
            <v>0</v>
          </cell>
          <cell r="T37">
            <v>0</v>
          </cell>
        </row>
        <row r="38">
          <cell r="A38" t="str">
            <v>VLTR25</v>
          </cell>
          <cell r="C38" t="str">
            <v>X</v>
          </cell>
          <cell r="F38" t="str">
            <v>B. PHẦN VẬT LIỆU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T38">
            <v>0</v>
          </cell>
        </row>
        <row r="39">
          <cell r="C39" t="str">
            <v>X</v>
          </cell>
          <cell r="D39">
            <v>0</v>
          </cell>
          <cell r="F39" t="str">
            <v>Vật liệu bảo vệ thiết bị</v>
          </cell>
          <cell r="G39" t="str">
            <v>Bộ</v>
          </cell>
          <cell r="H39">
            <v>0</v>
          </cell>
          <cell r="S39">
            <v>0</v>
          </cell>
          <cell r="T39">
            <v>0</v>
          </cell>
        </row>
        <row r="40">
          <cell r="A40" t="str">
            <v/>
          </cell>
          <cell r="C40" t="str">
            <v>X</v>
          </cell>
          <cell r="F40" t="str">
            <v>Gồm có: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S40">
            <v>0</v>
          </cell>
          <cell r="T40">
            <v>0</v>
          </cell>
        </row>
        <row r="41">
          <cell r="A41" t="str">
            <v/>
          </cell>
          <cell r="B41" t="str">
            <v>CHI3K</v>
          </cell>
          <cell r="C41" t="str">
            <v>X</v>
          </cell>
          <cell r="E41">
            <v>0</v>
          </cell>
          <cell r="F41" t="str">
            <v>Dây chảy 3K</v>
          </cell>
          <cell r="G41" t="str">
            <v>Sợi</v>
          </cell>
          <cell r="H41">
            <v>0</v>
          </cell>
          <cell r="I41">
            <v>84000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S41">
            <v>0</v>
          </cell>
          <cell r="T41">
            <v>0</v>
          </cell>
        </row>
        <row r="42">
          <cell r="A42" t="str">
            <v/>
          </cell>
          <cell r="B42" t="str">
            <v>CHUPFCO</v>
          </cell>
          <cell r="C42" t="str">
            <v>X</v>
          </cell>
          <cell r="E42">
            <v>0</v>
          </cell>
          <cell r="F42" t="str">
            <v>Chụp đầu FCO (Trên + Dưới)</v>
          </cell>
          <cell r="G42" t="str">
            <v>bộ</v>
          </cell>
          <cell r="H42">
            <v>0</v>
          </cell>
          <cell r="I42">
            <v>190000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0</v>
          </cell>
          <cell r="T42">
            <v>0</v>
          </cell>
        </row>
        <row r="43">
          <cell r="A43" t="str">
            <v/>
          </cell>
          <cell r="B43" t="str">
            <v>CHUPLA</v>
          </cell>
          <cell r="C43" t="str">
            <v>X</v>
          </cell>
          <cell r="E43">
            <v>0</v>
          </cell>
          <cell r="F43" t="str">
            <v>Chụp đầu LA</v>
          </cell>
          <cell r="G43" t="str">
            <v>cái</v>
          </cell>
          <cell r="H43">
            <v>0</v>
          </cell>
          <cell r="I43">
            <v>32000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S43">
            <v>0</v>
          </cell>
          <cell r="T43">
            <v>0</v>
          </cell>
        </row>
        <row r="44">
          <cell r="A44" t="str">
            <v/>
          </cell>
          <cell r="B44" t="str">
            <v>CHUPMBA</v>
          </cell>
          <cell r="C44" t="str">
            <v>X</v>
          </cell>
          <cell r="E44">
            <v>0</v>
          </cell>
          <cell r="F44" t="str">
            <v>Chụp đầu cực MBA</v>
          </cell>
          <cell r="G44" t="str">
            <v>cái</v>
          </cell>
          <cell r="H44">
            <v>0</v>
          </cell>
          <cell r="I44">
            <v>52000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0</v>
          </cell>
          <cell r="T44">
            <v>0</v>
          </cell>
        </row>
        <row r="45">
          <cell r="A45" t="str">
            <v/>
          </cell>
          <cell r="C45" t="str">
            <v>X</v>
          </cell>
          <cell r="D45">
            <v>0</v>
          </cell>
          <cell r="F45" t="str">
            <v>Đà Composite bắt LA, FCO</v>
          </cell>
          <cell r="G45" t="str">
            <v>Bộ</v>
          </cell>
          <cell r="H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S45">
            <v>0</v>
          </cell>
          <cell r="T45">
            <v>0</v>
          </cell>
        </row>
        <row r="46">
          <cell r="A46" t="str">
            <v/>
          </cell>
          <cell r="C46" t="str">
            <v>X</v>
          </cell>
          <cell r="F46" t="str">
            <v>Gồm có: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S46">
            <v>0</v>
          </cell>
          <cell r="T46">
            <v>0</v>
          </cell>
        </row>
        <row r="47">
          <cell r="A47" t="str">
            <v/>
          </cell>
          <cell r="B47" t="str">
            <v>COM800</v>
          </cell>
          <cell r="C47" t="str">
            <v>X</v>
          </cell>
          <cell r="E47">
            <v>0</v>
          </cell>
          <cell r="F47" t="str">
            <v>Đà hộp composite 110x80x5-800</v>
          </cell>
          <cell r="G47" t="str">
            <v>cái</v>
          </cell>
          <cell r="H47">
            <v>0</v>
          </cell>
          <cell r="I47">
            <v>393000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S47">
            <v>3.2</v>
          </cell>
          <cell r="T47">
            <v>0</v>
          </cell>
        </row>
        <row r="48">
          <cell r="A48" t="str">
            <v/>
          </cell>
          <cell r="B48" t="str">
            <v>CCOM800</v>
          </cell>
          <cell r="C48" t="str">
            <v>X</v>
          </cell>
          <cell r="E48">
            <v>0</v>
          </cell>
          <cell r="F48" t="str">
            <v>Thanh chống 10x40x720</v>
          </cell>
          <cell r="G48" t="str">
            <v>cái</v>
          </cell>
          <cell r="H48">
            <v>0</v>
          </cell>
          <cell r="I48">
            <v>118000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S48">
            <v>0.5</v>
          </cell>
          <cell r="T48">
            <v>0</v>
          </cell>
        </row>
        <row r="49">
          <cell r="A49" t="str">
            <v/>
          </cell>
          <cell r="B49" t="str">
            <v>BATLI</v>
          </cell>
          <cell r="C49" t="str">
            <v>X</v>
          </cell>
          <cell r="E49">
            <v>0</v>
          </cell>
          <cell r="F49" t="str">
            <v>Bass LI bắt FCO, LA</v>
          </cell>
          <cell r="G49" t="str">
            <v>Bộ</v>
          </cell>
          <cell r="H49">
            <v>0</v>
          </cell>
          <cell r="I49">
            <v>45000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S49">
            <v>0.4</v>
          </cell>
          <cell r="T49">
            <v>0</v>
          </cell>
        </row>
        <row r="50">
          <cell r="A50" t="str">
            <v/>
          </cell>
          <cell r="B50" t="str">
            <v>B16250</v>
          </cell>
          <cell r="C50" t="str">
            <v>X</v>
          </cell>
          <cell r="E50">
            <v>0</v>
          </cell>
          <cell r="F50" t="str">
            <v>Boulon 16x250+ 2 long đền vuông D18-50x50x3/Zn</v>
          </cell>
          <cell r="G50" t="str">
            <v>bộ</v>
          </cell>
          <cell r="H50">
            <v>0</v>
          </cell>
          <cell r="I50">
            <v>28000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S50">
            <v>0.23</v>
          </cell>
          <cell r="T50">
            <v>0</v>
          </cell>
        </row>
        <row r="51">
          <cell r="A51" t="str">
            <v/>
          </cell>
          <cell r="B51" t="str">
            <v>B16350</v>
          </cell>
          <cell r="C51" t="str">
            <v>X</v>
          </cell>
          <cell r="E51">
            <v>0</v>
          </cell>
          <cell r="F51" t="str">
            <v>Boulon 16x350+ 2 long đền vuông D18-50x50x3/Zn</v>
          </cell>
          <cell r="G51" t="str">
            <v>bộ</v>
          </cell>
          <cell r="H51">
            <v>0</v>
          </cell>
          <cell r="I51">
            <v>32500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S51">
            <v>0.3</v>
          </cell>
          <cell r="T51">
            <v>0</v>
          </cell>
        </row>
        <row r="52">
          <cell r="A52" t="str">
            <v/>
          </cell>
          <cell r="B52" t="str">
            <v>B14120</v>
          </cell>
          <cell r="C52" t="str">
            <v>X</v>
          </cell>
          <cell r="E52">
            <v>0</v>
          </cell>
          <cell r="F52" t="str">
            <v>Boulon 14x120+ 2 long đền vuông D16-50x50x3/Zn</v>
          </cell>
          <cell r="G52" t="str">
            <v>bộ</v>
          </cell>
          <cell r="H52">
            <v>0</v>
          </cell>
          <cell r="I52">
            <v>20000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S52">
            <v>0.2</v>
          </cell>
          <cell r="T52">
            <v>0</v>
          </cell>
        </row>
        <row r="53">
          <cell r="A53" t="str">
            <v/>
          </cell>
          <cell r="C53" t="str">
            <v>X</v>
          </cell>
          <cell r="D53">
            <v>0</v>
          </cell>
          <cell r="F53" t="str">
            <v>Bộ tiếp địa Trạm 1 pha</v>
          </cell>
          <cell r="G53" t="str">
            <v>Bộ</v>
          </cell>
          <cell r="H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S53">
            <v>0</v>
          </cell>
          <cell r="T53">
            <v>0</v>
          </cell>
        </row>
        <row r="54">
          <cell r="A54" t="str">
            <v/>
          </cell>
          <cell r="C54" t="str">
            <v>X</v>
          </cell>
          <cell r="F54" t="str">
            <v>Gồm có: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S54">
            <v>0</v>
          </cell>
          <cell r="T54">
            <v>0</v>
          </cell>
        </row>
        <row r="55">
          <cell r="A55" t="str">
            <v/>
          </cell>
          <cell r="B55" t="str">
            <v>M25</v>
          </cell>
          <cell r="C55" t="str">
            <v>X</v>
          </cell>
          <cell r="E55">
            <v>0</v>
          </cell>
          <cell r="F55" t="str">
            <v>Cáp đồng trần M25mm2</v>
          </cell>
          <cell r="G55" t="str">
            <v>kg</v>
          </cell>
          <cell r="H55">
            <v>0</v>
          </cell>
          <cell r="I55">
            <v>191630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S55">
            <v>1</v>
          </cell>
          <cell r="T55">
            <v>0</v>
          </cell>
        </row>
        <row r="56">
          <cell r="A56" t="str">
            <v/>
          </cell>
          <cell r="B56" t="str">
            <v>CTD</v>
          </cell>
          <cell r="C56" t="str">
            <v>X</v>
          </cell>
          <cell r="E56">
            <v>0</v>
          </cell>
          <cell r="F56" t="str">
            <v>Cọc tiếp đất φ16 - 2,4m mạ Cu 16 micrômét</v>
          </cell>
          <cell r="G56" t="str">
            <v>cọc</v>
          </cell>
          <cell r="H56">
            <v>0</v>
          </cell>
          <cell r="I56">
            <v>130000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S56">
            <v>5.3</v>
          </cell>
          <cell r="T56">
            <v>0</v>
          </cell>
        </row>
        <row r="57">
          <cell r="A57" t="str">
            <v/>
          </cell>
          <cell r="B57" t="str">
            <v>KC</v>
          </cell>
          <cell r="C57" t="str">
            <v>X</v>
          </cell>
          <cell r="E57">
            <v>0</v>
          </cell>
          <cell r="F57" t="str">
            <v>Kẹp cọc tiếp địa Cu loại lớn</v>
          </cell>
          <cell r="G57" t="str">
            <v>bộ</v>
          </cell>
          <cell r="H57">
            <v>0</v>
          </cell>
          <cell r="I57">
            <v>25000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S57">
            <v>0.05</v>
          </cell>
          <cell r="T57">
            <v>0</v>
          </cell>
        </row>
        <row r="58">
          <cell r="A58" t="str">
            <v/>
          </cell>
          <cell r="B58" t="str">
            <v>OXC38</v>
          </cell>
          <cell r="C58" t="str">
            <v>X</v>
          </cell>
          <cell r="E58">
            <v>0</v>
          </cell>
          <cell r="F58" t="str">
            <v xml:space="preserve">Ốc xiết cáp cỡ 38mm2 </v>
          </cell>
          <cell r="G58" t="str">
            <v>cái</v>
          </cell>
          <cell r="H58">
            <v>0</v>
          </cell>
          <cell r="I58">
            <v>17000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S58">
            <v>0</v>
          </cell>
          <cell r="T58">
            <v>0</v>
          </cell>
        </row>
        <row r="59">
          <cell r="A59" t="str">
            <v/>
          </cell>
          <cell r="B59" t="str">
            <v>KTDTBA</v>
          </cell>
          <cell r="C59" t="str">
            <v>X</v>
          </cell>
          <cell r="E59" t="str">
            <v>T4.7001</v>
          </cell>
          <cell r="F59" t="str">
            <v>Kéo dây tiếp địa trong TBA</v>
          </cell>
          <cell r="G59" t="str">
            <v>mét</v>
          </cell>
          <cell r="H59">
            <v>0</v>
          </cell>
          <cell r="I59">
            <v>0</v>
          </cell>
          <cell r="K59">
            <v>6871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S59">
            <v>0</v>
          </cell>
          <cell r="T59">
            <v>0</v>
          </cell>
        </row>
        <row r="60">
          <cell r="A60" t="str">
            <v/>
          </cell>
          <cell r="B60" t="str">
            <v>DCTDTBA</v>
          </cell>
          <cell r="C60" t="str">
            <v>X</v>
          </cell>
          <cell r="E60" t="str">
            <v>D2.8103</v>
          </cell>
          <cell r="F60" t="str">
            <v>Đóng cọc tiếp địa trong TBA (đất cấp 3)</v>
          </cell>
          <cell r="G60" t="str">
            <v>cọc</v>
          </cell>
          <cell r="H60">
            <v>0</v>
          </cell>
          <cell r="I60">
            <v>0</v>
          </cell>
          <cell r="K60">
            <v>76928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S60">
            <v>0</v>
          </cell>
          <cell r="T60">
            <v>0</v>
          </cell>
        </row>
        <row r="61">
          <cell r="A61" t="str">
            <v/>
          </cell>
          <cell r="B61" t="str">
            <v>DTD3</v>
          </cell>
          <cell r="C61" t="str">
            <v>X</v>
          </cell>
          <cell r="E61" t="str">
            <v>AB.11513</v>
          </cell>
          <cell r="F61" t="str">
            <v>Đào rãnh tiếp địa đất cấp 3</v>
          </cell>
          <cell r="G61" t="str">
            <v>m3</v>
          </cell>
          <cell r="H61">
            <v>0</v>
          </cell>
          <cell r="I61">
            <v>0</v>
          </cell>
          <cell r="K61">
            <v>241580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S61">
            <v>0</v>
          </cell>
          <cell r="T61">
            <v>0</v>
          </cell>
        </row>
        <row r="62">
          <cell r="A62" t="str">
            <v/>
          </cell>
          <cell r="B62" t="str">
            <v>DATD3</v>
          </cell>
          <cell r="C62" t="str">
            <v>X</v>
          </cell>
          <cell r="E62" t="str">
            <v>AB.13111</v>
          </cell>
          <cell r="F62" t="str">
            <v>Đắp đất rãnh tiếp địa (K=0,85)</v>
          </cell>
          <cell r="G62" t="str">
            <v>m3</v>
          </cell>
          <cell r="H62">
            <v>0</v>
          </cell>
          <cell r="I62">
            <v>0</v>
          </cell>
          <cell r="K62">
            <v>100211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S62">
            <v>0</v>
          </cell>
          <cell r="T62">
            <v>0</v>
          </cell>
        </row>
        <row r="63">
          <cell r="A63" t="str">
            <v/>
          </cell>
          <cell r="C63" t="str">
            <v>X</v>
          </cell>
          <cell r="D63">
            <v>0</v>
          </cell>
          <cell r="F63" t="str">
            <v>Tủ điện trạm treo 1 pha</v>
          </cell>
          <cell r="G63" t="str">
            <v>Bộ</v>
          </cell>
          <cell r="H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S63">
            <v>0</v>
          </cell>
          <cell r="T63">
            <v>0</v>
          </cell>
        </row>
        <row r="64">
          <cell r="A64" t="str">
            <v/>
          </cell>
          <cell r="C64" t="str">
            <v>X</v>
          </cell>
          <cell r="F64" t="str">
            <v>Gồm có: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S64">
            <v>0</v>
          </cell>
          <cell r="T64">
            <v>0</v>
          </cell>
        </row>
        <row r="65">
          <cell r="A65" t="str">
            <v/>
          </cell>
          <cell r="B65" t="str">
            <v>TUAP1</v>
          </cell>
          <cell r="C65" t="str">
            <v>X</v>
          </cell>
          <cell r="E65" t="str">
            <v>T5.1001</v>
          </cell>
          <cell r="F65" t="str">
            <v>Tủ trạm treo + khóa + boulon + Bakelit + Collier (1 pha)</v>
          </cell>
          <cell r="G65" t="str">
            <v>cái</v>
          </cell>
          <cell r="H65">
            <v>0</v>
          </cell>
          <cell r="I65">
            <v>3484174</v>
          </cell>
          <cell r="K65">
            <v>838715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S65">
            <v>45</v>
          </cell>
          <cell r="T65">
            <v>0</v>
          </cell>
        </row>
        <row r="66">
          <cell r="C66" t="str">
            <v>X</v>
          </cell>
          <cell r="D66">
            <v>0</v>
          </cell>
          <cell r="F66" t="str">
            <v>Bộ dây dẫn trung thế trạm 1 pha</v>
          </cell>
          <cell r="G66" t="str">
            <v>Bộ</v>
          </cell>
          <cell r="H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S66">
            <v>0</v>
          </cell>
          <cell r="T66">
            <v>0</v>
          </cell>
        </row>
        <row r="67">
          <cell r="C67" t="str">
            <v>X</v>
          </cell>
          <cell r="F67" t="str">
            <v>Gồm có: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S67">
            <v>0</v>
          </cell>
          <cell r="T67">
            <v>0</v>
          </cell>
        </row>
        <row r="68">
          <cell r="B68" t="str">
            <v>CXV25</v>
          </cell>
          <cell r="C68" t="str">
            <v>X</v>
          </cell>
          <cell r="E68">
            <v>0</v>
          </cell>
          <cell r="F68" t="str">
            <v>Cáp 24KV C/XLPE/PVC 25mm2</v>
          </cell>
          <cell r="G68" t="str">
            <v>mét</v>
          </cell>
          <cell r="H68">
            <v>0</v>
          </cell>
          <cell r="I68">
            <v>69890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S68">
            <v>0.75</v>
          </cell>
          <cell r="T68">
            <v>0</v>
          </cell>
        </row>
        <row r="69">
          <cell r="B69" t="str">
            <v>KQ4</v>
          </cell>
          <cell r="C69" t="str">
            <v>X</v>
          </cell>
          <cell r="E69">
            <v>0</v>
          </cell>
          <cell r="F69" t="str">
            <v>Kẹp quai 4/0 (quai đồng 8mm)</v>
          </cell>
          <cell r="G69" t="str">
            <v>cái</v>
          </cell>
          <cell r="H69">
            <v>0</v>
          </cell>
          <cell r="I69">
            <v>63000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S69">
            <v>0.3</v>
          </cell>
          <cell r="T69">
            <v>0</v>
          </cell>
        </row>
        <row r="70">
          <cell r="B70" t="str">
            <v>CKQ</v>
          </cell>
          <cell r="C70" t="str">
            <v>X</v>
          </cell>
          <cell r="E70">
            <v>0</v>
          </cell>
          <cell r="F70" t="str">
            <v>Chụp cách điện kẹp quai</v>
          </cell>
          <cell r="G70" t="str">
            <v>cái</v>
          </cell>
          <cell r="H70">
            <v>0</v>
          </cell>
          <cell r="I70">
            <v>122000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S70">
            <v>0.2</v>
          </cell>
          <cell r="T70">
            <v>0</v>
          </cell>
        </row>
        <row r="71">
          <cell r="B71" t="str">
            <v>HL2</v>
          </cell>
          <cell r="C71" t="str">
            <v>X</v>
          </cell>
          <cell r="E71">
            <v>0</v>
          </cell>
          <cell r="F71" t="str">
            <v>Kẹp hotline 2/0</v>
          </cell>
          <cell r="G71" t="str">
            <v>cái</v>
          </cell>
          <cell r="H71">
            <v>0</v>
          </cell>
          <cell r="I71">
            <v>68000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S71">
            <v>0.1</v>
          </cell>
          <cell r="T71">
            <v>0</v>
          </cell>
        </row>
        <row r="72">
          <cell r="B72" t="str">
            <v>LCAPDONGTB95</v>
          </cell>
          <cell r="C72" t="str">
            <v>X</v>
          </cell>
          <cell r="E72" t="str">
            <v>T4.4201</v>
          </cell>
          <cell r="F72" t="str">
            <v>Lắp cáp đồng xuống thiết bị D ≤ 95mm2</v>
          </cell>
          <cell r="G72" t="str">
            <v>m</v>
          </cell>
          <cell r="H72">
            <v>0</v>
          </cell>
          <cell r="I72">
            <v>0</v>
          </cell>
          <cell r="K72">
            <v>11847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S72">
            <v>0</v>
          </cell>
          <cell r="T72">
            <v>0</v>
          </cell>
        </row>
        <row r="73">
          <cell r="C73" t="str">
            <v>X</v>
          </cell>
          <cell r="D73">
            <v>0</v>
          </cell>
          <cell r="F73" t="str">
            <v>Bộ dây dẫn hạ thế lộ xuống</v>
          </cell>
          <cell r="G73" t="str">
            <v>Bộ</v>
          </cell>
          <cell r="H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S73">
            <v>0</v>
          </cell>
          <cell r="T73">
            <v>0</v>
          </cell>
        </row>
        <row r="74">
          <cell r="C74" t="str">
            <v>X</v>
          </cell>
          <cell r="F74" t="str">
            <v>Gồm có: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S74">
            <v>0</v>
          </cell>
          <cell r="T74">
            <v>0</v>
          </cell>
        </row>
        <row r="75">
          <cell r="B75" t="str">
            <v>CV70</v>
          </cell>
          <cell r="C75" t="str">
            <v>X</v>
          </cell>
          <cell r="E75">
            <v>0</v>
          </cell>
          <cell r="F75" t="str">
            <v>Cáp đồng bọc CV70</v>
          </cell>
          <cell r="G75" t="str">
            <v>mét</v>
          </cell>
          <cell r="H75">
            <v>0</v>
          </cell>
          <cell r="I75">
            <v>124570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S75">
            <v>0.73899999999999999</v>
          </cell>
          <cell r="T75">
            <v>0</v>
          </cell>
        </row>
        <row r="76">
          <cell r="B76" t="str">
            <v>CV50</v>
          </cell>
          <cell r="C76" t="str">
            <v>X</v>
          </cell>
          <cell r="E76">
            <v>0</v>
          </cell>
          <cell r="F76" t="str">
            <v>Cáp đồng bọc CV50</v>
          </cell>
          <cell r="G76" t="str">
            <v>mét</v>
          </cell>
          <cell r="H76">
            <v>0</v>
          </cell>
          <cell r="I76">
            <v>90810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S76">
            <v>0.53400000000000003</v>
          </cell>
          <cell r="T76">
            <v>0</v>
          </cell>
        </row>
        <row r="77">
          <cell r="B77" t="str">
            <v>CVV4X4</v>
          </cell>
          <cell r="C77" t="str">
            <v>X</v>
          </cell>
          <cell r="E77">
            <v>0</v>
          </cell>
          <cell r="F77" t="str">
            <v>Cáp điều khiển CVV 4x4,0mm2</v>
          </cell>
          <cell r="G77" t="str">
            <v>mét</v>
          </cell>
          <cell r="H77">
            <v>0</v>
          </cell>
          <cell r="I77">
            <v>56700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S77">
            <v>3.024</v>
          </cell>
          <cell r="T77">
            <v>0</v>
          </cell>
        </row>
        <row r="78">
          <cell r="B78" t="str">
            <v>COS70</v>
          </cell>
          <cell r="C78" t="str">
            <v>X</v>
          </cell>
          <cell r="E78">
            <v>0</v>
          </cell>
          <cell r="F78" t="str">
            <v>Đầu cosse ép Cu 70mm2</v>
          </cell>
          <cell r="G78" t="str">
            <v>cái</v>
          </cell>
          <cell r="H78">
            <v>0</v>
          </cell>
          <cell r="I78">
            <v>34500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S78">
            <v>0.2</v>
          </cell>
          <cell r="T78">
            <v>0</v>
          </cell>
        </row>
        <row r="79">
          <cell r="B79" t="str">
            <v>COS50</v>
          </cell>
          <cell r="C79" t="str">
            <v>X</v>
          </cell>
          <cell r="E79">
            <v>0</v>
          </cell>
          <cell r="F79" t="str">
            <v>Đầu cosse ép Cu 50mm2</v>
          </cell>
          <cell r="G79" t="str">
            <v>cái</v>
          </cell>
          <cell r="H79">
            <v>0</v>
          </cell>
          <cell r="I79">
            <v>24000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S79">
            <v>0.1</v>
          </cell>
          <cell r="T79">
            <v>0</v>
          </cell>
        </row>
        <row r="80">
          <cell r="B80" t="str">
            <v>CHCOS70</v>
          </cell>
          <cell r="C80" t="str">
            <v>X</v>
          </cell>
          <cell r="E80">
            <v>0</v>
          </cell>
          <cell r="F80" t="str">
            <v>Chụp đầu cosse  70mm2</v>
          </cell>
          <cell r="G80" t="str">
            <v>cái</v>
          </cell>
          <cell r="H80">
            <v>0</v>
          </cell>
          <cell r="I80">
            <v>2300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S80">
            <v>0</v>
          </cell>
          <cell r="T80">
            <v>0</v>
          </cell>
        </row>
        <row r="81">
          <cell r="B81" t="str">
            <v>CHCOS50</v>
          </cell>
          <cell r="C81" t="str">
            <v>X</v>
          </cell>
          <cell r="E81">
            <v>0</v>
          </cell>
          <cell r="F81" t="str">
            <v>Chụp đầu cosse  50mm2</v>
          </cell>
          <cell r="G81" t="str">
            <v>cái</v>
          </cell>
          <cell r="H81">
            <v>0</v>
          </cell>
          <cell r="I81">
            <v>1300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S81">
            <v>0</v>
          </cell>
          <cell r="T81">
            <v>0</v>
          </cell>
        </row>
        <row r="82">
          <cell r="B82" t="str">
            <v>PVC90</v>
          </cell>
          <cell r="C82" t="str">
            <v>X</v>
          </cell>
          <cell r="E82">
            <v>0</v>
          </cell>
          <cell r="F82" t="str">
            <v xml:space="preserve">Ống PVC D90x3,8mm </v>
          </cell>
          <cell r="G82" t="str">
            <v>m</v>
          </cell>
          <cell r="H82">
            <v>0</v>
          </cell>
          <cell r="I82">
            <v>63200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S82">
            <v>2</v>
          </cell>
          <cell r="T82">
            <v>0</v>
          </cell>
        </row>
        <row r="83">
          <cell r="B83" t="str">
            <v>CD90</v>
          </cell>
          <cell r="C83" t="str">
            <v>X</v>
          </cell>
          <cell r="E83">
            <v>0</v>
          </cell>
          <cell r="F83" t="str">
            <v>Cổ dê kẹp ống PVC φ 90 (có giá nới)</v>
          </cell>
          <cell r="G83" t="str">
            <v>bộ</v>
          </cell>
          <cell r="H83">
            <v>0</v>
          </cell>
          <cell r="I83">
            <v>74000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S83">
            <v>1.5</v>
          </cell>
          <cell r="T83">
            <v>0</v>
          </cell>
        </row>
        <row r="84">
          <cell r="B84" t="str">
            <v>CD90</v>
          </cell>
          <cell r="C84" t="str">
            <v>X</v>
          </cell>
          <cell r="E84">
            <v>0</v>
          </cell>
          <cell r="F84" t="str">
            <v>Cổ dê kẹp ống PVC φ 90 (có giá nới)</v>
          </cell>
          <cell r="G84" t="str">
            <v>bộ</v>
          </cell>
          <cell r="H84">
            <v>0</v>
          </cell>
          <cell r="I84">
            <v>74000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S84">
            <v>1.5</v>
          </cell>
          <cell r="T84">
            <v>0</v>
          </cell>
        </row>
        <row r="85">
          <cell r="B85" t="str">
            <v>CD90</v>
          </cell>
          <cell r="C85" t="str">
            <v>X</v>
          </cell>
          <cell r="E85">
            <v>0</v>
          </cell>
          <cell r="F85" t="str">
            <v>Cổ dê kẹp ống PVC φ 90 (có giá nới)</v>
          </cell>
          <cell r="G85" t="str">
            <v>bộ</v>
          </cell>
          <cell r="H85">
            <v>0</v>
          </cell>
          <cell r="I85">
            <v>74000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S85">
            <v>1.5</v>
          </cell>
          <cell r="T85">
            <v>0</v>
          </cell>
        </row>
        <row r="86">
          <cell r="B86" t="str">
            <v>CUT90T</v>
          </cell>
          <cell r="C86" t="str">
            <v>X</v>
          </cell>
          <cell r="E86">
            <v>0</v>
          </cell>
          <cell r="F86" t="str">
            <v>Co  90 độ PVC 90</v>
          </cell>
          <cell r="G86" t="str">
            <v>cái</v>
          </cell>
          <cell r="H86">
            <v>0</v>
          </cell>
          <cell r="I86">
            <v>35200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S86">
            <v>0</v>
          </cell>
          <cell r="T86">
            <v>0</v>
          </cell>
        </row>
        <row r="87">
          <cell r="B87" t="str">
            <v>NG11490</v>
          </cell>
          <cell r="C87" t="str">
            <v>X</v>
          </cell>
          <cell r="E87">
            <v>0</v>
          </cell>
          <cell r="F87" t="str">
            <v>Nối giảm PVC 114-90</v>
          </cell>
          <cell r="G87" t="str">
            <v>cái</v>
          </cell>
          <cell r="H87">
            <v>0</v>
          </cell>
          <cell r="I87">
            <v>52800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S87">
            <v>0</v>
          </cell>
          <cell r="T87">
            <v>0</v>
          </cell>
        </row>
        <row r="88">
          <cell r="B88" t="str">
            <v>CUT90135</v>
          </cell>
          <cell r="C88" t="str">
            <v>X</v>
          </cell>
          <cell r="E88">
            <v>0</v>
          </cell>
          <cell r="F88" t="str">
            <v>Co 135 độ PVC 90</v>
          </cell>
          <cell r="G88" t="str">
            <v>cái</v>
          </cell>
          <cell r="H88">
            <v>0</v>
          </cell>
          <cell r="I88">
            <v>33900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S88">
            <v>0</v>
          </cell>
          <cell r="T88">
            <v>0</v>
          </cell>
        </row>
        <row r="89">
          <cell r="B89" t="str">
            <v>KEODAN</v>
          </cell>
          <cell r="C89" t="str">
            <v>X</v>
          </cell>
          <cell r="E89">
            <v>0</v>
          </cell>
          <cell r="F89" t="str">
            <v>Keo dán ống PVC (100gr)</v>
          </cell>
          <cell r="G89" t="str">
            <v>tuýp</v>
          </cell>
          <cell r="H89">
            <v>0</v>
          </cell>
          <cell r="I89">
            <v>11500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S89">
            <v>0</v>
          </cell>
          <cell r="T89">
            <v>0</v>
          </cell>
        </row>
        <row r="90">
          <cell r="B90" t="str">
            <v>KEOBIT</v>
          </cell>
          <cell r="C90" t="str">
            <v>X</v>
          </cell>
          <cell r="E90">
            <v>0</v>
          </cell>
          <cell r="F90" t="str">
            <v>Keo silicon bít miệng ống</v>
          </cell>
          <cell r="G90" t="str">
            <v>ống</v>
          </cell>
          <cell r="H90">
            <v>0</v>
          </cell>
          <cell r="I90">
            <v>45000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S90">
            <v>0</v>
          </cell>
          <cell r="T90">
            <v>0</v>
          </cell>
        </row>
        <row r="91">
          <cell r="B91" t="str">
            <v>BANGKEO</v>
          </cell>
          <cell r="C91" t="str">
            <v>X</v>
          </cell>
          <cell r="E91">
            <v>0</v>
          </cell>
          <cell r="F91" t="str">
            <v>Băng keo cách điện (Màu đen)</v>
          </cell>
          <cell r="G91" t="str">
            <v>cuộn</v>
          </cell>
          <cell r="H91">
            <v>0</v>
          </cell>
          <cell r="I91">
            <v>6500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S91">
            <v>0</v>
          </cell>
          <cell r="T91">
            <v>0</v>
          </cell>
        </row>
        <row r="92">
          <cell r="B92" t="str">
            <v>LPVC90CL</v>
          </cell>
          <cell r="C92" t="str">
            <v>X</v>
          </cell>
          <cell r="E92" t="str">
            <v>T4.8003</v>
          </cell>
          <cell r="F92" t="str">
            <v>Lắp ống nhựa PVC D90</v>
          </cell>
          <cell r="G92" t="str">
            <v>mét</v>
          </cell>
          <cell r="H92">
            <v>0</v>
          </cell>
          <cell r="I92">
            <v>0</v>
          </cell>
          <cell r="K92">
            <v>35541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S92">
            <v>0</v>
          </cell>
          <cell r="T92">
            <v>0</v>
          </cell>
        </row>
        <row r="93">
          <cell r="B93" t="str">
            <v>LCAPDONGTB95</v>
          </cell>
          <cell r="C93" t="str">
            <v>X</v>
          </cell>
          <cell r="E93" t="str">
            <v>T4.4201</v>
          </cell>
          <cell r="F93" t="str">
            <v>Lắp cáp đồng xuống thiết bị D ≤ 95mm2</v>
          </cell>
          <cell r="G93" t="str">
            <v>m</v>
          </cell>
          <cell r="H93">
            <v>0</v>
          </cell>
          <cell r="I93">
            <v>0</v>
          </cell>
          <cell r="K93">
            <v>11847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S93">
            <v>0</v>
          </cell>
          <cell r="T93">
            <v>0</v>
          </cell>
        </row>
        <row r="94">
          <cell r="C94" t="str">
            <v>X</v>
          </cell>
          <cell r="D94">
            <v>0</v>
          </cell>
          <cell r="F94" t="str">
            <v>Bộ dây dẫn hạ thế lộ lên</v>
          </cell>
          <cell r="G94" t="str">
            <v>Bộ</v>
          </cell>
          <cell r="H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S94">
            <v>0</v>
          </cell>
          <cell r="T94">
            <v>0</v>
          </cell>
        </row>
        <row r="95">
          <cell r="C95" t="str">
            <v>X</v>
          </cell>
          <cell r="F95" t="str">
            <v>Gồm có: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S95">
            <v>0</v>
          </cell>
          <cell r="T95">
            <v>0</v>
          </cell>
        </row>
        <row r="96">
          <cell r="B96" t="str">
            <v>CV70</v>
          </cell>
          <cell r="C96" t="str">
            <v>X</v>
          </cell>
          <cell r="E96">
            <v>0</v>
          </cell>
          <cell r="F96" t="str">
            <v>Cáp đồng bọc CV70</v>
          </cell>
          <cell r="G96" t="str">
            <v>mét</v>
          </cell>
          <cell r="I96">
            <v>124570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S96">
            <v>0.73899999999999999</v>
          </cell>
          <cell r="T96">
            <v>0</v>
          </cell>
        </row>
        <row r="97">
          <cell r="B97" t="str">
            <v>CV50</v>
          </cell>
          <cell r="C97" t="str">
            <v>X</v>
          </cell>
          <cell r="E97">
            <v>0</v>
          </cell>
          <cell r="F97" t="str">
            <v>Cáp đồng bọc CV50</v>
          </cell>
          <cell r="G97" t="str">
            <v>mét</v>
          </cell>
          <cell r="I97">
            <v>90810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S97">
            <v>0.53400000000000003</v>
          </cell>
          <cell r="T97">
            <v>0</v>
          </cell>
        </row>
        <row r="98">
          <cell r="B98" t="str">
            <v>COS70</v>
          </cell>
          <cell r="C98" t="str">
            <v>X</v>
          </cell>
          <cell r="E98">
            <v>0</v>
          </cell>
          <cell r="F98" t="str">
            <v>Đầu cosse ép Cu 70mm2</v>
          </cell>
          <cell r="G98" t="str">
            <v>cái</v>
          </cell>
          <cell r="I98">
            <v>34500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S98">
            <v>0.2</v>
          </cell>
          <cell r="T98">
            <v>0</v>
          </cell>
        </row>
        <row r="99">
          <cell r="B99" t="str">
            <v>COS50</v>
          </cell>
          <cell r="C99" t="str">
            <v>X</v>
          </cell>
          <cell r="E99">
            <v>0</v>
          </cell>
          <cell r="F99" t="str">
            <v>Đầu cosse ép Cu 50mm2</v>
          </cell>
          <cell r="G99" t="str">
            <v>cái</v>
          </cell>
          <cell r="I99">
            <v>24000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S99">
            <v>0.1</v>
          </cell>
          <cell r="T99">
            <v>0</v>
          </cell>
        </row>
        <row r="100">
          <cell r="B100" t="str">
            <v>CHCOS70</v>
          </cell>
          <cell r="C100" t="str">
            <v>X</v>
          </cell>
          <cell r="E100">
            <v>0</v>
          </cell>
          <cell r="F100" t="str">
            <v>Chụp đầu cosse  70mm2</v>
          </cell>
          <cell r="G100" t="str">
            <v>cái</v>
          </cell>
          <cell r="I100">
            <v>2300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S100">
            <v>0</v>
          </cell>
          <cell r="T100">
            <v>0</v>
          </cell>
        </row>
        <row r="101">
          <cell r="B101" t="str">
            <v>CHCOS50</v>
          </cell>
          <cell r="C101" t="str">
            <v>X</v>
          </cell>
          <cell r="E101">
            <v>0</v>
          </cell>
          <cell r="F101" t="str">
            <v>Chụp đầu cosse  50mm2</v>
          </cell>
          <cell r="G101" t="str">
            <v>cái</v>
          </cell>
          <cell r="I101">
            <v>1300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S101">
            <v>0</v>
          </cell>
          <cell r="T101">
            <v>0</v>
          </cell>
        </row>
        <row r="102">
          <cell r="B102" t="str">
            <v>PVC90</v>
          </cell>
          <cell r="C102" t="str">
            <v>X</v>
          </cell>
          <cell r="E102">
            <v>0</v>
          </cell>
          <cell r="F102" t="str">
            <v xml:space="preserve">Ống PVC D90x3,8mm </v>
          </cell>
          <cell r="G102" t="str">
            <v>m</v>
          </cell>
          <cell r="I102">
            <v>63200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S102">
            <v>2</v>
          </cell>
          <cell r="T102">
            <v>0</v>
          </cell>
        </row>
        <row r="103">
          <cell r="B103" t="str">
            <v>CD90</v>
          </cell>
          <cell r="C103" t="str">
            <v>X</v>
          </cell>
          <cell r="E103">
            <v>0</v>
          </cell>
          <cell r="F103" t="str">
            <v>Cổ dê kẹp ống PVC φ 90 (có giá nới)</v>
          </cell>
          <cell r="G103" t="str">
            <v>bộ</v>
          </cell>
          <cell r="I103">
            <v>74000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S103">
            <v>1.5</v>
          </cell>
          <cell r="T103">
            <v>0</v>
          </cell>
        </row>
        <row r="104">
          <cell r="B104" t="str">
            <v>CD90</v>
          </cell>
          <cell r="C104" t="str">
            <v>X</v>
          </cell>
          <cell r="E104">
            <v>0</v>
          </cell>
          <cell r="F104" t="str">
            <v>Cổ dê kẹp ống PVC φ 90 (có giá nới)</v>
          </cell>
          <cell r="G104" t="str">
            <v>bộ</v>
          </cell>
          <cell r="I104">
            <v>74000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S104">
            <v>1.5</v>
          </cell>
          <cell r="T104">
            <v>0</v>
          </cell>
        </row>
        <row r="105">
          <cell r="B105" t="str">
            <v>CD90</v>
          </cell>
          <cell r="C105" t="str">
            <v>X</v>
          </cell>
          <cell r="E105">
            <v>0</v>
          </cell>
          <cell r="F105" t="str">
            <v>Cổ dê kẹp ống PVC φ 90 (có giá nới)</v>
          </cell>
          <cell r="G105" t="str">
            <v>bộ</v>
          </cell>
          <cell r="I105">
            <v>74000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S105">
            <v>1.5</v>
          </cell>
          <cell r="T105">
            <v>0</v>
          </cell>
        </row>
        <row r="106">
          <cell r="B106" t="str">
            <v>CUT90T</v>
          </cell>
          <cell r="C106" t="str">
            <v>X</v>
          </cell>
          <cell r="E106">
            <v>0</v>
          </cell>
          <cell r="F106" t="str">
            <v>Co  90 độ PVC 90</v>
          </cell>
          <cell r="G106" t="str">
            <v>cái</v>
          </cell>
          <cell r="I106">
            <v>35200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S106">
            <v>0</v>
          </cell>
          <cell r="T106">
            <v>0</v>
          </cell>
        </row>
        <row r="107">
          <cell r="B107" t="str">
            <v>CUT90135</v>
          </cell>
          <cell r="C107" t="str">
            <v>X</v>
          </cell>
          <cell r="E107">
            <v>0</v>
          </cell>
          <cell r="F107" t="str">
            <v>Co 135 độ PVC 90</v>
          </cell>
          <cell r="G107" t="str">
            <v>cái</v>
          </cell>
          <cell r="I107">
            <v>33900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0</v>
          </cell>
          <cell r="T107">
            <v>0</v>
          </cell>
        </row>
        <row r="108">
          <cell r="B108" t="str">
            <v>KEODAN</v>
          </cell>
          <cell r="C108" t="str">
            <v>X</v>
          </cell>
          <cell r="E108">
            <v>0</v>
          </cell>
          <cell r="F108" t="str">
            <v>Keo dán ống PVC (100gr)</v>
          </cell>
          <cell r="G108" t="str">
            <v>tuýp</v>
          </cell>
          <cell r="I108">
            <v>11500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S108">
            <v>0</v>
          </cell>
          <cell r="T108">
            <v>0</v>
          </cell>
        </row>
        <row r="109">
          <cell r="B109" t="str">
            <v>KEOBIT</v>
          </cell>
          <cell r="C109" t="str">
            <v>X</v>
          </cell>
          <cell r="E109">
            <v>0</v>
          </cell>
          <cell r="F109" t="str">
            <v>Keo silicon bít miệng ống</v>
          </cell>
          <cell r="G109" t="str">
            <v>ống</v>
          </cell>
          <cell r="I109">
            <v>45000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S109">
            <v>0</v>
          </cell>
          <cell r="T109">
            <v>0</v>
          </cell>
        </row>
        <row r="110">
          <cell r="B110" t="str">
            <v>BANGKEO</v>
          </cell>
          <cell r="C110" t="str">
            <v>X</v>
          </cell>
          <cell r="E110">
            <v>0</v>
          </cell>
          <cell r="F110" t="str">
            <v>Băng keo cách điện (Màu đen)</v>
          </cell>
          <cell r="G110" t="str">
            <v>cuộn</v>
          </cell>
          <cell r="I110">
            <v>6500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S110">
            <v>0</v>
          </cell>
          <cell r="T110">
            <v>0</v>
          </cell>
        </row>
        <row r="111">
          <cell r="B111" t="str">
            <v>LPVC90CL</v>
          </cell>
          <cell r="C111" t="str">
            <v>X</v>
          </cell>
          <cell r="E111" t="str">
            <v>T4.8003</v>
          </cell>
          <cell r="F111" t="str">
            <v>Lắp ống nhựa PVC D90</v>
          </cell>
          <cell r="G111" t="str">
            <v>mét</v>
          </cell>
          <cell r="I111">
            <v>0</v>
          </cell>
          <cell r="K111">
            <v>35541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S111">
            <v>0</v>
          </cell>
          <cell r="T111">
            <v>0</v>
          </cell>
        </row>
        <row r="112">
          <cell r="B112" t="str">
            <v>LCAPDONGTB95</v>
          </cell>
          <cell r="C112" t="str">
            <v>X</v>
          </cell>
          <cell r="E112" t="str">
            <v>T4.4201</v>
          </cell>
          <cell r="F112" t="str">
            <v>Lắp cáp đồng xuống thiết bị D ≤ 95mm2</v>
          </cell>
          <cell r="G112" t="str">
            <v>m</v>
          </cell>
          <cell r="I112">
            <v>0</v>
          </cell>
          <cell r="K112">
            <v>11847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S112">
            <v>0</v>
          </cell>
          <cell r="T112">
            <v>0</v>
          </cell>
        </row>
        <row r="113">
          <cell r="B113" t="str">
            <v>BANG</v>
          </cell>
          <cell r="C113" t="str">
            <v>X</v>
          </cell>
          <cell r="D113">
            <v>0</v>
          </cell>
          <cell r="E113">
            <v>0</v>
          </cell>
          <cell r="F113" t="str">
            <v>Bảng tên trạm + bulon</v>
          </cell>
          <cell r="G113" t="str">
            <v>bộ</v>
          </cell>
          <cell r="H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S113">
            <v>0</v>
          </cell>
          <cell r="T113">
            <v>0</v>
          </cell>
        </row>
        <row r="114">
          <cell r="A114" t="str">
            <v>TR375</v>
          </cell>
          <cell r="C114" t="str">
            <v>X</v>
          </cell>
          <cell r="D114" t="str">
            <v>II</v>
          </cell>
          <cell r="E114" t="str">
            <v>0 Trạm 1 pha 37,5kVA</v>
          </cell>
          <cell r="S114">
            <v>0</v>
          </cell>
          <cell r="T114">
            <v>0</v>
          </cell>
        </row>
        <row r="115">
          <cell r="A115" t="str">
            <v>TBTR375</v>
          </cell>
          <cell r="C115" t="str">
            <v>X</v>
          </cell>
          <cell r="F115" t="str">
            <v>A.PHẦN THIẾT BỊ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</row>
        <row r="116">
          <cell r="A116" t="str">
            <v/>
          </cell>
          <cell r="B116" t="str">
            <v>TR251</v>
          </cell>
          <cell r="C116" t="str">
            <v>X</v>
          </cell>
          <cell r="E116" t="str">
            <v>T1.1431</v>
          </cell>
          <cell r="F116" t="str">
            <v>Máy biến áp AMORPHOUS 12,7/0,22-0,44kV 25kVA</v>
          </cell>
          <cell r="G116" t="str">
            <v>máy</v>
          </cell>
          <cell r="H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S116">
            <v>320</v>
          </cell>
          <cell r="T116">
            <v>0</v>
          </cell>
        </row>
        <row r="117">
          <cell r="A117" t="str">
            <v/>
          </cell>
          <cell r="B117" t="str">
            <v>FCO100</v>
          </cell>
          <cell r="C117" t="str">
            <v>X</v>
          </cell>
          <cell r="E117" t="str">
            <v>T2.3505</v>
          </cell>
          <cell r="F117" t="str">
            <v>FCO 27kV - 100A</v>
          </cell>
          <cell r="G117" t="str">
            <v>cái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S117">
            <v>1.5</v>
          </cell>
          <cell r="T117">
            <v>0</v>
          </cell>
        </row>
        <row r="118">
          <cell r="A118" t="str">
            <v/>
          </cell>
          <cell r="B118" t="str">
            <v>LA18</v>
          </cell>
          <cell r="C118" t="str">
            <v>X</v>
          </cell>
          <cell r="E118" t="str">
            <v>T2.5004</v>
          </cell>
          <cell r="F118" t="str">
            <v>LA 18kV 10kA</v>
          </cell>
          <cell r="G118" t="str">
            <v>cái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S118">
            <v>0.8</v>
          </cell>
          <cell r="T118">
            <v>0</v>
          </cell>
        </row>
        <row r="119">
          <cell r="A119" t="str">
            <v/>
          </cell>
          <cell r="B119" t="str">
            <v>ATM125</v>
          </cell>
          <cell r="C119" t="str">
            <v>X</v>
          </cell>
          <cell r="E119" t="str">
            <v>T2.8403</v>
          </cell>
          <cell r="F119" t="str">
            <v>MCCB 3 cực 400V - 125A - 30KA (80-125A)</v>
          </cell>
          <cell r="G119" t="str">
            <v>cái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S119">
            <v>2</v>
          </cell>
          <cell r="T119">
            <v>0</v>
          </cell>
        </row>
        <row r="120">
          <cell r="A120" t="str">
            <v/>
          </cell>
          <cell r="B120" t="str">
            <v>TI1005</v>
          </cell>
          <cell r="C120" t="str">
            <v>X</v>
          </cell>
          <cell r="E120">
            <v>0</v>
          </cell>
          <cell r="F120" t="str">
            <v>Biến dòng 600V - 100/5A</v>
          </cell>
          <cell r="G120" t="str">
            <v>cái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S120">
            <v>0</v>
          </cell>
          <cell r="T120">
            <v>0</v>
          </cell>
        </row>
        <row r="121">
          <cell r="A121" t="str">
            <v/>
          </cell>
          <cell r="B121" t="str">
            <v>DK1p80A</v>
          </cell>
          <cell r="C121" t="str">
            <v>X</v>
          </cell>
          <cell r="E121">
            <v>0</v>
          </cell>
          <cell r="F121" t="str">
            <v>Điện kế 1 pha 2 dây 220V-80A</v>
          </cell>
          <cell r="G121" t="str">
            <v>cái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S121">
            <v>0</v>
          </cell>
          <cell r="T121">
            <v>0</v>
          </cell>
        </row>
        <row r="122">
          <cell r="A122" t="str">
            <v>VLTR375</v>
          </cell>
          <cell r="C122" t="str">
            <v>X</v>
          </cell>
          <cell r="F122" t="str">
            <v>B. PHẦN VẬT LIỆU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0</v>
          </cell>
          <cell r="T122">
            <v>0</v>
          </cell>
        </row>
        <row r="123">
          <cell r="C123" t="str">
            <v>X</v>
          </cell>
          <cell r="D123">
            <v>0</v>
          </cell>
          <cell r="F123" t="str">
            <v>Vật liệu bảo vệ thiết bị</v>
          </cell>
          <cell r="G123" t="str">
            <v>Bộ</v>
          </cell>
          <cell r="H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S123">
            <v>0</v>
          </cell>
          <cell r="T123">
            <v>0</v>
          </cell>
        </row>
        <row r="124">
          <cell r="A124" t="str">
            <v/>
          </cell>
          <cell r="B124" t="str">
            <v>CHI3K</v>
          </cell>
          <cell r="C124" t="str">
            <v>X</v>
          </cell>
          <cell r="E124">
            <v>0</v>
          </cell>
          <cell r="F124" t="str">
            <v>Dây chảy 3K</v>
          </cell>
          <cell r="G124" t="str">
            <v>Sợi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S124">
            <v>0</v>
          </cell>
          <cell r="T124">
            <v>0</v>
          </cell>
        </row>
        <row r="125">
          <cell r="A125" t="str">
            <v/>
          </cell>
          <cell r="B125" t="str">
            <v>CHUPFCO</v>
          </cell>
          <cell r="C125" t="str">
            <v>X</v>
          </cell>
          <cell r="E125">
            <v>0</v>
          </cell>
          <cell r="F125" t="str">
            <v>Chụp đầu FCO (Trên + Dưới)</v>
          </cell>
          <cell r="G125" t="str">
            <v>bộ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S125">
            <v>0</v>
          </cell>
          <cell r="T125">
            <v>0</v>
          </cell>
        </row>
        <row r="126">
          <cell r="A126" t="str">
            <v/>
          </cell>
          <cell r="B126" t="str">
            <v>CHUPLA</v>
          </cell>
          <cell r="C126" t="str">
            <v>X</v>
          </cell>
          <cell r="E126">
            <v>0</v>
          </cell>
          <cell r="F126" t="str">
            <v>Chụp đầu LA</v>
          </cell>
          <cell r="G126" t="str">
            <v>cái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S126">
            <v>0</v>
          </cell>
          <cell r="T126">
            <v>0</v>
          </cell>
        </row>
        <row r="127">
          <cell r="A127" t="str">
            <v/>
          </cell>
          <cell r="B127" t="str">
            <v>CHUPMBA</v>
          </cell>
          <cell r="C127" t="str">
            <v>X</v>
          </cell>
          <cell r="E127">
            <v>0</v>
          </cell>
          <cell r="F127" t="str">
            <v>Chụp đầu cực MBA</v>
          </cell>
          <cell r="G127" t="str">
            <v>cái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S127">
            <v>0</v>
          </cell>
          <cell r="T127">
            <v>0</v>
          </cell>
        </row>
        <row r="128">
          <cell r="A128" t="str">
            <v/>
          </cell>
          <cell r="C128" t="str">
            <v>X</v>
          </cell>
          <cell r="D128">
            <v>0</v>
          </cell>
          <cell r="F128" t="str">
            <v>Đà Composite bắt LA, FCO</v>
          </cell>
          <cell r="G128" t="str">
            <v>Bộ</v>
          </cell>
          <cell r="H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S128">
            <v>0</v>
          </cell>
          <cell r="T128">
            <v>0</v>
          </cell>
        </row>
        <row r="129">
          <cell r="A129" t="str">
            <v/>
          </cell>
          <cell r="C129" t="str">
            <v>X</v>
          </cell>
          <cell r="F129" t="str">
            <v>Gồm có: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S129">
            <v>0</v>
          </cell>
          <cell r="T129">
            <v>0</v>
          </cell>
        </row>
        <row r="130">
          <cell r="A130" t="str">
            <v/>
          </cell>
          <cell r="B130" t="str">
            <v>COM800</v>
          </cell>
          <cell r="C130" t="str">
            <v>X</v>
          </cell>
          <cell r="E130">
            <v>0</v>
          </cell>
          <cell r="F130" t="str">
            <v>Đà hộp composite 110x80x5-800</v>
          </cell>
          <cell r="G130" t="str">
            <v>cái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S130">
            <v>3.2</v>
          </cell>
          <cell r="T130">
            <v>0</v>
          </cell>
        </row>
        <row r="131">
          <cell r="A131" t="str">
            <v/>
          </cell>
          <cell r="B131" t="str">
            <v>CCOM800</v>
          </cell>
          <cell r="C131" t="str">
            <v>X</v>
          </cell>
          <cell r="E131">
            <v>0</v>
          </cell>
          <cell r="F131" t="str">
            <v>Thanh chống 10x40x720</v>
          </cell>
          <cell r="G131" t="str">
            <v>cái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S131">
            <v>0.5</v>
          </cell>
          <cell r="T131">
            <v>0</v>
          </cell>
        </row>
        <row r="132">
          <cell r="A132" t="str">
            <v/>
          </cell>
          <cell r="B132" t="str">
            <v>BATLI</v>
          </cell>
          <cell r="C132" t="str">
            <v>X</v>
          </cell>
          <cell r="E132">
            <v>0</v>
          </cell>
          <cell r="F132" t="str">
            <v>Bass LI bắt FCO, LA</v>
          </cell>
          <cell r="G132" t="str">
            <v>Bộ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S132">
            <v>0.4</v>
          </cell>
          <cell r="T132">
            <v>0</v>
          </cell>
        </row>
        <row r="133">
          <cell r="A133" t="str">
            <v/>
          </cell>
          <cell r="B133" t="str">
            <v>B16400V</v>
          </cell>
          <cell r="C133" t="str">
            <v>X</v>
          </cell>
          <cell r="E133">
            <v>0</v>
          </cell>
          <cell r="F133" t="str">
            <v>Boulon 16x400VRS + 4 long đền vuông D18-50x50x3/Zn</v>
          </cell>
          <cell r="G133" t="str">
            <v>bộ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S133">
            <v>0.39999999999999997</v>
          </cell>
          <cell r="T133">
            <v>0</v>
          </cell>
        </row>
        <row r="134">
          <cell r="A134" t="str">
            <v/>
          </cell>
          <cell r="B134" t="str">
            <v>B16300</v>
          </cell>
          <cell r="C134" t="str">
            <v>X</v>
          </cell>
          <cell r="E134">
            <v>0</v>
          </cell>
          <cell r="F134" t="str">
            <v>Boulon 16x300+ 2 long đền vuông D18-50x50x3/Zn</v>
          </cell>
          <cell r="G134" t="str">
            <v>bộ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S134">
            <v>0.25</v>
          </cell>
          <cell r="T134">
            <v>0</v>
          </cell>
        </row>
        <row r="135">
          <cell r="A135" t="str">
            <v/>
          </cell>
          <cell r="B135" t="str">
            <v>B14120</v>
          </cell>
          <cell r="C135" t="str">
            <v>X</v>
          </cell>
          <cell r="E135">
            <v>0</v>
          </cell>
          <cell r="F135" t="str">
            <v>Boulon 14x120+ 2 long đền vuông D16-50x50x3/Zn</v>
          </cell>
          <cell r="G135" t="str">
            <v>bộ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S135">
            <v>0.2</v>
          </cell>
          <cell r="T135">
            <v>0</v>
          </cell>
        </row>
        <row r="136">
          <cell r="A136" t="str">
            <v/>
          </cell>
          <cell r="C136" t="str">
            <v>X</v>
          </cell>
          <cell r="D136">
            <v>0</v>
          </cell>
          <cell r="F136" t="str">
            <v>Bộ tiếp địa Trạm 1 pha</v>
          </cell>
          <cell r="G136" t="str">
            <v>Bộ</v>
          </cell>
          <cell r="H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S136">
            <v>0</v>
          </cell>
          <cell r="T136">
            <v>0</v>
          </cell>
        </row>
        <row r="137">
          <cell r="A137" t="str">
            <v/>
          </cell>
          <cell r="C137" t="str">
            <v>X</v>
          </cell>
          <cell r="F137" t="str">
            <v>Gồm có: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S137">
            <v>0</v>
          </cell>
          <cell r="T137">
            <v>0</v>
          </cell>
        </row>
        <row r="138">
          <cell r="A138" t="str">
            <v/>
          </cell>
          <cell r="B138" t="str">
            <v>M25</v>
          </cell>
          <cell r="C138" t="str">
            <v>X</v>
          </cell>
          <cell r="E138">
            <v>0</v>
          </cell>
          <cell r="F138" t="str">
            <v>Cáp đồng trần M25mm2</v>
          </cell>
          <cell r="G138" t="str">
            <v>kg</v>
          </cell>
          <cell r="H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S138">
            <v>1</v>
          </cell>
          <cell r="T138">
            <v>0</v>
          </cell>
        </row>
        <row r="139">
          <cell r="A139" t="str">
            <v/>
          </cell>
          <cell r="B139" t="str">
            <v>CTD</v>
          </cell>
          <cell r="C139" t="str">
            <v>X</v>
          </cell>
          <cell r="E139">
            <v>0</v>
          </cell>
          <cell r="F139" t="str">
            <v>Cọc tiếp đất φ16 - 2,4m mạ Cu 16 micrômét</v>
          </cell>
          <cell r="G139" t="str">
            <v>cọc</v>
          </cell>
          <cell r="H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S139">
            <v>5.3</v>
          </cell>
          <cell r="T139">
            <v>0</v>
          </cell>
        </row>
        <row r="140">
          <cell r="A140" t="str">
            <v/>
          </cell>
          <cell r="B140" t="str">
            <v>KC</v>
          </cell>
          <cell r="C140" t="str">
            <v>X</v>
          </cell>
          <cell r="E140">
            <v>0</v>
          </cell>
          <cell r="F140" t="str">
            <v>Kẹp cọc tiếp địa Cu loại lớn</v>
          </cell>
          <cell r="G140" t="str">
            <v>bộ</v>
          </cell>
          <cell r="H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S140">
            <v>0.05</v>
          </cell>
          <cell r="T140">
            <v>0</v>
          </cell>
        </row>
        <row r="141">
          <cell r="A141" t="str">
            <v/>
          </cell>
          <cell r="B141" t="str">
            <v>OXC38</v>
          </cell>
          <cell r="C141" t="str">
            <v>X</v>
          </cell>
          <cell r="E141">
            <v>0</v>
          </cell>
          <cell r="F141" t="str">
            <v xml:space="preserve">Ốc xiết cáp cỡ 38mm2 </v>
          </cell>
          <cell r="G141" t="str">
            <v>cái</v>
          </cell>
          <cell r="H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S141">
            <v>0</v>
          </cell>
          <cell r="T141">
            <v>0</v>
          </cell>
        </row>
        <row r="142">
          <cell r="A142" t="str">
            <v/>
          </cell>
          <cell r="B142" t="str">
            <v>KTDTBA</v>
          </cell>
          <cell r="C142" t="str">
            <v>X</v>
          </cell>
          <cell r="E142" t="str">
            <v>T4.7001</v>
          </cell>
          <cell r="F142" t="str">
            <v>Kéo dây tiếp địa trong TBA</v>
          </cell>
          <cell r="G142" t="str">
            <v>mét</v>
          </cell>
          <cell r="H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S142">
            <v>0</v>
          </cell>
          <cell r="T142">
            <v>0</v>
          </cell>
        </row>
        <row r="143">
          <cell r="A143" t="str">
            <v/>
          </cell>
          <cell r="B143" t="str">
            <v>DCTDTBA</v>
          </cell>
          <cell r="C143" t="str">
            <v>X</v>
          </cell>
          <cell r="E143" t="str">
            <v>D2.8103</v>
          </cell>
          <cell r="F143" t="str">
            <v>Đóng cọc tiếp địa trong TBA (đất cấp 3)</v>
          </cell>
          <cell r="G143" t="str">
            <v>cọc</v>
          </cell>
          <cell r="H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S143">
            <v>0</v>
          </cell>
          <cell r="T143">
            <v>0</v>
          </cell>
        </row>
        <row r="144">
          <cell r="A144" t="str">
            <v/>
          </cell>
          <cell r="B144" t="str">
            <v>DTD3</v>
          </cell>
          <cell r="C144" t="str">
            <v>X</v>
          </cell>
          <cell r="E144" t="str">
            <v>AB.11513</v>
          </cell>
          <cell r="F144" t="str">
            <v>Đào rãnh tiếp địa đất cấp 3</v>
          </cell>
          <cell r="G144" t="str">
            <v>m3</v>
          </cell>
          <cell r="H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S144">
            <v>0</v>
          </cell>
          <cell r="T144">
            <v>0</v>
          </cell>
        </row>
        <row r="145">
          <cell r="A145" t="str">
            <v/>
          </cell>
          <cell r="B145" t="str">
            <v>DATD3</v>
          </cell>
          <cell r="C145" t="str">
            <v>X</v>
          </cell>
          <cell r="E145" t="str">
            <v>AB.13111</v>
          </cell>
          <cell r="F145" t="str">
            <v>Đắp đất rãnh tiếp địa (K=0,85)</v>
          </cell>
          <cell r="G145" t="str">
            <v>m3</v>
          </cell>
          <cell r="H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S145">
            <v>0</v>
          </cell>
          <cell r="T145">
            <v>0</v>
          </cell>
        </row>
        <row r="146">
          <cell r="A146" t="str">
            <v/>
          </cell>
          <cell r="C146" t="str">
            <v>X</v>
          </cell>
          <cell r="D146">
            <v>0</v>
          </cell>
          <cell r="F146" t="str">
            <v>Tủ điện trạm treo 1 pha</v>
          </cell>
          <cell r="G146" t="str">
            <v>Bộ</v>
          </cell>
          <cell r="H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S146">
            <v>0</v>
          </cell>
          <cell r="T146">
            <v>0</v>
          </cell>
        </row>
        <row r="147">
          <cell r="A147" t="str">
            <v/>
          </cell>
          <cell r="C147" t="str">
            <v>X</v>
          </cell>
          <cell r="F147" t="str">
            <v>Gồm có: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S147">
            <v>0</v>
          </cell>
          <cell r="T147">
            <v>0</v>
          </cell>
        </row>
        <row r="148">
          <cell r="A148" t="str">
            <v/>
          </cell>
          <cell r="B148" t="str">
            <v>TUAP1</v>
          </cell>
          <cell r="C148" t="str">
            <v>X</v>
          </cell>
          <cell r="E148" t="str">
            <v>T5.1001</v>
          </cell>
          <cell r="F148" t="str">
            <v>Tủ trạm treo + khóa + boulon + Bakelit + Collier (1 pha)</v>
          </cell>
          <cell r="G148" t="str">
            <v>cái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S148">
            <v>45</v>
          </cell>
          <cell r="T148">
            <v>0</v>
          </cell>
        </row>
        <row r="149">
          <cell r="C149" t="str">
            <v>X</v>
          </cell>
          <cell r="D149">
            <v>0</v>
          </cell>
          <cell r="F149" t="str">
            <v>Bộ dây dẫn trung thế trạm 1 pha</v>
          </cell>
          <cell r="G149" t="str">
            <v>Bộ</v>
          </cell>
          <cell r="H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S149">
            <v>0</v>
          </cell>
          <cell r="T149">
            <v>0</v>
          </cell>
        </row>
        <row r="150">
          <cell r="C150" t="str">
            <v>X</v>
          </cell>
          <cell r="F150" t="str">
            <v>Gồm có: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S150">
            <v>0</v>
          </cell>
          <cell r="T150">
            <v>0</v>
          </cell>
        </row>
        <row r="151">
          <cell r="B151" t="str">
            <v>CXV25</v>
          </cell>
          <cell r="C151" t="str">
            <v>X</v>
          </cell>
          <cell r="E151">
            <v>0</v>
          </cell>
          <cell r="F151" t="str">
            <v>Cáp 24KV C/XLPE/PVC 25mm2</v>
          </cell>
          <cell r="G151" t="str">
            <v>mét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S151">
            <v>0.75</v>
          </cell>
          <cell r="T151">
            <v>0</v>
          </cell>
        </row>
        <row r="152">
          <cell r="B152" t="str">
            <v>KQ4</v>
          </cell>
          <cell r="C152" t="str">
            <v>X</v>
          </cell>
          <cell r="E152">
            <v>0</v>
          </cell>
          <cell r="F152" t="str">
            <v>Kẹp quai 4/0 (quai đồng 8mm)</v>
          </cell>
          <cell r="G152" t="str">
            <v>cái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S152">
            <v>0.3</v>
          </cell>
          <cell r="T152">
            <v>0</v>
          </cell>
        </row>
        <row r="153">
          <cell r="B153" t="str">
            <v>CKQ</v>
          </cell>
          <cell r="C153" t="str">
            <v>X</v>
          </cell>
          <cell r="E153">
            <v>0</v>
          </cell>
          <cell r="F153" t="str">
            <v>Chụp cách điện kẹp quai</v>
          </cell>
          <cell r="G153" t="str">
            <v>cái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S153">
            <v>0.2</v>
          </cell>
          <cell r="T153">
            <v>0</v>
          </cell>
        </row>
        <row r="154">
          <cell r="B154" t="str">
            <v>HL2</v>
          </cell>
          <cell r="C154" t="str">
            <v>X</v>
          </cell>
          <cell r="E154">
            <v>0</v>
          </cell>
          <cell r="F154" t="str">
            <v>Kẹp hotline 2/0</v>
          </cell>
          <cell r="G154" t="str">
            <v>cái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S154">
            <v>0.1</v>
          </cell>
          <cell r="T154">
            <v>0</v>
          </cell>
        </row>
        <row r="155">
          <cell r="B155" t="str">
            <v>LCAPDONGTB95</v>
          </cell>
          <cell r="C155" t="str">
            <v>X</v>
          </cell>
          <cell r="E155" t="str">
            <v>T4.4201</v>
          </cell>
          <cell r="F155" t="str">
            <v>Lắp cáp đồng xuống thiết bị D ≤ 95mm2</v>
          </cell>
          <cell r="G155" t="str">
            <v>m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S155">
            <v>0</v>
          </cell>
          <cell r="T155">
            <v>0</v>
          </cell>
        </row>
        <row r="156">
          <cell r="C156" t="str">
            <v>X</v>
          </cell>
          <cell r="D156">
            <v>0</v>
          </cell>
          <cell r="F156" t="str">
            <v>Bộ dây dẫn hạ thế lộ xuống</v>
          </cell>
          <cell r="G156" t="str">
            <v>Bộ</v>
          </cell>
          <cell r="H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S156">
            <v>0</v>
          </cell>
          <cell r="T156">
            <v>0</v>
          </cell>
        </row>
        <row r="157">
          <cell r="C157" t="str">
            <v>X</v>
          </cell>
          <cell r="F157" t="str">
            <v>Gồm có: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S157">
            <v>0</v>
          </cell>
          <cell r="T157">
            <v>0</v>
          </cell>
        </row>
        <row r="158">
          <cell r="B158" t="str">
            <v>CV70</v>
          </cell>
          <cell r="C158" t="str">
            <v>X</v>
          </cell>
          <cell r="E158">
            <v>0</v>
          </cell>
          <cell r="F158" t="str">
            <v>Cáp đồng bọc CV70</v>
          </cell>
          <cell r="G158" t="str">
            <v>mét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S158">
            <v>0.73899999999999999</v>
          </cell>
          <cell r="T158">
            <v>0</v>
          </cell>
        </row>
        <row r="159">
          <cell r="B159" t="str">
            <v>CV50</v>
          </cell>
          <cell r="C159" t="str">
            <v>X</v>
          </cell>
          <cell r="E159">
            <v>0</v>
          </cell>
          <cell r="F159" t="str">
            <v>Cáp đồng bọc CV50</v>
          </cell>
          <cell r="G159" t="str">
            <v>mét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S159">
            <v>0.53400000000000003</v>
          </cell>
          <cell r="T159">
            <v>0</v>
          </cell>
        </row>
        <row r="160">
          <cell r="B160" t="str">
            <v>CVV4X4</v>
          </cell>
          <cell r="C160" t="str">
            <v>X</v>
          </cell>
          <cell r="E160">
            <v>0</v>
          </cell>
          <cell r="F160" t="str">
            <v>Cáp điều khiển CVV 4x4,0mm2</v>
          </cell>
          <cell r="G160" t="str">
            <v>mét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S160">
            <v>3.024</v>
          </cell>
          <cell r="T160">
            <v>0</v>
          </cell>
        </row>
        <row r="161">
          <cell r="B161" t="str">
            <v>COS70</v>
          </cell>
          <cell r="C161" t="str">
            <v>X</v>
          </cell>
          <cell r="E161">
            <v>0</v>
          </cell>
          <cell r="F161" t="str">
            <v>Đầu cosse ép Cu 70mm2</v>
          </cell>
          <cell r="G161" t="str">
            <v>cái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S161">
            <v>0.2</v>
          </cell>
          <cell r="T161">
            <v>0</v>
          </cell>
        </row>
        <row r="162">
          <cell r="B162" t="str">
            <v>COS50</v>
          </cell>
          <cell r="C162" t="str">
            <v>X</v>
          </cell>
          <cell r="E162">
            <v>0</v>
          </cell>
          <cell r="F162" t="str">
            <v>Đầu cosse ép Cu 50mm2</v>
          </cell>
          <cell r="G162" t="str">
            <v>cái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S162">
            <v>0.1</v>
          </cell>
          <cell r="T162">
            <v>0</v>
          </cell>
        </row>
        <row r="163">
          <cell r="B163" t="str">
            <v>CHCOS70</v>
          </cell>
          <cell r="C163" t="str">
            <v>X</v>
          </cell>
          <cell r="E163">
            <v>0</v>
          </cell>
          <cell r="F163" t="str">
            <v>Chụp đầu cosse  70mm2</v>
          </cell>
          <cell r="G163" t="str">
            <v>cái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S163">
            <v>0</v>
          </cell>
          <cell r="T163">
            <v>0</v>
          </cell>
        </row>
        <row r="164">
          <cell r="B164" t="str">
            <v>CHCOS50</v>
          </cell>
          <cell r="C164" t="str">
            <v>X</v>
          </cell>
          <cell r="E164">
            <v>0</v>
          </cell>
          <cell r="F164" t="str">
            <v>Chụp đầu cosse  50mm2</v>
          </cell>
          <cell r="G164" t="str">
            <v>cái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S164">
            <v>0</v>
          </cell>
          <cell r="T164">
            <v>0</v>
          </cell>
        </row>
        <row r="165">
          <cell r="B165" t="str">
            <v>PVC90</v>
          </cell>
          <cell r="C165" t="str">
            <v>X</v>
          </cell>
          <cell r="E165">
            <v>0</v>
          </cell>
          <cell r="F165" t="str">
            <v xml:space="preserve">Ống PVC D90x3,8mm </v>
          </cell>
          <cell r="G165" t="str">
            <v>m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S165">
            <v>2</v>
          </cell>
          <cell r="T165">
            <v>0</v>
          </cell>
        </row>
        <row r="166">
          <cell r="B166" t="str">
            <v>CD90</v>
          </cell>
          <cell r="C166" t="str">
            <v>X</v>
          </cell>
          <cell r="E166">
            <v>0</v>
          </cell>
          <cell r="F166" t="str">
            <v>Cổ dê kẹp ống PVC φ 90 (có giá nới)</v>
          </cell>
          <cell r="G166" t="str">
            <v>bộ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S166">
            <v>1.5</v>
          </cell>
          <cell r="T166">
            <v>0</v>
          </cell>
        </row>
        <row r="167">
          <cell r="B167" t="str">
            <v>CD90</v>
          </cell>
          <cell r="C167" t="str">
            <v>X</v>
          </cell>
          <cell r="E167">
            <v>0</v>
          </cell>
          <cell r="F167" t="str">
            <v>Cổ dê kẹp ống PVC φ 90 (có giá nới)</v>
          </cell>
          <cell r="G167" t="str">
            <v>bộ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S167">
            <v>1.5</v>
          </cell>
          <cell r="T167">
            <v>0</v>
          </cell>
        </row>
        <row r="168">
          <cell r="B168" t="str">
            <v>CD90</v>
          </cell>
          <cell r="C168" t="str">
            <v>X</v>
          </cell>
          <cell r="E168">
            <v>0</v>
          </cell>
          <cell r="F168" t="str">
            <v>Cổ dê kẹp ống PVC φ 90 (có giá nới)</v>
          </cell>
          <cell r="G168" t="str">
            <v>bộ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S168">
            <v>1.5</v>
          </cell>
          <cell r="T168">
            <v>0</v>
          </cell>
        </row>
        <row r="169">
          <cell r="B169" t="str">
            <v>CUT90T</v>
          </cell>
          <cell r="C169" t="str">
            <v>X</v>
          </cell>
          <cell r="E169">
            <v>0</v>
          </cell>
          <cell r="F169" t="str">
            <v>Co  90 độ PVC 90</v>
          </cell>
          <cell r="G169" t="str">
            <v>cái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S169">
            <v>0</v>
          </cell>
          <cell r="T169">
            <v>0</v>
          </cell>
        </row>
        <row r="170">
          <cell r="B170" t="str">
            <v>NG11490</v>
          </cell>
          <cell r="C170" t="str">
            <v>X</v>
          </cell>
          <cell r="E170">
            <v>0</v>
          </cell>
          <cell r="F170" t="str">
            <v>Nối giảm PVC 114-90</v>
          </cell>
          <cell r="G170" t="str">
            <v>cái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S170">
            <v>0</v>
          </cell>
          <cell r="T170">
            <v>0</v>
          </cell>
        </row>
        <row r="171">
          <cell r="B171" t="str">
            <v>CUT90135</v>
          </cell>
          <cell r="C171" t="str">
            <v>X</v>
          </cell>
          <cell r="E171">
            <v>0</v>
          </cell>
          <cell r="F171" t="str">
            <v>Co 135 độ PVC 90</v>
          </cell>
          <cell r="G171" t="str">
            <v>cái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S171">
            <v>0</v>
          </cell>
          <cell r="T171">
            <v>0</v>
          </cell>
        </row>
        <row r="172">
          <cell r="B172" t="str">
            <v>KEODAN</v>
          </cell>
          <cell r="C172" t="str">
            <v>X</v>
          </cell>
          <cell r="E172">
            <v>0</v>
          </cell>
          <cell r="F172" t="str">
            <v>Keo dán ống PVC (100gr)</v>
          </cell>
          <cell r="G172" t="str">
            <v>tuýp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S172">
            <v>0</v>
          </cell>
          <cell r="T172">
            <v>0</v>
          </cell>
        </row>
        <row r="173">
          <cell r="B173" t="str">
            <v>KEOBIT</v>
          </cell>
          <cell r="C173" t="str">
            <v>X</v>
          </cell>
          <cell r="E173">
            <v>0</v>
          </cell>
          <cell r="F173" t="str">
            <v>Keo silicon bít miệng ống</v>
          </cell>
          <cell r="G173" t="str">
            <v>ống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S173">
            <v>0</v>
          </cell>
          <cell r="T173">
            <v>0</v>
          </cell>
        </row>
        <row r="174">
          <cell r="B174" t="str">
            <v>BANGKEO</v>
          </cell>
          <cell r="C174" t="str">
            <v>X</v>
          </cell>
          <cell r="E174">
            <v>0</v>
          </cell>
          <cell r="F174" t="str">
            <v>Băng keo cách điện (Màu đen)</v>
          </cell>
          <cell r="G174" t="str">
            <v>cuộn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S174">
            <v>0</v>
          </cell>
          <cell r="T174">
            <v>0</v>
          </cell>
        </row>
        <row r="175">
          <cell r="B175" t="str">
            <v>LPVC90CL</v>
          </cell>
          <cell r="C175" t="str">
            <v>X</v>
          </cell>
          <cell r="E175" t="str">
            <v>T4.8003</v>
          </cell>
          <cell r="F175" t="str">
            <v>Lắp ống nhựa PVC D90</v>
          </cell>
          <cell r="G175" t="str">
            <v>mét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S175">
            <v>0</v>
          </cell>
          <cell r="T175">
            <v>0</v>
          </cell>
        </row>
        <row r="176">
          <cell r="B176" t="str">
            <v>LCAPDONGTB95</v>
          </cell>
          <cell r="C176" t="str">
            <v>X</v>
          </cell>
          <cell r="E176" t="str">
            <v>T4.4201</v>
          </cell>
          <cell r="F176" t="str">
            <v>Lắp cáp đồng xuống thiết bị D ≤ 95mm2</v>
          </cell>
          <cell r="G176" t="str">
            <v>m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S176">
            <v>0</v>
          </cell>
          <cell r="T176">
            <v>0</v>
          </cell>
        </row>
        <row r="177">
          <cell r="C177" t="str">
            <v>X</v>
          </cell>
          <cell r="D177">
            <v>0</v>
          </cell>
          <cell r="F177" t="str">
            <v>Bộ dây dẫn hạ thế lộ lên</v>
          </cell>
          <cell r="G177" t="str">
            <v>Bộ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S177">
            <v>0</v>
          </cell>
          <cell r="T177">
            <v>0</v>
          </cell>
        </row>
        <row r="178">
          <cell r="C178" t="str">
            <v>X</v>
          </cell>
          <cell r="F178" t="str">
            <v>Gồm có: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S178">
            <v>0</v>
          </cell>
          <cell r="T178">
            <v>0</v>
          </cell>
        </row>
        <row r="179">
          <cell r="B179" t="str">
            <v>CV70</v>
          </cell>
          <cell r="C179" t="str">
            <v>X</v>
          </cell>
          <cell r="E179">
            <v>0</v>
          </cell>
          <cell r="F179" t="str">
            <v>Cáp đồng bọc CV70</v>
          </cell>
          <cell r="G179" t="str">
            <v>mét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S179">
            <v>0.73899999999999999</v>
          </cell>
          <cell r="T179">
            <v>0</v>
          </cell>
        </row>
        <row r="180">
          <cell r="B180" t="str">
            <v>CV50</v>
          </cell>
          <cell r="C180" t="str">
            <v>X</v>
          </cell>
          <cell r="E180">
            <v>0</v>
          </cell>
          <cell r="F180" t="str">
            <v>Cáp đồng bọc CV50</v>
          </cell>
          <cell r="G180" t="str">
            <v>mét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S180">
            <v>0.53400000000000003</v>
          </cell>
          <cell r="T180">
            <v>0</v>
          </cell>
        </row>
        <row r="181">
          <cell r="B181" t="str">
            <v>COS70</v>
          </cell>
          <cell r="C181" t="str">
            <v>X</v>
          </cell>
          <cell r="E181">
            <v>0</v>
          </cell>
          <cell r="F181" t="str">
            <v>Đầu cosse ép Cu 70mm2</v>
          </cell>
          <cell r="G181" t="str">
            <v>cái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S181">
            <v>0.2</v>
          </cell>
          <cell r="T181">
            <v>0</v>
          </cell>
        </row>
        <row r="182">
          <cell r="B182" t="str">
            <v>COS50</v>
          </cell>
          <cell r="C182" t="str">
            <v>X</v>
          </cell>
          <cell r="E182">
            <v>0</v>
          </cell>
          <cell r="F182" t="str">
            <v>Đầu cosse ép Cu 50mm2</v>
          </cell>
          <cell r="G182" t="str">
            <v>cái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S182">
            <v>0.1</v>
          </cell>
          <cell r="T182">
            <v>0</v>
          </cell>
        </row>
        <row r="183">
          <cell r="B183" t="str">
            <v>CHCOS70</v>
          </cell>
          <cell r="C183" t="str">
            <v>X</v>
          </cell>
          <cell r="E183">
            <v>0</v>
          </cell>
          <cell r="F183" t="str">
            <v>Chụp đầu cosse  70mm2</v>
          </cell>
          <cell r="G183" t="str">
            <v>cái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S183">
            <v>0</v>
          </cell>
          <cell r="T183">
            <v>0</v>
          </cell>
        </row>
        <row r="184">
          <cell r="B184" t="str">
            <v>CHCOS50</v>
          </cell>
          <cell r="C184" t="str">
            <v>X</v>
          </cell>
          <cell r="E184">
            <v>0</v>
          </cell>
          <cell r="F184" t="str">
            <v>Chụp đầu cosse  50mm2</v>
          </cell>
          <cell r="G184" t="str">
            <v>cái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S184">
            <v>0</v>
          </cell>
          <cell r="T184">
            <v>0</v>
          </cell>
        </row>
        <row r="185">
          <cell r="B185" t="str">
            <v>PVC90</v>
          </cell>
          <cell r="C185" t="str">
            <v>X</v>
          </cell>
          <cell r="E185">
            <v>0</v>
          </cell>
          <cell r="F185" t="str">
            <v xml:space="preserve">Ống PVC D90x3,8mm </v>
          </cell>
          <cell r="G185" t="str">
            <v>m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S185">
            <v>2</v>
          </cell>
          <cell r="T185">
            <v>0</v>
          </cell>
        </row>
        <row r="186">
          <cell r="B186" t="str">
            <v>CD90</v>
          </cell>
          <cell r="C186" t="str">
            <v>X</v>
          </cell>
          <cell r="E186">
            <v>0</v>
          </cell>
          <cell r="F186" t="str">
            <v>Cổ dê kẹp ống PVC φ 90 (có giá nới)</v>
          </cell>
          <cell r="G186" t="str">
            <v>bộ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S186">
            <v>1.5</v>
          </cell>
          <cell r="T186">
            <v>0</v>
          </cell>
        </row>
        <row r="187">
          <cell r="B187" t="str">
            <v>CD90</v>
          </cell>
          <cell r="C187" t="str">
            <v>X</v>
          </cell>
          <cell r="E187">
            <v>0</v>
          </cell>
          <cell r="F187" t="str">
            <v>Cổ dê kẹp ống PVC φ 90 (có giá nới)</v>
          </cell>
          <cell r="G187" t="str">
            <v>bộ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S187">
            <v>1.5</v>
          </cell>
          <cell r="T187">
            <v>0</v>
          </cell>
        </row>
        <row r="188">
          <cell r="B188" t="str">
            <v>CD90</v>
          </cell>
          <cell r="C188" t="str">
            <v>X</v>
          </cell>
          <cell r="E188">
            <v>0</v>
          </cell>
          <cell r="F188" t="str">
            <v>Cổ dê kẹp ống PVC φ 90 (có giá nới)</v>
          </cell>
          <cell r="G188" t="str">
            <v>bộ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S188">
            <v>1.5</v>
          </cell>
          <cell r="T188">
            <v>0</v>
          </cell>
        </row>
        <row r="189">
          <cell r="B189" t="str">
            <v>CUT90T</v>
          </cell>
          <cell r="C189" t="str">
            <v>X</v>
          </cell>
          <cell r="E189">
            <v>0</v>
          </cell>
          <cell r="F189" t="str">
            <v>Co  90 độ PVC 90</v>
          </cell>
          <cell r="G189" t="str">
            <v>cái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S189">
            <v>0</v>
          </cell>
          <cell r="T189">
            <v>0</v>
          </cell>
        </row>
        <row r="190">
          <cell r="B190" t="str">
            <v>CUT90135</v>
          </cell>
          <cell r="C190" t="str">
            <v>X</v>
          </cell>
          <cell r="E190">
            <v>0</v>
          </cell>
          <cell r="F190" t="str">
            <v>Co 135 độ PVC 90</v>
          </cell>
          <cell r="G190" t="str">
            <v>cái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S190">
            <v>0</v>
          </cell>
          <cell r="T190">
            <v>0</v>
          </cell>
        </row>
        <row r="191">
          <cell r="B191" t="str">
            <v>KEODAN</v>
          </cell>
          <cell r="C191" t="str">
            <v>X</v>
          </cell>
          <cell r="E191">
            <v>0</v>
          </cell>
          <cell r="F191" t="str">
            <v>Keo dán ống PVC (100gr)</v>
          </cell>
          <cell r="G191" t="str">
            <v>tuýp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S191">
            <v>0</v>
          </cell>
          <cell r="T191">
            <v>0</v>
          </cell>
        </row>
        <row r="192">
          <cell r="B192" t="str">
            <v>KEOBIT</v>
          </cell>
          <cell r="C192" t="str">
            <v>X</v>
          </cell>
          <cell r="E192">
            <v>0</v>
          </cell>
          <cell r="F192" t="str">
            <v>Keo silicon bít miệng ống</v>
          </cell>
          <cell r="G192" t="str">
            <v>ống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S192">
            <v>0</v>
          </cell>
          <cell r="T192">
            <v>0</v>
          </cell>
        </row>
        <row r="193">
          <cell r="B193" t="str">
            <v>BANGKEO</v>
          </cell>
          <cell r="C193" t="str">
            <v>X</v>
          </cell>
          <cell r="E193">
            <v>0</v>
          </cell>
          <cell r="F193" t="str">
            <v>Băng keo cách điện (Màu đen)</v>
          </cell>
          <cell r="G193" t="str">
            <v>cuộn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S193">
            <v>0</v>
          </cell>
          <cell r="T193">
            <v>0</v>
          </cell>
        </row>
        <row r="194">
          <cell r="B194" t="str">
            <v>LPVC90CL</v>
          </cell>
          <cell r="C194" t="str">
            <v>X</v>
          </cell>
          <cell r="E194" t="str">
            <v>T4.8003</v>
          </cell>
          <cell r="F194" t="str">
            <v>Lắp ống nhựa PVC D90</v>
          </cell>
          <cell r="G194" t="str">
            <v>mét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S194">
            <v>0</v>
          </cell>
          <cell r="T194">
            <v>0</v>
          </cell>
        </row>
        <row r="195">
          <cell r="B195" t="str">
            <v>LCAPDONGTB95</v>
          </cell>
          <cell r="C195" t="str">
            <v>X</v>
          </cell>
          <cell r="E195" t="str">
            <v>T4.4201</v>
          </cell>
          <cell r="F195" t="str">
            <v>Lắp cáp đồng xuống thiết bị D ≤ 95mm2</v>
          </cell>
          <cell r="G195" t="str">
            <v>m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S195">
            <v>0</v>
          </cell>
          <cell r="T195">
            <v>0</v>
          </cell>
        </row>
        <row r="196">
          <cell r="B196" t="str">
            <v>BANG</v>
          </cell>
          <cell r="C196" t="str">
            <v>X</v>
          </cell>
          <cell r="D196">
            <v>0</v>
          </cell>
          <cell r="E196">
            <v>0</v>
          </cell>
          <cell r="F196" t="str">
            <v>Bảng tên trạm + bulon</v>
          </cell>
          <cell r="G196" t="str">
            <v>bộ</v>
          </cell>
          <cell r="H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S196">
            <v>0</v>
          </cell>
          <cell r="T196">
            <v>0</v>
          </cell>
        </row>
        <row r="197">
          <cell r="A197" t="str">
            <v>TR50</v>
          </cell>
          <cell r="C197" t="str">
            <v>X</v>
          </cell>
          <cell r="D197" t="str">
            <v>III</v>
          </cell>
          <cell r="E197" t="str">
            <v>0 Trạm 1 pha 50kVA</v>
          </cell>
          <cell r="S197">
            <v>0</v>
          </cell>
          <cell r="T197">
            <v>0</v>
          </cell>
        </row>
        <row r="198">
          <cell r="A198" t="str">
            <v>TBTR50</v>
          </cell>
          <cell r="C198" t="str">
            <v>X</v>
          </cell>
          <cell r="F198" t="str">
            <v>A.PHẦN THIẾT BỊ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S198">
            <v>0</v>
          </cell>
          <cell r="T198">
            <v>0</v>
          </cell>
        </row>
        <row r="199">
          <cell r="B199" t="str">
            <v>TR251</v>
          </cell>
          <cell r="C199" t="str">
            <v>X</v>
          </cell>
          <cell r="E199" t="str">
            <v>T1.1431</v>
          </cell>
          <cell r="F199" t="str">
            <v>Máy biến áp AMORPHOUS 12,7/0,22-0,44kV 25kVA</v>
          </cell>
          <cell r="G199" t="str">
            <v>máy</v>
          </cell>
          <cell r="H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S199">
            <v>320</v>
          </cell>
          <cell r="T199">
            <v>0</v>
          </cell>
        </row>
        <row r="200">
          <cell r="A200" t="str">
            <v/>
          </cell>
          <cell r="B200" t="str">
            <v>FCO100</v>
          </cell>
          <cell r="C200" t="str">
            <v>X</v>
          </cell>
          <cell r="E200" t="str">
            <v>T2.3505</v>
          </cell>
          <cell r="F200" t="str">
            <v>FCO 27kV - 100A</v>
          </cell>
          <cell r="G200" t="str">
            <v>cái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S200">
            <v>1.5</v>
          </cell>
          <cell r="T200">
            <v>0</v>
          </cell>
        </row>
        <row r="201">
          <cell r="A201" t="str">
            <v/>
          </cell>
          <cell r="B201" t="str">
            <v>LA18</v>
          </cell>
          <cell r="C201" t="str">
            <v>X</v>
          </cell>
          <cell r="E201" t="str">
            <v>T2.5004</v>
          </cell>
          <cell r="F201" t="str">
            <v>LA 18kV 10kA</v>
          </cell>
          <cell r="G201" t="str">
            <v>cái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S201">
            <v>0.8</v>
          </cell>
          <cell r="T201">
            <v>0</v>
          </cell>
        </row>
        <row r="202">
          <cell r="A202" t="str">
            <v/>
          </cell>
          <cell r="B202" t="str">
            <v>ATM125</v>
          </cell>
          <cell r="C202" t="str">
            <v>X</v>
          </cell>
          <cell r="E202" t="str">
            <v>T2.8403</v>
          </cell>
          <cell r="F202" t="str">
            <v>MCCB 3 cực 400V - 125A - 30KA (80-125A)</v>
          </cell>
          <cell r="G202" t="str">
            <v>cái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2</v>
          </cell>
          <cell r="T202">
            <v>0</v>
          </cell>
        </row>
        <row r="203">
          <cell r="A203" t="str">
            <v/>
          </cell>
          <cell r="B203" t="str">
            <v>TI1005</v>
          </cell>
          <cell r="C203" t="str">
            <v>X</v>
          </cell>
          <cell r="E203">
            <v>0</v>
          </cell>
          <cell r="F203" t="str">
            <v>Biến dòng 600V - 100/5A</v>
          </cell>
          <cell r="G203" t="str">
            <v>cái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S203">
            <v>0</v>
          </cell>
          <cell r="T203">
            <v>0</v>
          </cell>
        </row>
        <row r="204">
          <cell r="A204" t="str">
            <v/>
          </cell>
          <cell r="B204" t="str">
            <v>DK1p80A</v>
          </cell>
          <cell r="C204" t="str">
            <v>X</v>
          </cell>
          <cell r="E204">
            <v>0</v>
          </cell>
          <cell r="F204" t="str">
            <v>Điện kế 1 pha 2 dây 220V-80A</v>
          </cell>
          <cell r="G204" t="str">
            <v>cái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S204">
            <v>0</v>
          </cell>
          <cell r="T204">
            <v>0</v>
          </cell>
        </row>
        <row r="205">
          <cell r="A205" t="str">
            <v>VLTR50</v>
          </cell>
          <cell r="C205" t="str">
            <v>X</v>
          </cell>
          <cell r="F205" t="str">
            <v>B. PHẦN VẬT LIỆU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S205">
            <v>0</v>
          </cell>
          <cell r="T205">
            <v>0</v>
          </cell>
        </row>
        <row r="206">
          <cell r="C206" t="str">
            <v>X</v>
          </cell>
          <cell r="D206">
            <v>0</v>
          </cell>
          <cell r="F206" t="str">
            <v>Vật liệu bảo vệ thiết bị</v>
          </cell>
          <cell r="G206" t="str">
            <v>Bộ</v>
          </cell>
          <cell r="H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S206">
            <v>0</v>
          </cell>
          <cell r="T206">
            <v>0</v>
          </cell>
        </row>
        <row r="207">
          <cell r="A207" t="str">
            <v/>
          </cell>
          <cell r="B207" t="str">
            <v>CHI3K</v>
          </cell>
          <cell r="C207" t="str">
            <v>X</v>
          </cell>
          <cell r="E207">
            <v>0</v>
          </cell>
          <cell r="F207" t="str">
            <v>Dây chảy 3K</v>
          </cell>
          <cell r="G207" t="str">
            <v>Sợi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S207">
            <v>0</v>
          </cell>
          <cell r="T207">
            <v>0</v>
          </cell>
        </row>
        <row r="208">
          <cell r="A208" t="str">
            <v/>
          </cell>
          <cell r="B208" t="str">
            <v>CHUPFCO</v>
          </cell>
          <cell r="C208" t="str">
            <v>X</v>
          </cell>
          <cell r="E208">
            <v>0</v>
          </cell>
          <cell r="F208" t="str">
            <v>Chụp đầu FCO (Trên + Dưới)</v>
          </cell>
          <cell r="G208" t="str">
            <v>bộ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S208">
            <v>0</v>
          </cell>
          <cell r="T208">
            <v>0</v>
          </cell>
        </row>
        <row r="209">
          <cell r="A209" t="str">
            <v/>
          </cell>
          <cell r="B209" t="str">
            <v>CHUPLA</v>
          </cell>
          <cell r="C209" t="str">
            <v>X</v>
          </cell>
          <cell r="E209">
            <v>0</v>
          </cell>
          <cell r="F209" t="str">
            <v>Chụp đầu LA</v>
          </cell>
          <cell r="G209" t="str">
            <v>cái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S209">
            <v>0</v>
          </cell>
          <cell r="T209">
            <v>0</v>
          </cell>
        </row>
        <row r="210">
          <cell r="A210" t="str">
            <v/>
          </cell>
          <cell r="B210" t="str">
            <v>CHUPMBA</v>
          </cell>
          <cell r="C210" t="str">
            <v>X</v>
          </cell>
          <cell r="E210">
            <v>0</v>
          </cell>
          <cell r="F210" t="str">
            <v>Chụp đầu cực MBA</v>
          </cell>
          <cell r="G210" t="str">
            <v>cái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S210">
            <v>0</v>
          </cell>
          <cell r="T210">
            <v>0</v>
          </cell>
        </row>
        <row r="211">
          <cell r="A211" t="str">
            <v/>
          </cell>
          <cell r="B211" t="str">
            <v>B16300</v>
          </cell>
          <cell r="C211" t="str">
            <v>X</v>
          </cell>
          <cell r="E211">
            <v>0</v>
          </cell>
          <cell r="F211" t="str">
            <v>Boulon 16x300+ 2 long đền vuông D18-50x50x3/Zn</v>
          </cell>
          <cell r="G211" t="str">
            <v>bộ</v>
          </cell>
          <cell r="H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S211">
            <v>0.25</v>
          </cell>
          <cell r="T211">
            <v>0</v>
          </cell>
        </row>
        <row r="212">
          <cell r="A212" t="str">
            <v/>
          </cell>
          <cell r="C212" t="str">
            <v>X</v>
          </cell>
          <cell r="D212">
            <v>0</v>
          </cell>
          <cell r="F212" t="str">
            <v>Đà Composite bắt LA, FCO</v>
          </cell>
          <cell r="G212" t="str">
            <v>Bộ</v>
          </cell>
          <cell r="H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S212">
            <v>0</v>
          </cell>
          <cell r="T212">
            <v>0</v>
          </cell>
        </row>
        <row r="213">
          <cell r="A213" t="str">
            <v/>
          </cell>
          <cell r="C213" t="str">
            <v>X</v>
          </cell>
          <cell r="F213" t="str">
            <v>Gồm có: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S213">
            <v>0</v>
          </cell>
          <cell r="T213">
            <v>0</v>
          </cell>
        </row>
        <row r="214">
          <cell r="A214" t="str">
            <v/>
          </cell>
          <cell r="B214" t="str">
            <v>COM800</v>
          </cell>
          <cell r="C214" t="str">
            <v>X</v>
          </cell>
          <cell r="E214">
            <v>0</v>
          </cell>
          <cell r="F214" t="str">
            <v>Đà hộp composite 110x80x5-800</v>
          </cell>
          <cell r="G214" t="str">
            <v>cái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S214">
            <v>3.2</v>
          </cell>
          <cell r="T214">
            <v>0</v>
          </cell>
        </row>
        <row r="215">
          <cell r="A215" t="str">
            <v/>
          </cell>
          <cell r="B215" t="str">
            <v>CCOM800</v>
          </cell>
          <cell r="C215" t="str">
            <v>X</v>
          </cell>
          <cell r="E215">
            <v>0</v>
          </cell>
          <cell r="F215" t="str">
            <v>Thanh chống 10x40x720</v>
          </cell>
          <cell r="G215" t="str">
            <v>cái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S215">
            <v>0.5</v>
          </cell>
          <cell r="T215">
            <v>0</v>
          </cell>
        </row>
        <row r="216">
          <cell r="A216" t="str">
            <v/>
          </cell>
          <cell r="B216" t="str">
            <v>BATLI</v>
          </cell>
          <cell r="C216" t="str">
            <v>X</v>
          </cell>
          <cell r="E216">
            <v>0</v>
          </cell>
          <cell r="F216" t="str">
            <v>Bass LI bắt FCO, LA</v>
          </cell>
          <cell r="G216" t="str">
            <v>Bộ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S216">
            <v>0.4</v>
          </cell>
          <cell r="T216">
            <v>0</v>
          </cell>
        </row>
        <row r="217">
          <cell r="A217" t="str">
            <v/>
          </cell>
          <cell r="B217" t="str">
            <v>B16400V</v>
          </cell>
          <cell r="C217" t="str">
            <v>X</v>
          </cell>
          <cell r="E217">
            <v>0</v>
          </cell>
          <cell r="F217" t="str">
            <v>Boulon 16x400VRS + 4 long đền vuông D18-50x50x3/Zn</v>
          </cell>
          <cell r="G217" t="str">
            <v>bộ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S217">
            <v>0.39999999999999997</v>
          </cell>
          <cell r="T217">
            <v>0</v>
          </cell>
        </row>
        <row r="218">
          <cell r="A218" t="str">
            <v/>
          </cell>
          <cell r="B218" t="str">
            <v>B16300</v>
          </cell>
          <cell r="C218" t="str">
            <v>X</v>
          </cell>
          <cell r="E218">
            <v>0</v>
          </cell>
          <cell r="F218" t="str">
            <v>Boulon 16x300+ 2 long đền vuông D18-50x50x3/Zn</v>
          </cell>
          <cell r="G218" t="str">
            <v>bộ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S218">
            <v>0.25</v>
          </cell>
          <cell r="T218">
            <v>0</v>
          </cell>
        </row>
        <row r="219">
          <cell r="A219" t="str">
            <v/>
          </cell>
          <cell r="B219" t="str">
            <v>B14120</v>
          </cell>
          <cell r="C219" t="str">
            <v>X</v>
          </cell>
          <cell r="E219">
            <v>0</v>
          </cell>
          <cell r="F219" t="str">
            <v>Boulon 14x120+ 2 long đền vuông D16-50x50x3/Zn</v>
          </cell>
          <cell r="G219" t="str">
            <v>bộ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S219">
            <v>0.2</v>
          </cell>
          <cell r="T219">
            <v>0</v>
          </cell>
        </row>
        <row r="220">
          <cell r="A220" t="str">
            <v/>
          </cell>
          <cell r="C220" t="str">
            <v>X</v>
          </cell>
          <cell r="D220">
            <v>0</v>
          </cell>
          <cell r="F220" t="str">
            <v>Bộ tiếp địa Trạm 1 pha</v>
          </cell>
          <cell r="G220" t="str">
            <v>Bộ</v>
          </cell>
          <cell r="H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S220">
            <v>0</v>
          </cell>
          <cell r="T220">
            <v>0</v>
          </cell>
        </row>
        <row r="221">
          <cell r="A221" t="str">
            <v/>
          </cell>
          <cell r="C221" t="str">
            <v>X</v>
          </cell>
          <cell r="F221" t="str">
            <v>Gồm có: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S221">
            <v>0</v>
          </cell>
          <cell r="T221">
            <v>0</v>
          </cell>
        </row>
        <row r="222">
          <cell r="A222" t="str">
            <v/>
          </cell>
          <cell r="B222" t="str">
            <v>M25</v>
          </cell>
          <cell r="C222" t="str">
            <v>X</v>
          </cell>
          <cell r="E222">
            <v>0</v>
          </cell>
          <cell r="F222" t="str">
            <v>Cáp đồng trần M25mm2</v>
          </cell>
          <cell r="G222" t="str">
            <v>kg</v>
          </cell>
          <cell r="H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S222">
            <v>1</v>
          </cell>
          <cell r="T222">
            <v>0</v>
          </cell>
        </row>
        <row r="223">
          <cell r="A223" t="str">
            <v/>
          </cell>
          <cell r="B223" t="str">
            <v>CTD</v>
          </cell>
          <cell r="C223" t="str">
            <v>X</v>
          </cell>
          <cell r="E223">
            <v>0</v>
          </cell>
          <cell r="F223" t="str">
            <v>Cọc tiếp đất φ16 - 2,4m mạ Cu 16 micrômét</v>
          </cell>
          <cell r="G223" t="str">
            <v>cọc</v>
          </cell>
          <cell r="H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S223">
            <v>5.3</v>
          </cell>
          <cell r="T223">
            <v>0</v>
          </cell>
        </row>
        <row r="224">
          <cell r="A224" t="str">
            <v/>
          </cell>
          <cell r="B224" t="str">
            <v>KC</v>
          </cell>
          <cell r="C224" t="str">
            <v>X</v>
          </cell>
          <cell r="E224">
            <v>0</v>
          </cell>
          <cell r="F224" t="str">
            <v>Kẹp cọc tiếp địa Cu loại lớn</v>
          </cell>
          <cell r="G224" t="str">
            <v>bộ</v>
          </cell>
          <cell r="H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S224">
            <v>0.05</v>
          </cell>
          <cell r="T224">
            <v>0</v>
          </cell>
        </row>
        <row r="225">
          <cell r="A225" t="str">
            <v/>
          </cell>
          <cell r="B225" t="str">
            <v>OXC38</v>
          </cell>
          <cell r="C225" t="str">
            <v>X</v>
          </cell>
          <cell r="E225">
            <v>0</v>
          </cell>
          <cell r="F225" t="str">
            <v xml:space="preserve">Ốc xiết cáp cỡ 38mm2 </v>
          </cell>
          <cell r="G225" t="str">
            <v>cái</v>
          </cell>
          <cell r="H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S225">
            <v>0</v>
          </cell>
          <cell r="T225">
            <v>0</v>
          </cell>
        </row>
        <row r="226">
          <cell r="A226" t="str">
            <v/>
          </cell>
          <cell r="B226" t="str">
            <v>KTDTBA</v>
          </cell>
          <cell r="C226" t="str">
            <v>X</v>
          </cell>
          <cell r="E226" t="str">
            <v>T4.7001</v>
          </cell>
          <cell r="F226" t="str">
            <v>Kéo dây tiếp địa trong TBA</v>
          </cell>
          <cell r="G226" t="str">
            <v>mét</v>
          </cell>
          <cell r="H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S226">
            <v>0</v>
          </cell>
          <cell r="T226">
            <v>0</v>
          </cell>
        </row>
        <row r="227">
          <cell r="A227" t="str">
            <v/>
          </cell>
          <cell r="B227" t="str">
            <v>DCTDTBA</v>
          </cell>
          <cell r="C227" t="str">
            <v>X</v>
          </cell>
          <cell r="E227" t="str">
            <v>D2.8103</v>
          </cell>
          <cell r="F227" t="str">
            <v>Đóng cọc tiếp địa trong TBA (đất cấp 3)</v>
          </cell>
          <cell r="G227" t="str">
            <v>cọc</v>
          </cell>
          <cell r="H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S227">
            <v>0</v>
          </cell>
          <cell r="T227">
            <v>0</v>
          </cell>
        </row>
        <row r="228">
          <cell r="A228" t="str">
            <v/>
          </cell>
          <cell r="B228" t="str">
            <v>DTD3</v>
          </cell>
          <cell r="C228" t="str">
            <v>X</v>
          </cell>
          <cell r="E228" t="str">
            <v>AB.11513</v>
          </cell>
          <cell r="F228" t="str">
            <v>Đào rãnh tiếp địa đất cấp 3</v>
          </cell>
          <cell r="G228" t="str">
            <v>m3</v>
          </cell>
          <cell r="H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S228">
            <v>0</v>
          </cell>
          <cell r="T228">
            <v>0</v>
          </cell>
        </row>
        <row r="229">
          <cell r="A229" t="str">
            <v/>
          </cell>
          <cell r="B229" t="str">
            <v>DATD3</v>
          </cell>
          <cell r="C229" t="str">
            <v>X</v>
          </cell>
          <cell r="E229" t="str">
            <v>AB.13111</v>
          </cell>
          <cell r="F229" t="str">
            <v>Đắp đất rãnh tiếp địa (K=0,85)</v>
          </cell>
          <cell r="G229" t="str">
            <v>m3</v>
          </cell>
          <cell r="H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S229">
            <v>0</v>
          </cell>
          <cell r="T229">
            <v>0</v>
          </cell>
        </row>
        <row r="230">
          <cell r="A230" t="str">
            <v/>
          </cell>
          <cell r="C230" t="str">
            <v>X</v>
          </cell>
          <cell r="D230">
            <v>0</v>
          </cell>
          <cell r="F230" t="str">
            <v>Tủ điện trạm treo 1 pha</v>
          </cell>
          <cell r="G230" t="str">
            <v>Bộ</v>
          </cell>
          <cell r="H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S230">
            <v>0</v>
          </cell>
          <cell r="T230">
            <v>0</v>
          </cell>
        </row>
        <row r="231">
          <cell r="A231" t="str">
            <v/>
          </cell>
          <cell r="C231" t="str">
            <v>X</v>
          </cell>
          <cell r="F231" t="str">
            <v>Gồm có: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S231">
            <v>0</v>
          </cell>
          <cell r="T231">
            <v>0</v>
          </cell>
        </row>
        <row r="232">
          <cell r="A232" t="str">
            <v/>
          </cell>
          <cell r="B232" t="str">
            <v>TUAP1</v>
          </cell>
          <cell r="C232" t="str">
            <v>X</v>
          </cell>
          <cell r="E232" t="str">
            <v>T5.1001</v>
          </cell>
          <cell r="F232" t="str">
            <v>Tủ trạm treo + khóa + boulon + Bakelit + Collier (1 pha)</v>
          </cell>
          <cell r="G232" t="str">
            <v>cái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S232">
            <v>45</v>
          </cell>
          <cell r="T232">
            <v>0</v>
          </cell>
        </row>
        <row r="233">
          <cell r="C233" t="str">
            <v>X</v>
          </cell>
          <cell r="D233">
            <v>0</v>
          </cell>
          <cell r="F233" t="str">
            <v>Bộ dây dẫn trung thế trạm 1 pha</v>
          </cell>
          <cell r="G233" t="str">
            <v>Bộ</v>
          </cell>
          <cell r="H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S233">
            <v>0</v>
          </cell>
          <cell r="T233">
            <v>0</v>
          </cell>
        </row>
        <row r="234">
          <cell r="C234" t="str">
            <v>X</v>
          </cell>
          <cell r="F234" t="str">
            <v>Gồm có: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S234">
            <v>0</v>
          </cell>
          <cell r="T234">
            <v>0</v>
          </cell>
        </row>
        <row r="235">
          <cell r="B235" t="str">
            <v>CXV25</v>
          </cell>
          <cell r="C235" t="str">
            <v>X</v>
          </cell>
          <cell r="E235">
            <v>0</v>
          </cell>
          <cell r="F235" t="str">
            <v>Cáp 24KV C/XLPE/PVC 25mm2</v>
          </cell>
          <cell r="G235" t="str">
            <v>mét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S235">
            <v>0.75</v>
          </cell>
          <cell r="T235">
            <v>0</v>
          </cell>
        </row>
        <row r="236">
          <cell r="B236" t="str">
            <v>KQ4</v>
          </cell>
          <cell r="C236" t="str">
            <v>X</v>
          </cell>
          <cell r="E236">
            <v>0</v>
          </cell>
          <cell r="F236" t="str">
            <v>Kẹp quai 4/0 (quai đồng 8mm)</v>
          </cell>
          <cell r="G236" t="str">
            <v>cái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S236">
            <v>0.3</v>
          </cell>
          <cell r="T236">
            <v>0</v>
          </cell>
        </row>
        <row r="237">
          <cell r="B237" t="str">
            <v>CKQ</v>
          </cell>
          <cell r="C237" t="str">
            <v>X</v>
          </cell>
          <cell r="E237">
            <v>0</v>
          </cell>
          <cell r="F237" t="str">
            <v>Chụp cách điện kẹp quai</v>
          </cell>
          <cell r="G237" t="str">
            <v>cái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S237">
            <v>0.2</v>
          </cell>
          <cell r="T237">
            <v>0</v>
          </cell>
        </row>
        <row r="238">
          <cell r="B238" t="str">
            <v>HL2</v>
          </cell>
          <cell r="C238" t="str">
            <v>X</v>
          </cell>
          <cell r="E238">
            <v>0</v>
          </cell>
          <cell r="F238" t="str">
            <v>Kẹp hotline 2/0</v>
          </cell>
          <cell r="G238" t="str">
            <v>cái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S238">
            <v>0.1</v>
          </cell>
          <cell r="T238">
            <v>0</v>
          </cell>
        </row>
        <row r="239">
          <cell r="B239" t="str">
            <v>LCAPDONGTB95</v>
          </cell>
          <cell r="C239" t="str">
            <v>X</v>
          </cell>
          <cell r="E239" t="str">
            <v>T4.4201</v>
          </cell>
          <cell r="F239" t="str">
            <v>Lắp cáp đồng xuống thiết bị D ≤ 95mm2</v>
          </cell>
          <cell r="G239" t="str">
            <v>m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S239">
            <v>0</v>
          </cell>
          <cell r="T239">
            <v>0</v>
          </cell>
        </row>
        <row r="240">
          <cell r="C240" t="str">
            <v>X</v>
          </cell>
          <cell r="D240">
            <v>0</v>
          </cell>
          <cell r="F240" t="str">
            <v>Bộ dây dẫn hạ thế lộ xuống</v>
          </cell>
          <cell r="G240" t="str">
            <v>Bộ</v>
          </cell>
          <cell r="H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S240">
            <v>0</v>
          </cell>
          <cell r="T240">
            <v>0</v>
          </cell>
        </row>
        <row r="241">
          <cell r="C241" t="str">
            <v>X</v>
          </cell>
          <cell r="F241" t="str">
            <v>Gồm có: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S241">
            <v>0</v>
          </cell>
          <cell r="T241">
            <v>0</v>
          </cell>
        </row>
        <row r="242">
          <cell r="B242" t="str">
            <v>CV70</v>
          </cell>
          <cell r="C242" t="str">
            <v>X</v>
          </cell>
          <cell r="E242">
            <v>0</v>
          </cell>
          <cell r="F242" t="str">
            <v>Cáp đồng bọc CV70</v>
          </cell>
          <cell r="G242" t="str">
            <v>mét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S242">
            <v>0.73899999999999999</v>
          </cell>
          <cell r="T242">
            <v>0</v>
          </cell>
        </row>
        <row r="243">
          <cell r="B243" t="str">
            <v>CV50</v>
          </cell>
          <cell r="C243" t="str">
            <v>X</v>
          </cell>
          <cell r="E243">
            <v>0</v>
          </cell>
          <cell r="F243" t="str">
            <v>Cáp đồng bọc CV50</v>
          </cell>
          <cell r="G243" t="str">
            <v>mét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S243">
            <v>0.53400000000000003</v>
          </cell>
          <cell r="T243">
            <v>0</v>
          </cell>
        </row>
        <row r="244">
          <cell r="B244" t="str">
            <v>CVV4X4</v>
          </cell>
          <cell r="C244" t="str">
            <v>X</v>
          </cell>
          <cell r="E244">
            <v>0</v>
          </cell>
          <cell r="F244" t="str">
            <v>Cáp điều khiển CVV 4x4,0mm2</v>
          </cell>
          <cell r="G244" t="str">
            <v>mét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S244">
            <v>3.024</v>
          </cell>
          <cell r="T244">
            <v>0</v>
          </cell>
        </row>
        <row r="245">
          <cell r="B245" t="str">
            <v>COS70</v>
          </cell>
          <cell r="C245" t="str">
            <v>X</v>
          </cell>
          <cell r="E245">
            <v>0</v>
          </cell>
          <cell r="F245" t="str">
            <v>Đầu cosse ép Cu 70mm2</v>
          </cell>
          <cell r="G245" t="str">
            <v>cái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S245">
            <v>0.2</v>
          </cell>
          <cell r="T245">
            <v>0</v>
          </cell>
        </row>
        <row r="246">
          <cell r="B246" t="str">
            <v>COS50</v>
          </cell>
          <cell r="C246" t="str">
            <v>X</v>
          </cell>
          <cell r="E246">
            <v>0</v>
          </cell>
          <cell r="F246" t="str">
            <v>Đầu cosse ép Cu 50mm2</v>
          </cell>
          <cell r="G246" t="str">
            <v>cái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S246">
            <v>0.1</v>
          </cell>
          <cell r="T246">
            <v>0</v>
          </cell>
        </row>
        <row r="247">
          <cell r="B247" t="str">
            <v>CHCOS70</v>
          </cell>
          <cell r="C247" t="str">
            <v>X</v>
          </cell>
          <cell r="E247">
            <v>0</v>
          </cell>
          <cell r="F247" t="str">
            <v>Chụp đầu cosse  70mm2</v>
          </cell>
          <cell r="G247" t="str">
            <v>cái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S247">
            <v>0</v>
          </cell>
          <cell r="T247">
            <v>0</v>
          </cell>
        </row>
        <row r="248">
          <cell r="B248" t="str">
            <v>CHCOS50</v>
          </cell>
          <cell r="C248" t="str">
            <v>X</v>
          </cell>
          <cell r="E248">
            <v>0</v>
          </cell>
          <cell r="F248" t="str">
            <v>Chụp đầu cosse  50mm2</v>
          </cell>
          <cell r="G248" t="str">
            <v>cái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S248">
            <v>0</v>
          </cell>
          <cell r="T248">
            <v>0</v>
          </cell>
        </row>
        <row r="249">
          <cell r="B249" t="str">
            <v>PVC90</v>
          </cell>
          <cell r="C249" t="str">
            <v>X</v>
          </cell>
          <cell r="E249">
            <v>0</v>
          </cell>
          <cell r="F249" t="str">
            <v xml:space="preserve">Ống PVC D90x3,8mm </v>
          </cell>
          <cell r="G249" t="str">
            <v>m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S249">
            <v>2</v>
          </cell>
          <cell r="T249">
            <v>0</v>
          </cell>
        </row>
        <row r="250">
          <cell r="B250" t="str">
            <v>CD90</v>
          </cell>
          <cell r="C250" t="str">
            <v>X</v>
          </cell>
          <cell r="E250">
            <v>0</v>
          </cell>
          <cell r="F250" t="str">
            <v>Cổ dê kẹp ống PVC φ 90 (có giá nới)</v>
          </cell>
          <cell r="G250" t="str">
            <v>bộ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S250">
            <v>1.5</v>
          </cell>
          <cell r="T250">
            <v>0</v>
          </cell>
        </row>
        <row r="251">
          <cell r="B251" t="str">
            <v>CD90</v>
          </cell>
          <cell r="C251" t="str">
            <v>X</v>
          </cell>
          <cell r="E251">
            <v>0</v>
          </cell>
          <cell r="F251" t="str">
            <v>Cổ dê kẹp ống PVC φ 90 (có giá nới)</v>
          </cell>
          <cell r="G251" t="str">
            <v>bộ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S251">
            <v>1.5</v>
          </cell>
          <cell r="T251">
            <v>0</v>
          </cell>
        </row>
        <row r="252">
          <cell r="B252" t="str">
            <v>CD90</v>
          </cell>
          <cell r="C252" t="str">
            <v>X</v>
          </cell>
          <cell r="E252">
            <v>0</v>
          </cell>
          <cell r="F252" t="str">
            <v>Cổ dê kẹp ống PVC φ 90 (có giá nới)</v>
          </cell>
          <cell r="G252" t="str">
            <v>bộ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S252">
            <v>1.5</v>
          </cell>
          <cell r="T252">
            <v>0</v>
          </cell>
        </row>
        <row r="253">
          <cell r="B253" t="str">
            <v>CUT90T</v>
          </cell>
          <cell r="C253" t="str">
            <v>X</v>
          </cell>
          <cell r="E253">
            <v>0</v>
          </cell>
          <cell r="F253" t="str">
            <v>Co  90 độ PVC 90</v>
          </cell>
          <cell r="G253" t="str">
            <v>cái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S253">
            <v>0</v>
          </cell>
          <cell r="T253">
            <v>0</v>
          </cell>
        </row>
        <row r="254">
          <cell r="B254" t="str">
            <v>NG11490</v>
          </cell>
          <cell r="C254" t="str">
            <v>X</v>
          </cell>
          <cell r="E254">
            <v>0</v>
          </cell>
          <cell r="F254" t="str">
            <v>Nối giảm PVC 114-90</v>
          </cell>
          <cell r="G254" t="str">
            <v>cái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S254">
            <v>0</v>
          </cell>
          <cell r="T254">
            <v>0</v>
          </cell>
        </row>
        <row r="255">
          <cell r="B255" t="str">
            <v>CUT90135</v>
          </cell>
          <cell r="C255" t="str">
            <v>X</v>
          </cell>
          <cell r="E255">
            <v>0</v>
          </cell>
          <cell r="F255" t="str">
            <v>Co 135 độ PVC 90</v>
          </cell>
          <cell r="G255" t="str">
            <v>cái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S255">
            <v>0</v>
          </cell>
          <cell r="T255">
            <v>0</v>
          </cell>
        </row>
        <row r="256">
          <cell r="B256" t="str">
            <v>KEODAN</v>
          </cell>
          <cell r="C256" t="str">
            <v>X</v>
          </cell>
          <cell r="E256">
            <v>0</v>
          </cell>
          <cell r="F256" t="str">
            <v>Keo dán ống PVC (100gr)</v>
          </cell>
          <cell r="G256" t="str">
            <v>tuýp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S256">
            <v>0</v>
          </cell>
          <cell r="T256">
            <v>0</v>
          </cell>
        </row>
        <row r="257">
          <cell r="B257" t="str">
            <v>KEOBIT</v>
          </cell>
          <cell r="C257" t="str">
            <v>X</v>
          </cell>
          <cell r="E257">
            <v>0</v>
          </cell>
          <cell r="F257" t="str">
            <v>Keo silicon bít miệng ống</v>
          </cell>
          <cell r="G257" t="str">
            <v>ống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S257">
            <v>0</v>
          </cell>
          <cell r="T257">
            <v>0</v>
          </cell>
        </row>
        <row r="258">
          <cell r="B258" t="str">
            <v>BANGKEO</v>
          </cell>
          <cell r="C258" t="str">
            <v>X</v>
          </cell>
          <cell r="E258">
            <v>0</v>
          </cell>
          <cell r="F258" t="str">
            <v>Băng keo cách điện (Màu đen)</v>
          </cell>
          <cell r="G258" t="str">
            <v>cuộn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S258">
            <v>0</v>
          </cell>
          <cell r="T258">
            <v>0</v>
          </cell>
        </row>
        <row r="259">
          <cell r="B259" t="str">
            <v>LPVC90CL</v>
          </cell>
          <cell r="C259" t="str">
            <v>X</v>
          </cell>
          <cell r="E259" t="str">
            <v>T4.8003</v>
          </cell>
          <cell r="F259" t="str">
            <v>Lắp ống nhựa PVC D90</v>
          </cell>
          <cell r="G259" t="str">
            <v>mét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S259">
            <v>0</v>
          </cell>
          <cell r="T259">
            <v>0</v>
          </cell>
        </row>
        <row r="260">
          <cell r="B260" t="str">
            <v>LCAPDONGTB95</v>
          </cell>
          <cell r="C260" t="str">
            <v>X</v>
          </cell>
          <cell r="E260" t="str">
            <v>T4.4201</v>
          </cell>
          <cell r="F260" t="str">
            <v>Lắp cáp đồng xuống thiết bị D ≤ 95mm2</v>
          </cell>
          <cell r="G260" t="str">
            <v>m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S260">
            <v>0</v>
          </cell>
          <cell r="T260">
            <v>0</v>
          </cell>
        </row>
        <row r="261">
          <cell r="C261" t="str">
            <v>X</v>
          </cell>
          <cell r="D261">
            <v>0</v>
          </cell>
          <cell r="F261" t="str">
            <v>Bộ dây dẫn hạ thế lộ lên</v>
          </cell>
          <cell r="G261" t="str">
            <v>Bộ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S261">
            <v>0</v>
          </cell>
          <cell r="T261">
            <v>0</v>
          </cell>
        </row>
        <row r="262">
          <cell r="C262" t="str">
            <v>X</v>
          </cell>
          <cell r="F262" t="str">
            <v>Gồm có: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S262">
            <v>0</v>
          </cell>
          <cell r="T262">
            <v>0</v>
          </cell>
        </row>
        <row r="263">
          <cell r="B263" t="str">
            <v>CV70</v>
          </cell>
          <cell r="C263" t="str">
            <v>X</v>
          </cell>
          <cell r="E263">
            <v>0</v>
          </cell>
          <cell r="F263" t="str">
            <v>Cáp đồng bọc CV70</v>
          </cell>
          <cell r="G263" t="str">
            <v>mét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S263">
            <v>0.73899999999999999</v>
          </cell>
          <cell r="T263">
            <v>0</v>
          </cell>
        </row>
        <row r="264">
          <cell r="B264" t="str">
            <v>CV50</v>
          </cell>
          <cell r="C264" t="str">
            <v>X</v>
          </cell>
          <cell r="E264">
            <v>0</v>
          </cell>
          <cell r="F264" t="str">
            <v>Cáp đồng bọc CV50</v>
          </cell>
          <cell r="G264" t="str">
            <v>mét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S264">
            <v>0.53400000000000003</v>
          </cell>
          <cell r="T264">
            <v>0</v>
          </cell>
        </row>
        <row r="265">
          <cell r="B265" t="str">
            <v>COS70</v>
          </cell>
          <cell r="C265" t="str">
            <v>X</v>
          </cell>
          <cell r="E265">
            <v>0</v>
          </cell>
          <cell r="F265" t="str">
            <v>Đầu cosse ép Cu 70mm2</v>
          </cell>
          <cell r="G265" t="str">
            <v>cái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S265">
            <v>0.2</v>
          </cell>
          <cell r="T265">
            <v>0</v>
          </cell>
        </row>
        <row r="266">
          <cell r="B266" t="str">
            <v>COS50</v>
          </cell>
          <cell r="C266" t="str">
            <v>X</v>
          </cell>
          <cell r="E266">
            <v>0</v>
          </cell>
          <cell r="F266" t="str">
            <v>Đầu cosse ép Cu 50mm2</v>
          </cell>
          <cell r="G266" t="str">
            <v>cái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S266">
            <v>0.1</v>
          </cell>
          <cell r="T266">
            <v>0</v>
          </cell>
        </row>
        <row r="267">
          <cell r="B267" t="str">
            <v>CHCOS70</v>
          </cell>
          <cell r="C267" t="str">
            <v>X</v>
          </cell>
          <cell r="E267">
            <v>0</v>
          </cell>
          <cell r="F267" t="str">
            <v>Chụp đầu cosse  70mm2</v>
          </cell>
          <cell r="G267" t="str">
            <v>cái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S267">
            <v>0</v>
          </cell>
          <cell r="T267">
            <v>0</v>
          </cell>
        </row>
        <row r="268">
          <cell r="B268" t="str">
            <v>CHCOS50</v>
          </cell>
          <cell r="C268" t="str">
            <v>X</v>
          </cell>
          <cell r="E268">
            <v>0</v>
          </cell>
          <cell r="F268" t="str">
            <v>Chụp đầu cosse  50mm2</v>
          </cell>
          <cell r="G268" t="str">
            <v>cái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S268">
            <v>0</v>
          </cell>
          <cell r="T268">
            <v>0</v>
          </cell>
        </row>
        <row r="269">
          <cell r="B269" t="str">
            <v>PVC90</v>
          </cell>
          <cell r="C269" t="str">
            <v>X</v>
          </cell>
          <cell r="E269">
            <v>0</v>
          </cell>
          <cell r="F269" t="str">
            <v xml:space="preserve">Ống PVC D90x3,8mm </v>
          </cell>
          <cell r="G269" t="str">
            <v>m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S269">
            <v>2</v>
          </cell>
          <cell r="T269">
            <v>0</v>
          </cell>
        </row>
        <row r="270">
          <cell r="B270" t="str">
            <v>CD90</v>
          </cell>
          <cell r="C270" t="str">
            <v>X</v>
          </cell>
          <cell r="E270">
            <v>0</v>
          </cell>
          <cell r="F270" t="str">
            <v>Cổ dê kẹp ống PVC φ 90 (có giá nới)</v>
          </cell>
          <cell r="G270" t="str">
            <v>bộ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S270">
            <v>1.5</v>
          </cell>
          <cell r="T270">
            <v>0</v>
          </cell>
        </row>
        <row r="271">
          <cell r="B271" t="str">
            <v>CD90</v>
          </cell>
          <cell r="C271" t="str">
            <v>X</v>
          </cell>
          <cell r="E271">
            <v>0</v>
          </cell>
          <cell r="F271" t="str">
            <v>Cổ dê kẹp ống PVC φ 90 (có giá nới)</v>
          </cell>
          <cell r="G271" t="str">
            <v>bộ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S271">
            <v>1.5</v>
          </cell>
          <cell r="T271">
            <v>0</v>
          </cell>
        </row>
        <row r="272">
          <cell r="B272" t="str">
            <v>CD90</v>
          </cell>
          <cell r="C272" t="str">
            <v>X</v>
          </cell>
          <cell r="E272">
            <v>0</v>
          </cell>
          <cell r="F272" t="str">
            <v>Cổ dê kẹp ống PVC φ 90 (có giá nới)</v>
          </cell>
          <cell r="G272" t="str">
            <v>bộ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S272">
            <v>1.5</v>
          </cell>
          <cell r="T272">
            <v>0</v>
          </cell>
        </row>
        <row r="273">
          <cell r="B273" t="str">
            <v>CUT90T</v>
          </cell>
          <cell r="C273" t="str">
            <v>X</v>
          </cell>
          <cell r="E273">
            <v>0</v>
          </cell>
          <cell r="F273" t="str">
            <v>Co  90 độ PVC 90</v>
          </cell>
          <cell r="G273" t="str">
            <v>cái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S273">
            <v>0</v>
          </cell>
          <cell r="T273">
            <v>0</v>
          </cell>
        </row>
        <row r="274">
          <cell r="B274" t="str">
            <v>CUT90135</v>
          </cell>
          <cell r="C274" t="str">
            <v>X</v>
          </cell>
          <cell r="E274">
            <v>0</v>
          </cell>
          <cell r="F274" t="str">
            <v>Co 135 độ PVC 90</v>
          </cell>
          <cell r="G274" t="str">
            <v>cái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S274">
            <v>0</v>
          </cell>
          <cell r="T274">
            <v>0</v>
          </cell>
        </row>
        <row r="275">
          <cell r="B275" t="str">
            <v>KEODAN</v>
          </cell>
          <cell r="C275" t="str">
            <v>X</v>
          </cell>
          <cell r="E275">
            <v>0</v>
          </cell>
          <cell r="F275" t="str">
            <v>Keo dán ống PVC (100gr)</v>
          </cell>
          <cell r="G275" t="str">
            <v>tuýp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S275">
            <v>0</v>
          </cell>
          <cell r="T275">
            <v>0</v>
          </cell>
        </row>
        <row r="276">
          <cell r="B276" t="str">
            <v>KEOBIT</v>
          </cell>
          <cell r="C276" t="str">
            <v>X</v>
          </cell>
          <cell r="E276">
            <v>0</v>
          </cell>
          <cell r="F276" t="str">
            <v>Keo silicon bít miệng ống</v>
          </cell>
          <cell r="G276" t="str">
            <v>ống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S276">
            <v>0</v>
          </cell>
          <cell r="T276">
            <v>0</v>
          </cell>
        </row>
        <row r="277">
          <cell r="B277" t="str">
            <v>BANGKEO</v>
          </cell>
          <cell r="C277" t="str">
            <v>X</v>
          </cell>
          <cell r="E277">
            <v>0</v>
          </cell>
          <cell r="F277" t="str">
            <v>Băng keo cách điện (Màu đen)</v>
          </cell>
          <cell r="G277" t="str">
            <v>cuộn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S277">
            <v>0</v>
          </cell>
          <cell r="T277">
            <v>0</v>
          </cell>
        </row>
        <row r="278">
          <cell r="B278" t="str">
            <v>LPVC90CL</v>
          </cell>
          <cell r="C278" t="str">
            <v>X</v>
          </cell>
          <cell r="E278" t="str">
            <v>T4.8003</v>
          </cell>
          <cell r="F278" t="str">
            <v>Lắp ống nhựa PVC D90</v>
          </cell>
          <cell r="G278" t="str">
            <v>mét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S278">
            <v>0</v>
          </cell>
          <cell r="T278">
            <v>0</v>
          </cell>
        </row>
        <row r="279">
          <cell r="B279" t="str">
            <v>LCAPDONGTB95</v>
          </cell>
          <cell r="C279" t="str">
            <v>X</v>
          </cell>
          <cell r="E279" t="str">
            <v>T4.4201</v>
          </cell>
          <cell r="F279" t="str">
            <v>Lắp cáp đồng xuống thiết bị D ≤ 95mm2</v>
          </cell>
          <cell r="G279" t="str">
            <v>m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S279">
            <v>0</v>
          </cell>
          <cell r="T279">
            <v>0</v>
          </cell>
        </row>
        <row r="280">
          <cell r="B280" t="str">
            <v>BANG</v>
          </cell>
          <cell r="C280" t="str">
            <v>X</v>
          </cell>
          <cell r="D280">
            <v>0</v>
          </cell>
          <cell r="E280">
            <v>0</v>
          </cell>
          <cell r="F280" t="str">
            <v>Bảng tên trạm + bulon</v>
          </cell>
          <cell r="G280" t="str">
            <v>bộ</v>
          </cell>
          <cell r="H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S280">
            <v>0</v>
          </cell>
          <cell r="T280">
            <v>0</v>
          </cell>
        </row>
        <row r="281">
          <cell r="A281" t="str">
            <v>TR2X25</v>
          </cell>
          <cell r="C281" t="str">
            <v>X</v>
          </cell>
          <cell r="D281" t="str">
            <v>IV</v>
          </cell>
          <cell r="E281" t="str">
            <v>0 Trạm 1 pha 2x25kVA</v>
          </cell>
          <cell r="S281">
            <v>0</v>
          </cell>
          <cell r="T281">
            <v>0</v>
          </cell>
        </row>
        <row r="282">
          <cell r="A282" t="str">
            <v>TBTR2X25</v>
          </cell>
          <cell r="C282" t="str">
            <v>X</v>
          </cell>
          <cell r="F282" t="str">
            <v>A.PHẦN THIẾT BỊ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S282">
            <v>0</v>
          </cell>
          <cell r="T282">
            <v>0</v>
          </cell>
        </row>
        <row r="283">
          <cell r="B283" t="str">
            <v>TR251</v>
          </cell>
          <cell r="C283" t="str">
            <v>X</v>
          </cell>
          <cell r="E283" t="str">
            <v>T1.1431</v>
          </cell>
          <cell r="F283" t="str">
            <v>Máy biến áp AMORPHOUS 12,7/0,22-0,44kV 25kVA</v>
          </cell>
          <cell r="G283" t="str">
            <v>máy</v>
          </cell>
          <cell r="H283">
            <v>0</v>
          </cell>
          <cell r="I283">
            <v>0</v>
          </cell>
          <cell r="K283">
            <v>647230</v>
          </cell>
          <cell r="L283">
            <v>360605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S283">
            <v>320</v>
          </cell>
          <cell r="T283">
            <v>0</v>
          </cell>
        </row>
        <row r="284">
          <cell r="A284" t="str">
            <v/>
          </cell>
          <cell r="B284" t="str">
            <v>FCO100</v>
          </cell>
          <cell r="C284" t="str">
            <v>X</v>
          </cell>
          <cell r="E284" t="str">
            <v>T2.3505</v>
          </cell>
          <cell r="F284" t="str">
            <v>FCO 27kV - 100A</v>
          </cell>
          <cell r="G284" t="str">
            <v>cái</v>
          </cell>
          <cell r="H284">
            <v>0</v>
          </cell>
          <cell r="I284">
            <v>1020000</v>
          </cell>
          <cell r="K284">
            <v>189552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S284">
            <v>1.5</v>
          </cell>
          <cell r="T284">
            <v>0</v>
          </cell>
        </row>
        <row r="285">
          <cell r="A285" t="str">
            <v/>
          </cell>
          <cell r="B285" t="str">
            <v>LA18</v>
          </cell>
          <cell r="C285" t="str">
            <v>X</v>
          </cell>
          <cell r="E285" t="str">
            <v>T2.5004</v>
          </cell>
          <cell r="F285" t="str">
            <v>LA 18kV 10kA</v>
          </cell>
          <cell r="G285" t="str">
            <v>cái</v>
          </cell>
          <cell r="H285">
            <v>0</v>
          </cell>
          <cell r="I285">
            <v>910000</v>
          </cell>
          <cell r="K285">
            <v>71082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S285">
            <v>0.8</v>
          </cell>
          <cell r="T285">
            <v>0</v>
          </cell>
        </row>
        <row r="286">
          <cell r="A286" t="str">
            <v/>
          </cell>
          <cell r="B286" t="str">
            <v>ATM160</v>
          </cell>
          <cell r="C286" t="str">
            <v>X</v>
          </cell>
          <cell r="F286" t="str">
            <v>MCCB 3 cực 400V - 160A - 35KA (100-160A)</v>
          </cell>
          <cell r="G286" t="str">
            <v>cái</v>
          </cell>
          <cell r="H286">
            <v>0</v>
          </cell>
          <cell r="I286">
            <v>2230000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S286">
            <v>2</v>
          </cell>
          <cell r="T286">
            <v>0</v>
          </cell>
        </row>
        <row r="287">
          <cell r="A287" t="str">
            <v/>
          </cell>
          <cell r="B287" t="str">
            <v>ATM125</v>
          </cell>
          <cell r="C287" t="str">
            <v>X</v>
          </cell>
          <cell r="F287" t="str">
            <v>MCCB 3 cực 400V - 125A - 30KA (80-125A) (Phân đoạn)</v>
          </cell>
          <cell r="G287" t="str">
            <v>cái</v>
          </cell>
          <cell r="H287">
            <v>0</v>
          </cell>
          <cell r="I287">
            <v>2575000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S287">
            <v>2</v>
          </cell>
          <cell r="T287">
            <v>0</v>
          </cell>
        </row>
        <row r="288">
          <cell r="A288" t="str">
            <v/>
          </cell>
          <cell r="B288" t="str">
            <v>TI1005</v>
          </cell>
          <cell r="C288" t="str">
            <v>X</v>
          </cell>
          <cell r="E288">
            <v>0</v>
          </cell>
          <cell r="F288" t="str">
            <v>Biến dòng 600V - 100/5A</v>
          </cell>
          <cell r="G288" t="str">
            <v>cái</v>
          </cell>
          <cell r="H288">
            <v>0</v>
          </cell>
          <cell r="I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S288">
            <v>0</v>
          </cell>
          <cell r="T288">
            <v>0</v>
          </cell>
        </row>
        <row r="289">
          <cell r="A289" t="str">
            <v/>
          </cell>
          <cell r="B289" t="str">
            <v>DK3P5A</v>
          </cell>
          <cell r="C289" t="str">
            <v>X</v>
          </cell>
          <cell r="E289">
            <v>0</v>
          </cell>
          <cell r="F289" t="str">
            <v>Điện kế 3 pha 4 dây 220/380V-5A</v>
          </cell>
          <cell r="G289" t="str">
            <v>cái</v>
          </cell>
          <cell r="H289">
            <v>0</v>
          </cell>
          <cell r="I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S289">
            <v>1.5</v>
          </cell>
          <cell r="T289">
            <v>0</v>
          </cell>
        </row>
        <row r="290">
          <cell r="A290" t="str">
            <v>VLTR2X25</v>
          </cell>
          <cell r="C290" t="str">
            <v>X</v>
          </cell>
          <cell r="F290" t="str">
            <v>B. PHẦN VẬT LIỆU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S290">
            <v>0</v>
          </cell>
          <cell r="T290">
            <v>0</v>
          </cell>
        </row>
        <row r="291">
          <cell r="C291" t="str">
            <v>X</v>
          </cell>
          <cell r="D291">
            <v>0</v>
          </cell>
          <cell r="F291" t="str">
            <v>Vật liệu bảo vệ thiết bị</v>
          </cell>
          <cell r="G291" t="str">
            <v>Bộ</v>
          </cell>
          <cell r="H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S291">
            <v>0</v>
          </cell>
          <cell r="T291">
            <v>0</v>
          </cell>
        </row>
        <row r="292">
          <cell r="A292" t="str">
            <v/>
          </cell>
          <cell r="B292" t="str">
            <v>CHI3K</v>
          </cell>
          <cell r="C292" t="str">
            <v>X</v>
          </cell>
          <cell r="E292">
            <v>0</v>
          </cell>
          <cell r="F292" t="str">
            <v>Dây chảy 3K</v>
          </cell>
          <cell r="G292" t="str">
            <v>Sợi</v>
          </cell>
          <cell r="H292">
            <v>0</v>
          </cell>
          <cell r="I292">
            <v>84000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S292">
            <v>0</v>
          </cell>
          <cell r="T292">
            <v>0</v>
          </cell>
        </row>
        <row r="293">
          <cell r="A293" t="str">
            <v/>
          </cell>
          <cell r="B293" t="str">
            <v>CHUPFCO</v>
          </cell>
          <cell r="C293" t="str">
            <v>X</v>
          </cell>
          <cell r="E293">
            <v>0</v>
          </cell>
          <cell r="F293" t="str">
            <v>Chụp đầu FCO (Trên + Dưới)</v>
          </cell>
          <cell r="G293" t="str">
            <v>bộ</v>
          </cell>
          <cell r="H293">
            <v>0</v>
          </cell>
          <cell r="I293">
            <v>190000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S293">
            <v>0</v>
          </cell>
          <cell r="T293">
            <v>0</v>
          </cell>
        </row>
        <row r="294">
          <cell r="A294" t="str">
            <v/>
          </cell>
          <cell r="B294" t="str">
            <v>CHUPLA</v>
          </cell>
          <cell r="C294" t="str">
            <v>X</v>
          </cell>
          <cell r="E294">
            <v>0</v>
          </cell>
          <cell r="F294" t="str">
            <v>Chụp đầu LA</v>
          </cell>
          <cell r="G294" t="str">
            <v>cái</v>
          </cell>
          <cell r="H294">
            <v>0</v>
          </cell>
          <cell r="I294">
            <v>32000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S294">
            <v>0</v>
          </cell>
          <cell r="T294">
            <v>0</v>
          </cell>
        </row>
        <row r="295">
          <cell r="A295" t="str">
            <v/>
          </cell>
          <cell r="B295" t="str">
            <v>CHUPMBA</v>
          </cell>
          <cell r="C295" t="str">
            <v>X</v>
          </cell>
          <cell r="E295">
            <v>0</v>
          </cell>
          <cell r="F295" t="str">
            <v>Chụp đầu cực MBA</v>
          </cell>
          <cell r="G295" t="str">
            <v>cái</v>
          </cell>
          <cell r="H295">
            <v>0</v>
          </cell>
          <cell r="I295">
            <v>52000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S295">
            <v>0</v>
          </cell>
          <cell r="T295">
            <v>0</v>
          </cell>
        </row>
        <row r="296">
          <cell r="A296" t="str">
            <v/>
          </cell>
          <cell r="B296" t="str">
            <v>B16300</v>
          </cell>
          <cell r="C296" t="str">
            <v>X</v>
          </cell>
          <cell r="E296">
            <v>0</v>
          </cell>
          <cell r="F296" t="str">
            <v>Boulon 16x300+ 2 long đền vuông D18-50x50x3/Zn</v>
          </cell>
          <cell r="G296" t="str">
            <v>bộ</v>
          </cell>
          <cell r="H296">
            <v>0</v>
          </cell>
          <cell r="I296">
            <v>30000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S296">
            <v>0.25</v>
          </cell>
          <cell r="T296">
            <v>0</v>
          </cell>
        </row>
        <row r="297">
          <cell r="A297" t="str">
            <v/>
          </cell>
          <cell r="C297" t="str">
            <v>X</v>
          </cell>
          <cell r="D297">
            <v>0</v>
          </cell>
          <cell r="F297" t="str">
            <v>Đà Composite bắt LA, FCO</v>
          </cell>
          <cell r="G297" t="str">
            <v>Bộ</v>
          </cell>
          <cell r="H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S297">
            <v>0</v>
          </cell>
          <cell r="T297">
            <v>0</v>
          </cell>
        </row>
        <row r="298">
          <cell r="A298" t="str">
            <v/>
          </cell>
          <cell r="C298" t="str">
            <v>X</v>
          </cell>
          <cell r="F298" t="str">
            <v>Gồm có: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S298">
            <v>0</v>
          </cell>
          <cell r="T298">
            <v>0</v>
          </cell>
        </row>
        <row r="299">
          <cell r="A299" t="str">
            <v/>
          </cell>
          <cell r="B299" t="str">
            <v>COM800</v>
          </cell>
          <cell r="C299" t="str">
            <v>X</v>
          </cell>
          <cell r="E299">
            <v>0</v>
          </cell>
          <cell r="F299" t="str">
            <v>Đà hộp composite 110x80x5-800</v>
          </cell>
          <cell r="G299" t="str">
            <v>cái</v>
          </cell>
          <cell r="H299">
            <v>0</v>
          </cell>
          <cell r="I299">
            <v>393000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S299">
            <v>3.2</v>
          </cell>
          <cell r="T299">
            <v>0</v>
          </cell>
        </row>
        <row r="300">
          <cell r="A300" t="str">
            <v/>
          </cell>
          <cell r="B300" t="str">
            <v>CCOM800</v>
          </cell>
          <cell r="C300" t="str">
            <v>X</v>
          </cell>
          <cell r="E300">
            <v>0</v>
          </cell>
          <cell r="F300" t="str">
            <v>Thanh chống 10x40x720</v>
          </cell>
          <cell r="G300" t="str">
            <v>cái</v>
          </cell>
          <cell r="H300">
            <v>0</v>
          </cell>
          <cell r="I300">
            <v>118000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S300">
            <v>0.5</v>
          </cell>
          <cell r="T300">
            <v>0</v>
          </cell>
        </row>
        <row r="301">
          <cell r="A301" t="str">
            <v/>
          </cell>
          <cell r="B301" t="str">
            <v>BATLI</v>
          </cell>
          <cell r="C301" t="str">
            <v>X</v>
          </cell>
          <cell r="E301">
            <v>0</v>
          </cell>
          <cell r="F301" t="str">
            <v>Bass LI bắt FCO, LA</v>
          </cell>
          <cell r="G301" t="str">
            <v>Bộ</v>
          </cell>
          <cell r="H301">
            <v>0</v>
          </cell>
          <cell r="I301">
            <v>45000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S301">
            <v>0.4</v>
          </cell>
          <cell r="T301">
            <v>0</v>
          </cell>
        </row>
        <row r="302">
          <cell r="A302" t="str">
            <v/>
          </cell>
          <cell r="B302" t="str">
            <v>B16400V</v>
          </cell>
          <cell r="C302" t="str">
            <v>X</v>
          </cell>
          <cell r="E302">
            <v>0</v>
          </cell>
          <cell r="F302" t="str">
            <v>Boulon 16x400VRS + 4 long đền vuông D18-50x50x3/Zn</v>
          </cell>
          <cell r="G302" t="str">
            <v>bộ</v>
          </cell>
          <cell r="H302">
            <v>0</v>
          </cell>
          <cell r="I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S302">
            <v>0.39999999999999997</v>
          </cell>
          <cell r="T302">
            <v>0</v>
          </cell>
        </row>
        <row r="303">
          <cell r="A303" t="str">
            <v/>
          </cell>
          <cell r="B303" t="str">
            <v>B16300</v>
          </cell>
          <cell r="C303" t="str">
            <v>X</v>
          </cell>
          <cell r="E303">
            <v>0</v>
          </cell>
          <cell r="F303" t="str">
            <v>Boulon 16x300+ 2 long đền vuông D18-50x50x3/Zn</v>
          </cell>
          <cell r="G303" t="str">
            <v>bộ</v>
          </cell>
          <cell r="H303">
            <v>0</v>
          </cell>
          <cell r="I303">
            <v>30000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S303">
            <v>0.25</v>
          </cell>
          <cell r="T303">
            <v>0</v>
          </cell>
        </row>
        <row r="304">
          <cell r="A304" t="str">
            <v/>
          </cell>
          <cell r="B304" t="str">
            <v>B14120</v>
          </cell>
          <cell r="C304" t="str">
            <v>X</v>
          </cell>
          <cell r="E304">
            <v>0</v>
          </cell>
          <cell r="F304" t="str">
            <v>Boulon 14x120+ 2 long đền vuông D16-50x50x3/Zn</v>
          </cell>
          <cell r="G304" t="str">
            <v>bộ</v>
          </cell>
          <cell r="H304">
            <v>0</v>
          </cell>
          <cell r="I304">
            <v>20000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S304">
            <v>0.2</v>
          </cell>
          <cell r="T304">
            <v>0</v>
          </cell>
        </row>
        <row r="305">
          <cell r="A305" t="str">
            <v/>
          </cell>
          <cell r="B305" t="str">
            <v>LCOM800K</v>
          </cell>
          <cell r="C305" t="str">
            <v>X</v>
          </cell>
          <cell r="E305" t="str">
            <v>D2.6011</v>
          </cell>
          <cell r="F305" t="str">
            <v>Lắp đà composite 800mm kép</v>
          </cell>
          <cell r="G305" t="str">
            <v>bộ</v>
          </cell>
          <cell r="H305">
            <v>0</v>
          </cell>
          <cell r="I305">
            <v>0</v>
          </cell>
          <cell r="K305">
            <v>167950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S305">
            <v>0</v>
          </cell>
          <cell r="T305">
            <v>0</v>
          </cell>
        </row>
        <row r="306">
          <cell r="A306" t="str">
            <v/>
          </cell>
          <cell r="C306" t="str">
            <v>X</v>
          </cell>
          <cell r="D306">
            <v>0</v>
          </cell>
          <cell r="F306" t="str">
            <v>Bộ tiếp địa Trạm 1 pha</v>
          </cell>
          <cell r="G306" t="str">
            <v>Bộ</v>
          </cell>
          <cell r="H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S306">
            <v>0</v>
          </cell>
          <cell r="T306">
            <v>0</v>
          </cell>
        </row>
        <row r="307">
          <cell r="A307" t="str">
            <v/>
          </cell>
          <cell r="C307" t="str">
            <v>X</v>
          </cell>
          <cell r="F307" t="str">
            <v>Gồm có: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S307">
            <v>0</v>
          </cell>
          <cell r="T307">
            <v>0</v>
          </cell>
        </row>
        <row r="308">
          <cell r="A308" t="str">
            <v/>
          </cell>
          <cell r="B308" t="str">
            <v>M25</v>
          </cell>
          <cell r="C308" t="str">
            <v>X</v>
          </cell>
          <cell r="E308">
            <v>0</v>
          </cell>
          <cell r="F308" t="str">
            <v>Cáp đồng trần M25mm2 (45 mét/trạm)</v>
          </cell>
          <cell r="G308" t="str">
            <v>kg</v>
          </cell>
          <cell r="H308">
            <v>0</v>
          </cell>
          <cell r="I308">
            <v>191630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S308">
            <v>1</v>
          </cell>
          <cell r="T308">
            <v>0</v>
          </cell>
        </row>
        <row r="309">
          <cell r="A309" t="str">
            <v/>
          </cell>
          <cell r="B309" t="str">
            <v>CTD</v>
          </cell>
          <cell r="C309" t="str">
            <v>X</v>
          </cell>
          <cell r="E309">
            <v>0</v>
          </cell>
          <cell r="F309" t="str">
            <v>Cọc tiếp đất φ16 - 2,4m mạ Cu 16 micrômét</v>
          </cell>
          <cell r="G309" t="str">
            <v>cọc</v>
          </cell>
          <cell r="H309">
            <v>0</v>
          </cell>
          <cell r="I309">
            <v>130000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S309">
            <v>5.3</v>
          </cell>
          <cell r="T309">
            <v>0</v>
          </cell>
        </row>
        <row r="310">
          <cell r="A310" t="str">
            <v/>
          </cell>
          <cell r="B310" t="str">
            <v>KC</v>
          </cell>
          <cell r="C310" t="str">
            <v>X</v>
          </cell>
          <cell r="E310">
            <v>0</v>
          </cell>
          <cell r="F310" t="str">
            <v>Kẹp cọc tiếp địa Cu loại lớn</v>
          </cell>
          <cell r="G310" t="str">
            <v>bộ</v>
          </cell>
          <cell r="H310">
            <v>0</v>
          </cell>
          <cell r="I310">
            <v>25000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S310">
            <v>0.05</v>
          </cell>
          <cell r="T310">
            <v>0</v>
          </cell>
        </row>
        <row r="311">
          <cell r="A311" t="str">
            <v/>
          </cell>
          <cell r="B311" t="str">
            <v>OXC38</v>
          </cell>
          <cell r="C311" t="str">
            <v>X</v>
          </cell>
          <cell r="E311">
            <v>0</v>
          </cell>
          <cell r="F311" t="str">
            <v xml:space="preserve">Ốc xiết cáp cỡ 38mm2 </v>
          </cell>
          <cell r="G311" t="str">
            <v>cái</v>
          </cell>
          <cell r="H311">
            <v>0</v>
          </cell>
          <cell r="I311">
            <v>17000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S311">
            <v>0</v>
          </cell>
          <cell r="T311">
            <v>0</v>
          </cell>
        </row>
        <row r="312">
          <cell r="A312" t="str">
            <v/>
          </cell>
          <cell r="B312" t="str">
            <v>KTDTBA</v>
          </cell>
          <cell r="C312" t="str">
            <v>X</v>
          </cell>
          <cell r="E312" t="str">
            <v>T4.7001</v>
          </cell>
          <cell r="F312" t="str">
            <v>Kéo dây tiếp địa trong TBA</v>
          </cell>
          <cell r="G312" t="str">
            <v>mét</v>
          </cell>
          <cell r="H312">
            <v>0</v>
          </cell>
          <cell r="I312">
            <v>0</v>
          </cell>
          <cell r="K312">
            <v>6871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S312">
            <v>0</v>
          </cell>
          <cell r="T312">
            <v>0</v>
          </cell>
        </row>
        <row r="313">
          <cell r="A313" t="str">
            <v/>
          </cell>
          <cell r="B313" t="str">
            <v>DCTDTBA</v>
          </cell>
          <cell r="C313" t="str">
            <v>X</v>
          </cell>
          <cell r="E313" t="str">
            <v>D2.8103</v>
          </cell>
          <cell r="F313" t="str">
            <v>Đóng cọc tiếp địa trong TBA (đất cấp 3)</v>
          </cell>
          <cell r="G313" t="str">
            <v>cọc</v>
          </cell>
          <cell r="H313">
            <v>0</v>
          </cell>
          <cell r="I313">
            <v>0</v>
          </cell>
          <cell r="K313">
            <v>76928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S313">
            <v>0</v>
          </cell>
          <cell r="T313">
            <v>0</v>
          </cell>
        </row>
        <row r="314">
          <cell r="A314" t="str">
            <v/>
          </cell>
          <cell r="B314" t="str">
            <v>DTD3</v>
          </cell>
          <cell r="C314" t="str">
            <v>X</v>
          </cell>
          <cell r="E314" t="str">
            <v>AB.11513</v>
          </cell>
          <cell r="F314" t="str">
            <v>Đào rãnh tiếp địa đất cấp 3 (ĐC hệ số 0,934)</v>
          </cell>
          <cell r="G314" t="str">
            <v>m3</v>
          </cell>
          <cell r="H314">
            <v>0</v>
          </cell>
          <cell r="I314">
            <v>0</v>
          </cell>
          <cell r="K314">
            <v>258651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S314">
            <v>0</v>
          </cell>
          <cell r="T314">
            <v>0</v>
          </cell>
        </row>
        <row r="315">
          <cell r="A315" t="str">
            <v/>
          </cell>
          <cell r="B315" t="str">
            <v>DATD3</v>
          </cell>
          <cell r="C315" t="str">
            <v>X</v>
          </cell>
          <cell r="E315" t="str">
            <v>AB.13111</v>
          </cell>
          <cell r="F315" t="str">
            <v>Đắp đất rãnh tiếp địa (K=0,85) (ĐC hệ số 0,934)</v>
          </cell>
          <cell r="G315" t="str">
            <v>m3</v>
          </cell>
          <cell r="H315">
            <v>0</v>
          </cell>
          <cell r="I315">
            <v>0</v>
          </cell>
          <cell r="K315">
            <v>107292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S315">
            <v>0</v>
          </cell>
          <cell r="T315">
            <v>0</v>
          </cell>
        </row>
        <row r="316">
          <cell r="A316" t="str">
            <v/>
          </cell>
          <cell r="C316" t="str">
            <v>X</v>
          </cell>
          <cell r="D316">
            <v>0</v>
          </cell>
          <cell r="F316" t="str">
            <v>Tủ điện trạm treo 1 pha</v>
          </cell>
          <cell r="G316" t="str">
            <v>Bộ</v>
          </cell>
          <cell r="H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S316">
            <v>0</v>
          </cell>
          <cell r="T316">
            <v>0</v>
          </cell>
        </row>
        <row r="317">
          <cell r="A317" t="str">
            <v/>
          </cell>
          <cell r="C317" t="str">
            <v>X</v>
          </cell>
          <cell r="F317" t="str">
            <v>Gồm có: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S317">
            <v>0</v>
          </cell>
          <cell r="T317">
            <v>0</v>
          </cell>
        </row>
        <row r="318">
          <cell r="A318" t="str">
            <v/>
          </cell>
          <cell r="B318" t="str">
            <v>TUAP1</v>
          </cell>
          <cell r="C318" t="str">
            <v>X</v>
          </cell>
          <cell r="E318" t="str">
            <v>T5.1001</v>
          </cell>
          <cell r="F318" t="str">
            <v>Tủ trạm treo + khóa + boulon + Bakelit + Collier (1 pha)</v>
          </cell>
          <cell r="G318" t="str">
            <v>cái</v>
          </cell>
          <cell r="H318">
            <v>0</v>
          </cell>
          <cell r="I318">
            <v>3484174</v>
          </cell>
          <cell r="K318">
            <v>838715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S318">
            <v>45</v>
          </cell>
          <cell r="T318">
            <v>0</v>
          </cell>
        </row>
        <row r="319">
          <cell r="C319" t="str">
            <v>X</v>
          </cell>
          <cell r="D319">
            <v>0</v>
          </cell>
          <cell r="F319" t="str">
            <v>Bộ dây dẫn trung thế trạm 1 pha</v>
          </cell>
          <cell r="G319" t="str">
            <v>Bộ</v>
          </cell>
          <cell r="H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S319">
            <v>0</v>
          </cell>
          <cell r="T319">
            <v>0</v>
          </cell>
        </row>
        <row r="320">
          <cell r="C320" t="str">
            <v>X</v>
          </cell>
          <cell r="F320" t="str">
            <v>Gồm có: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S320">
            <v>0</v>
          </cell>
          <cell r="T320">
            <v>0</v>
          </cell>
        </row>
        <row r="321">
          <cell r="B321" t="str">
            <v>CXV25</v>
          </cell>
          <cell r="C321" t="str">
            <v>X</v>
          </cell>
          <cell r="E321">
            <v>0</v>
          </cell>
          <cell r="F321" t="str">
            <v>Cáp 24KV C/XLPE/PVC 25mm2</v>
          </cell>
          <cell r="G321" t="str">
            <v>mét</v>
          </cell>
          <cell r="H321">
            <v>0</v>
          </cell>
          <cell r="I321">
            <v>69890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S321">
            <v>0.75</v>
          </cell>
          <cell r="T321">
            <v>0</v>
          </cell>
        </row>
        <row r="322">
          <cell r="B322" t="str">
            <v>KQ4</v>
          </cell>
          <cell r="C322" t="str">
            <v>X</v>
          </cell>
          <cell r="F322" t="str">
            <v>Kẹp quai 4/0 (quai đồng 8mm)</v>
          </cell>
          <cell r="G322" t="str">
            <v>cái</v>
          </cell>
          <cell r="H322">
            <v>0</v>
          </cell>
          <cell r="I322">
            <v>63000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S322">
            <v>0.3</v>
          </cell>
          <cell r="T322">
            <v>0</v>
          </cell>
        </row>
        <row r="323">
          <cell r="B323" t="str">
            <v>CKQ</v>
          </cell>
          <cell r="C323" t="str">
            <v>X</v>
          </cell>
          <cell r="E323">
            <v>0</v>
          </cell>
          <cell r="F323" t="str">
            <v>Chụp cách điện kẹp quai</v>
          </cell>
          <cell r="G323" t="str">
            <v>cái</v>
          </cell>
          <cell r="H323">
            <v>0</v>
          </cell>
          <cell r="I323">
            <v>122000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S323">
            <v>0.2</v>
          </cell>
          <cell r="T323">
            <v>0</v>
          </cell>
        </row>
        <row r="324">
          <cell r="B324" t="str">
            <v>HL2</v>
          </cell>
          <cell r="C324" t="str">
            <v>X</v>
          </cell>
          <cell r="F324" t="str">
            <v>Kẹp hotline 2/0</v>
          </cell>
          <cell r="G324" t="str">
            <v>cái</v>
          </cell>
          <cell r="H324">
            <v>0</v>
          </cell>
          <cell r="I324">
            <v>68000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S324">
            <v>0.1</v>
          </cell>
          <cell r="T324">
            <v>0</v>
          </cell>
        </row>
        <row r="325">
          <cell r="B325" t="str">
            <v>LCAPDONGTB95</v>
          </cell>
          <cell r="C325" t="str">
            <v>X</v>
          </cell>
          <cell r="E325" t="str">
            <v>T4.4201</v>
          </cell>
          <cell r="F325" t="str">
            <v>Lắp cáp đồng xuống thiết bị D ≤ 95mm2</v>
          </cell>
          <cell r="G325" t="str">
            <v>m</v>
          </cell>
          <cell r="H325">
            <v>0</v>
          </cell>
          <cell r="I325">
            <v>0</v>
          </cell>
          <cell r="K325">
            <v>11847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S325">
            <v>0</v>
          </cell>
          <cell r="T325">
            <v>0</v>
          </cell>
        </row>
        <row r="326">
          <cell r="C326" t="str">
            <v>X</v>
          </cell>
          <cell r="D326">
            <v>0</v>
          </cell>
          <cell r="F326" t="str">
            <v>Bộ dây dẫn hạ thế lộ xuống</v>
          </cell>
          <cell r="G326" t="str">
            <v>Bộ</v>
          </cell>
          <cell r="H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S326">
            <v>0</v>
          </cell>
          <cell r="T326">
            <v>0</v>
          </cell>
        </row>
        <row r="327">
          <cell r="C327" t="str">
            <v>X</v>
          </cell>
          <cell r="F327" t="str">
            <v>Gồm có: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S327">
            <v>0</v>
          </cell>
          <cell r="T327">
            <v>0</v>
          </cell>
        </row>
        <row r="328">
          <cell r="B328" t="str">
            <v>CV120</v>
          </cell>
          <cell r="C328" t="str">
            <v>X</v>
          </cell>
          <cell r="E328">
            <v>0</v>
          </cell>
          <cell r="F328" t="str">
            <v>Cáp đồng bọc CV120</v>
          </cell>
          <cell r="G328" t="str">
            <v>mét</v>
          </cell>
          <cell r="H328">
            <v>0</v>
          </cell>
          <cell r="I328">
            <v>213430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S328">
            <v>1.2350000000000001</v>
          </cell>
          <cell r="T328">
            <v>0</v>
          </cell>
        </row>
        <row r="329">
          <cell r="B329" t="str">
            <v>CV95</v>
          </cell>
          <cell r="C329" t="str">
            <v>X</v>
          </cell>
          <cell r="E329">
            <v>0</v>
          </cell>
          <cell r="F329" t="str">
            <v>Cáp đồng bọc CV95</v>
          </cell>
          <cell r="G329" t="str">
            <v>mét</v>
          </cell>
          <cell r="H329">
            <v>0</v>
          </cell>
          <cell r="I329">
            <v>170620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S329">
            <v>1.008</v>
          </cell>
          <cell r="T329">
            <v>0</v>
          </cell>
        </row>
        <row r="330">
          <cell r="B330" t="str">
            <v>CVV4X4</v>
          </cell>
          <cell r="C330" t="str">
            <v>X</v>
          </cell>
          <cell r="E330">
            <v>0</v>
          </cell>
          <cell r="F330" t="str">
            <v>Cáp điều khiển CVV 4x4,0mm2</v>
          </cell>
          <cell r="G330" t="str">
            <v>mét</v>
          </cell>
          <cell r="H330">
            <v>0</v>
          </cell>
          <cell r="I330">
            <v>56700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S330">
            <v>3.024</v>
          </cell>
          <cell r="T330">
            <v>0</v>
          </cell>
        </row>
        <row r="331">
          <cell r="B331" t="str">
            <v>COS120</v>
          </cell>
          <cell r="C331" t="str">
            <v>X</v>
          </cell>
          <cell r="F331" t="str">
            <v>Đầu cosse ép Cu 120mm2</v>
          </cell>
          <cell r="G331" t="str">
            <v>cái</v>
          </cell>
          <cell r="H331">
            <v>0</v>
          </cell>
          <cell r="I331">
            <v>68500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S331">
            <v>0.1</v>
          </cell>
          <cell r="T331">
            <v>0</v>
          </cell>
        </row>
        <row r="332">
          <cell r="B332" t="str">
            <v>COS95</v>
          </cell>
          <cell r="C332" t="str">
            <v>X</v>
          </cell>
          <cell r="F332" t="str">
            <v>Đầu cosse ép Cu 95mm2</v>
          </cell>
          <cell r="G332" t="str">
            <v>cái</v>
          </cell>
          <cell r="H332">
            <v>0</v>
          </cell>
          <cell r="I332">
            <v>47500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S332">
            <v>0.2</v>
          </cell>
          <cell r="T332">
            <v>0</v>
          </cell>
        </row>
        <row r="333">
          <cell r="B333" t="str">
            <v>CHCOS120</v>
          </cell>
          <cell r="C333" t="str">
            <v>X</v>
          </cell>
          <cell r="E333">
            <v>0</v>
          </cell>
          <cell r="F333" t="str">
            <v>Chụp đầu cosse  120mm2</v>
          </cell>
          <cell r="G333" t="str">
            <v>cái</v>
          </cell>
          <cell r="H333">
            <v>0</v>
          </cell>
          <cell r="I333">
            <v>3900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S333">
            <v>0</v>
          </cell>
          <cell r="T333">
            <v>0</v>
          </cell>
        </row>
        <row r="334">
          <cell r="B334" t="str">
            <v>CHCOS95</v>
          </cell>
          <cell r="C334" t="str">
            <v>X</v>
          </cell>
          <cell r="E334">
            <v>0</v>
          </cell>
          <cell r="F334" t="str">
            <v>Chụp đầu cosse  95mm2</v>
          </cell>
          <cell r="G334" t="str">
            <v>cái</v>
          </cell>
          <cell r="H334">
            <v>0</v>
          </cell>
          <cell r="I334">
            <v>3300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S334">
            <v>0</v>
          </cell>
          <cell r="T334">
            <v>0</v>
          </cell>
        </row>
        <row r="335">
          <cell r="B335" t="str">
            <v>PVC90</v>
          </cell>
          <cell r="C335" t="str">
            <v>X</v>
          </cell>
          <cell r="E335">
            <v>0</v>
          </cell>
          <cell r="F335" t="str">
            <v xml:space="preserve">Ống PVC D90x3,8mm </v>
          </cell>
          <cell r="G335" t="str">
            <v>m</v>
          </cell>
          <cell r="H335">
            <v>0</v>
          </cell>
          <cell r="I335">
            <v>63200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S335">
            <v>2</v>
          </cell>
          <cell r="T335">
            <v>0</v>
          </cell>
        </row>
        <row r="336">
          <cell r="B336" t="str">
            <v>CD90</v>
          </cell>
          <cell r="C336" t="str">
            <v>X</v>
          </cell>
          <cell r="E336">
            <v>0</v>
          </cell>
          <cell r="F336" t="str">
            <v>Cổ dê kẹp ống PVC φ 90 (có giá nới) (CD-230)</v>
          </cell>
          <cell r="G336" t="str">
            <v>bộ</v>
          </cell>
          <cell r="H336">
            <v>0</v>
          </cell>
          <cell r="I336">
            <v>74000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S336">
            <v>1.5</v>
          </cell>
          <cell r="T336">
            <v>0</v>
          </cell>
        </row>
        <row r="337">
          <cell r="B337" t="str">
            <v>CD90</v>
          </cell>
          <cell r="C337" t="str">
            <v>X</v>
          </cell>
          <cell r="E337">
            <v>0</v>
          </cell>
          <cell r="F337" t="str">
            <v>Cổ dê kẹp ống PVC φ 90 (có giá nới) (CD-250)</v>
          </cell>
          <cell r="G337" t="str">
            <v>bộ</v>
          </cell>
          <cell r="H337">
            <v>0</v>
          </cell>
          <cell r="I337">
            <v>74000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S337">
            <v>1.5</v>
          </cell>
          <cell r="T337">
            <v>0</v>
          </cell>
        </row>
        <row r="338">
          <cell r="B338" t="str">
            <v>CD90</v>
          </cell>
          <cell r="C338" t="str">
            <v>X</v>
          </cell>
          <cell r="E338">
            <v>0</v>
          </cell>
          <cell r="F338" t="str">
            <v>Cổ dê kẹp ống PVC φ 90 (có giá nới) (CD-280)</v>
          </cell>
          <cell r="G338" t="str">
            <v>bộ</v>
          </cell>
          <cell r="H338">
            <v>0</v>
          </cell>
          <cell r="I338">
            <v>74000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S338">
            <v>1.5</v>
          </cell>
          <cell r="T338">
            <v>0</v>
          </cell>
        </row>
        <row r="339">
          <cell r="B339" t="str">
            <v>CUT90TD</v>
          </cell>
          <cell r="C339" t="str">
            <v>X</v>
          </cell>
          <cell r="E339">
            <v>0</v>
          </cell>
          <cell r="F339" t="str">
            <v>Co  90 độ PVC 90 (Loại dày)</v>
          </cell>
          <cell r="G339" t="str">
            <v>cái</v>
          </cell>
          <cell r="H339">
            <v>0</v>
          </cell>
          <cell r="I339">
            <v>45400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S339">
            <v>0</v>
          </cell>
          <cell r="T339">
            <v>0</v>
          </cell>
        </row>
        <row r="340">
          <cell r="B340" t="str">
            <v>NG11490</v>
          </cell>
          <cell r="C340" t="str">
            <v>X</v>
          </cell>
          <cell r="E340">
            <v>0</v>
          </cell>
          <cell r="F340" t="str">
            <v>Nối giảm PVC 114-90</v>
          </cell>
          <cell r="G340" t="str">
            <v>cái</v>
          </cell>
          <cell r="H340">
            <v>0</v>
          </cell>
          <cell r="I340">
            <v>52800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S340">
            <v>0</v>
          </cell>
          <cell r="T340">
            <v>0</v>
          </cell>
        </row>
        <row r="341">
          <cell r="B341" t="str">
            <v>CUT90135</v>
          </cell>
          <cell r="C341" t="str">
            <v>X</v>
          </cell>
          <cell r="E341">
            <v>0</v>
          </cell>
          <cell r="F341" t="str">
            <v>Co 135 độ PVC 90</v>
          </cell>
          <cell r="G341" t="str">
            <v>cái</v>
          </cell>
          <cell r="H341">
            <v>0</v>
          </cell>
          <cell r="I341">
            <v>33900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S341">
            <v>0</v>
          </cell>
          <cell r="T341">
            <v>0</v>
          </cell>
        </row>
        <row r="342">
          <cell r="B342" t="str">
            <v>KEODAN</v>
          </cell>
          <cell r="C342" t="str">
            <v>X</v>
          </cell>
          <cell r="E342">
            <v>0</v>
          </cell>
          <cell r="F342" t="str">
            <v>Keo dán ống PVC (100gr)</v>
          </cell>
          <cell r="G342" t="str">
            <v>tuýp</v>
          </cell>
          <cell r="H342">
            <v>0</v>
          </cell>
          <cell r="I342">
            <v>11500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S342">
            <v>0</v>
          </cell>
          <cell r="T342">
            <v>0</v>
          </cell>
        </row>
        <row r="343">
          <cell r="B343" t="str">
            <v>KEOBIT</v>
          </cell>
          <cell r="C343" t="str">
            <v>X</v>
          </cell>
          <cell r="E343">
            <v>0</v>
          </cell>
          <cell r="F343" t="str">
            <v>Keo silicon bít miệng ống</v>
          </cell>
          <cell r="G343" t="str">
            <v>ống</v>
          </cell>
          <cell r="I343">
            <v>45000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S343">
            <v>0</v>
          </cell>
          <cell r="T343">
            <v>0</v>
          </cell>
        </row>
        <row r="344">
          <cell r="B344" t="str">
            <v>BANGKEO</v>
          </cell>
          <cell r="C344" t="str">
            <v>X</v>
          </cell>
          <cell r="E344">
            <v>0</v>
          </cell>
          <cell r="F344" t="str">
            <v>Băng keo cách điện (Màu đen)</v>
          </cell>
          <cell r="G344" t="str">
            <v>cuộn</v>
          </cell>
          <cell r="I344">
            <v>6500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S344">
            <v>0</v>
          </cell>
          <cell r="T344">
            <v>0</v>
          </cell>
        </row>
        <row r="345">
          <cell r="B345" t="str">
            <v>BANGKEOV</v>
          </cell>
          <cell r="C345" t="str">
            <v>X</v>
          </cell>
          <cell r="E345">
            <v>0</v>
          </cell>
          <cell r="F345" t="str">
            <v>Băng keo cách điện (Màu vàng)</v>
          </cell>
          <cell r="G345" t="str">
            <v>cuộn</v>
          </cell>
          <cell r="H345">
            <v>0</v>
          </cell>
          <cell r="I345">
            <v>6500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S345">
            <v>0</v>
          </cell>
          <cell r="T345">
            <v>0</v>
          </cell>
        </row>
        <row r="346">
          <cell r="B346" t="str">
            <v>BANGKEOX</v>
          </cell>
          <cell r="C346" t="str">
            <v>X</v>
          </cell>
          <cell r="E346">
            <v>0</v>
          </cell>
          <cell r="F346" t="str">
            <v>Băng keo cách điện (Màu xanh)</v>
          </cell>
          <cell r="G346" t="str">
            <v>cuộn</v>
          </cell>
          <cell r="H346">
            <v>0</v>
          </cell>
          <cell r="I346">
            <v>6500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S346">
            <v>0</v>
          </cell>
          <cell r="T346">
            <v>0</v>
          </cell>
        </row>
        <row r="347">
          <cell r="B347" t="str">
            <v>BANGKEOD</v>
          </cell>
          <cell r="C347" t="str">
            <v>X</v>
          </cell>
          <cell r="E347">
            <v>0</v>
          </cell>
          <cell r="F347" t="str">
            <v>Băng keo cách điện (Màu đỏ)</v>
          </cell>
          <cell r="G347" t="str">
            <v>cuộn</v>
          </cell>
          <cell r="H347">
            <v>0</v>
          </cell>
          <cell r="I347">
            <v>6500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S347">
            <v>0</v>
          </cell>
          <cell r="T347">
            <v>0</v>
          </cell>
        </row>
        <row r="348">
          <cell r="B348" t="str">
            <v>LPVC90CL</v>
          </cell>
          <cell r="C348" t="str">
            <v>X</v>
          </cell>
          <cell r="E348" t="str">
            <v>T4.8003</v>
          </cell>
          <cell r="F348" t="str">
            <v>Lắp ống nhựa PVC D90</v>
          </cell>
          <cell r="G348" t="str">
            <v>mét</v>
          </cell>
          <cell r="H348">
            <v>0</v>
          </cell>
          <cell r="I348">
            <v>0</v>
          </cell>
          <cell r="K348">
            <v>35541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S348">
            <v>0</v>
          </cell>
          <cell r="T348">
            <v>0</v>
          </cell>
        </row>
        <row r="349">
          <cell r="B349" t="str">
            <v>LCAPDONGTB95</v>
          </cell>
          <cell r="C349" t="str">
            <v>X</v>
          </cell>
          <cell r="E349" t="str">
            <v>T4.4201</v>
          </cell>
          <cell r="F349" t="str">
            <v>Lắp cáp đồng xuống thiết bị D ≤ 95mm2</v>
          </cell>
          <cell r="G349" t="str">
            <v>m</v>
          </cell>
          <cell r="H349">
            <v>0</v>
          </cell>
          <cell r="I349">
            <v>0</v>
          </cell>
          <cell r="K349">
            <v>11847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S349">
            <v>0</v>
          </cell>
          <cell r="T349">
            <v>0</v>
          </cell>
        </row>
        <row r="350">
          <cell r="B350" t="str">
            <v>LCAPDONGTB150</v>
          </cell>
          <cell r="C350" t="str">
            <v>X</v>
          </cell>
          <cell r="E350" t="str">
            <v>T4.4202</v>
          </cell>
          <cell r="F350" t="str">
            <v>Lắp cáp đồng xuống thiết bị D ≤ 150mm2</v>
          </cell>
          <cell r="G350" t="str">
            <v>m</v>
          </cell>
          <cell r="H350">
            <v>0</v>
          </cell>
          <cell r="I350">
            <v>0</v>
          </cell>
          <cell r="K350">
            <v>28433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S350">
            <v>0</v>
          </cell>
          <cell r="T350">
            <v>0</v>
          </cell>
        </row>
        <row r="351">
          <cell r="C351" t="str">
            <v>X</v>
          </cell>
          <cell r="D351">
            <v>0</v>
          </cell>
          <cell r="F351" t="str">
            <v>Bộ dây dẫn hạ thế lộ lên</v>
          </cell>
          <cell r="G351" t="str">
            <v>Bộ</v>
          </cell>
          <cell r="H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S351">
            <v>0</v>
          </cell>
          <cell r="T351">
            <v>0</v>
          </cell>
        </row>
        <row r="352">
          <cell r="C352" t="str">
            <v>X</v>
          </cell>
          <cell r="F352" t="str">
            <v>Gồm có: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S352">
            <v>0</v>
          </cell>
          <cell r="T352">
            <v>0</v>
          </cell>
        </row>
        <row r="353">
          <cell r="B353" t="str">
            <v>CV70</v>
          </cell>
          <cell r="C353" t="str">
            <v>X</v>
          </cell>
          <cell r="E353">
            <v>0</v>
          </cell>
          <cell r="F353" t="str">
            <v>Cáp đồng bọc CV70</v>
          </cell>
          <cell r="G353" t="str">
            <v>mét</v>
          </cell>
          <cell r="H353">
            <v>0</v>
          </cell>
          <cell r="I353">
            <v>124570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S353">
            <v>0.73899999999999999</v>
          </cell>
          <cell r="T353">
            <v>0</v>
          </cell>
        </row>
        <row r="354">
          <cell r="B354" t="str">
            <v>CV50</v>
          </cell>
          <cell r="C354" t="str">
            <v>X</v>
          </cell>
          <cell r="E354">
            <v>0</v>
          </cell>
          <cell r="F354" t="str">
            <v>Cáp đồng bọc CV50</v>
          </cell>
          <cell r="G354" t="str">
            <v>mét</v>
          </cell>
          <cell r="H354">
            <v>0</v>
          </cell>
          <cell r="I354">
            <v>90810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S354">
            <v>0.53400000000000003</v>
          </cell>
          <cell r="T354">
            <v>0</v>
          </cell>
        </row>
        <row r="355">
          <cell r="B355" t="str">
            <v>CV70</v>
          </cell>
          <cell r="C355" t="str">
            <v>X</v>
          </cell>
          <cell r="E355">
            <v>0</v>
          </cell>
          <cell r="F355" t="str">
            <v>Cáp đồng bọc CV70 (Bắt CB phân đoạn)</v>
          </cell>
          <cell r="G355" t="str">
            <v>mét</v>
          </cell>
          <cell r="H355">
            <v>0</v>
          </cell>
          <cell r="I355">
            <v>124570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S355">
            <v>0.73899999999999999</v>
          </cell>
          <cell r="T355">
            <v>0</v>
          </cell>
        </row>
        <row r="356">
          <cell r="B356" t="str">
            <v>COS70</v>
          </cell>
          <cell r="C356" t="str">
            <v>X</v>
          </cell>
          <cell r="F356" t="str">
            <v>Đầu cosse ép Cu 70mm2</v>
          </cell>
          <cell r="G356" t="str">
            <v>cái</v>
          </cell>
          <cell r="H356">
            <v>0</v>
          </cell>
          <cell r="I356">
            <v>34500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S356">
            <v>0.2</v>
          </cell>
          <cell r="T356">
            <v>0</v>
          </cell>
        </row>
        <row r="357">
          <cell r="B357" t="str">
            <v>COS50</v>
          </cell>
          <cell r="C357" t="str">
            <v>X</v>
          </cell>
          <cell r="F357" t="str">
            <v>Đầu cosse ép Cu 50mm2</v>
          </cell>
          <cell r="G357" t="str">
            <v>cái</v>
          </cell>
          <cell r="H357">
            <v>0</v>
          </cell>
          <cell r="I357">
            <v>24000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S357">
            <v>0.1</v>
          </cell>
          <cell r="T357">
            <v>0</v>
          </cell>
        </row>
        <row r="358">
          <cell r="B358" t="str">
            <v>CHCOS70</v>
          </cell>
          <cell r="C358" t="str">
            <v>X</v>
          </cell>
          <cell r="E358">
            <v>0</v>
          </cell>
          <cell r="F358" t="str">
            <v>Chụp đầu cosse  70mm2</v>
          </cell>
          <cell r="G358" t="str">
            <v>cái</v>
          </cell>
          <cell r="H358">
            <v>0</v>
          </cell>
          <cell r="I358">
            <v>2300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S358">
            <v>0</v>
          </cell>
          <cell r="T358">
            <v>0</v>
          </cell>
        </row>
        <row r="359">
          <cell r="B359" t="str">
            <v>CHCOS50</v>
          </cell>
          <cell r="C359" t="str">
            <v>X</v>
          </cell>
          <cell r="E359">
            <v>0</v>
          </cell>
          <cell r="F359" t="str">
            <v>Chụp đầu cosse  50mm2</v>
          </cell>
          <cell r="G359" t="str">
            <v>cái</v>
          </cell>
          <cell r="H359">
            <v>0</v>
          </cell>
          <cell r="I359">
            <v>1300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S359">
            <v>0</v>
          </cell>
          <cell r="T359">
            <v>0</v>
          </cell>
        </row>
        <row r="360">
          <cell r="B360" t="str">
            <v>PVC90</v>
          </cell>
          <cell r="C360" t="str">
            <v>X</v>
          </cell>
          <cell r="E360">
            <v>0</v>
          </cell>
          <cell r="F360" t="str">
            <v xml:space="preserve">Ống PVC D90x3,8mm </v>
          </cell>
          <cell r="G360" t="str">
            <v>m</v>
          </cell>
          <cell r="H360">
            <v>0</v>
          </cell>
          <cell r="I360">
            <v>63200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S360">
            <v>2</v>
          </cell>
          <cell r="T360">
            <v>0</v>
          </cell>
        </row>
        <row r="361">
          <cell r="B361" t="str">
            <v>CD90</v>
          </cell>
          <cell r="C361" t="str">
            <v>X</v>
          </cell>
          <cell r="E361">
            <v>0</v>
          </cell>
          <cell r="F361" t="str">
            <v>Cổ dê kẹp ống PVC φ 90 (có giá nới) (CD-230)</v>
          </cell>
          <cell r="G361" t="str">
            <v>bộ</v>
          </cell>
          <cell r="H361">
            <v>0</v>
          </cell>
          <cell r="I361">
            <v>74000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S361">
            <v>1.5</v>
          </cell>
          <cell r="T361">
            <v>0</v>
          </cell>
        </row>
        <row r="362">
          <cell r="B362" t="str">
            <v>CD90</v>
          </cell>
          <cell r="C362" t="str">
            <v>X</v>
          </cell>
          <cell r="E362">
            <v>0</v>
          </cell>
          <cell r="F362" t="str">
            <v>Cổ dê kẹp ống PVC φ 90 (có giá nới) (CD-280)</v>
          </cell>
          <cell r="G362" t="str">
            <v>bộ</v>
          </cell>
          <cell r="H362">
            <v>0</v>
          </cell>
          <cell r="I362">
            <v>74000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S362">
            <v>1.5</v>
          </cell>
          <cell r="T362">
            <v>0</v>
          </cell>
        </row>
        <row r="363">
          <cell r="B363" t="str">
            <v>CD90</v>
          </cell>
          <cell r="C363" t="str">
            <v>X</v>
          </cell>
          <cell r="E363">
            <v>0</v>
          </cell>
          <cell r="F363" t="str">
            <v>Cổ dê kẹp ống PVC φ 90 (có giá nới) (CD-320)</v>
          </cell>
          <cell r="G363" t="str">
            <v>bộ</v>
          </cell>
          <cell r="H363">
            <v>0</v>
          </cell>
          <cell r="I363">
            <v>74000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S363">
            <v>1.5</v>
          </cell>
          <cell r="T363">
            <v>0</v>
          </cell>
        </row>
        <row r="364">
          <cell r="B364" t="str">
            <v>CUT90T</v>
          </cell>
          <cell r="C364" t="str">
            <v>X</v>
          </cell>
          <cell r="E364">
            <v>0</v>
          </cell>
          <cell r="F364" t="str">
            <v>Co  90 độ PVC 90</v>
          </cell>
          <cell r="G364" t="str">
            <v>cái</v>
          </cell>
          <cell r="H364">
            <v>0</v>
          </cell>
          <cell r="I364">
            <v>35200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S364">
            <v>0</v>
          </cell>
          <cell r="T364">
            <v>0</v>
          </cell>
        </row>
        <row r="365">
          <cell r="B365" t="str">
            <v>CUT90TD</v>
          </cell>
          <cell r="C365" t="str">
            <v>X</v>
          </cell>
          <cell r="E365">
            <v>0</v>
          </cell>
          <cell r="F365" t="str">
            <v>Co  90 độ PVC 90 (Loại dày)</v>
          </cell>
          <cell r="G365" t="str">
            <v>cái</v>
          </cell>
          <cell r="H365">
            <v>0</v>
          </cell>
          <cell r="I365">
            <v>45400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S365">
            <v>0</v>
          </cell>
          <cell r="T365">
            <v>0</v>
          </cell>
        </row>
        <row r="366">
          <cell r="B366" t="str">
            <v>CUT90135</v>
          </cell>
          <cell r="C366" t="str">
            <v>X</v>
          </cell>
          <cell r="E366">
            <v>0</v>
          </cell>
          <cell r="F366" t="str">
            <v>Co 135 độ PVC 90</v>
          </cell>
          <cell r="G366" t="str">
            <v>cái</v>
          </cell>
          <cell r="H366">
            <v>0</v>
          </cell>
          <cell r="I366">
            <v>33900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S366">
            <v>0</v>
          </cell>
          <cell r="T366">
            <v>0</v>
          </cell>
        </row>
        <row r="367">
          <cell r="B367" t="str">
            <v>KVRT90</v>
          </cell>
          <cell r="C367" t="str">
            <v>X</v>
          </cell>
          <cell r="E367">
            <v>0</v>
          </cell>
          <cell r="F367" t="str">
            <v>Khâu ven răng trong D90</v>
          </cell>
          <cell r="G367" t="str">
            <v>cái</v>
          </cell>
          <cell r="H367">
            <v>0</v>
          </cell>
          <cell r="I367">
            <v>25800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S367">
            <v>0</v>
          </cell>
          <cell r="T367">
            <v>0</v>
          </cell>
        </row>
        <row r="368">
          <cell r="B368" t="str">
            <v>KVRN90</v>
          </cell>
          <cell r="C368" t="str">
            <v>X</v>
          </cell>
          <cell r="E368">
            <v>0</v>
          </cell>
          <cell r="F368" t="str">
            <v>Khâu ven răng ngoài D90</v>
          </cell>
          <cell r="G368" t="str">
            <v>cái</v>
          </cell>
          <cell r="H368">
            <v>0</v>
          </cell>
          <cell r="I368">
            <v>21500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S368">
            <v>0</v>
          </cell>
          <cell r="T368">
            <v>0</v>
          </cell>
        </row>
        <row r="369">
          <cell r="B369" t="str">
            <v>KEODAN</v>
          </cell>
          <cell r="C369" t="str">
            <v>X</v>
          </cell>
          <cell r="E369">
            <v>0</v>
          </cell>
          <cell r="F369" t="str">
            <v>Keo dán ống PVC (100gr)</v>
          </cell>
          <cell r="G369" t="str">
            <v>tuýp</v>
          </cell>
          <cell r="H369">
            <v>0</v>
          </cell>
          <cell r="I369">
            <v>11500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S369">
            <v>0</v>
          </cell>
          <cell r="T369">
            <v>0</v>
          </cell>
        </row>
        <row r="370">
          <cell r="B370" t="str">
            <v>KEOBIT</v>
          </cell>
          <cell r="C370" t="str">
            <v>X</v>
          </cell>
          <cell r="E370">
            <v>0</v>
          </cell>
          <cell r="F370" t="str">
            <v>Keo silicon bít miệng ống</v>
          </cell>
          <cell r="G370" t="str">
            <v>ống</v>
          </cell>
          <cell r="I370">
            <v>45000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S370">
            <v>0</v>
          </cell>
          <cell r="T370">
            <v>0</v>
          </cell>
        </row>
        <row r="371">
          <cell r="B371" t="str">
            <v>BANGKEO</v>
          </cell>
          <cell r="C371" t="str">
            <v>X</v>
          </cell>
          <cell r="E371">
            <v>0</v>
          </cell>
          <cell r="F371" t="str">
            <v>Băng keo cách điện (Màu đen)</v>
          </cell>
          <cell r="G371" t="str">
            <v>cuộn</v>
          </cell>
          <cell r="I371">
            <v>6500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S371">
            <v>0</v>
          </cell>
          <cell r="T371">
            <v>0</v>
          </cell>
        </row>
        <row r="372">
          <cell r="B372" t="str">
            <v>BANGKEOV</v>
          </cell>
          <cell r="C372" t="str">
            <v>X</v>
          </cell>
          <cell r="E372">
            <v>0</v>
          </cell>
          <cell r="F372" t="str">
            <v>Băng keo cách điện (Màu vàng)</v>
          </cell>
          <cell r="G372" t="str">
            <v>cuộn</v>
          </cell>
          <cell r="H372">
            <v>0</v>
          </cell>
          <cell r="I372">
            <v>6500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S372">
            <v>0</v>
          </cell>
          <cell r="T372">
            <v>0</v>
          </cell>
        </row>
        <row r="373">
          <cell r="B373" t="str">
            <v>BANGKEOX</v>
          </cell>
          <cell r="C373" t="str">
            <v>X</v>
          </cell>
          <cell r="E373">
            <v>0</v>
          </cell>
          <cell r="F373" t="str">
            <v>Băng keo cách điện (Màu xanh)</v>
          </cell>
          <cell r="G373" t="str">
            <v>cuộn</v>
          </cell>
          <cell r="H373">
            <v>0</v>
          </cell>
          <cell r="I373">
            <v>6500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S373">
            <v>0</v>
          </cell>
          <cell r="T373">
            <v>0</v>
          </cell>
        </row>
        <row r="374">
          <cell r="B374" t="str">
            <v>BANGKEOD</v>
          </cell>
          <cell r="C374" t="str">
            <v>X</v>
          </cell>
          <cell r="E374">
            <v>0</v>
          </cell>
          <cell r="F374" t="str">
            <v>Băng keo cách điện (Màu đỏ)</v>
          </cell>
          <cell r="G374" t="str">
            <v>cuộn</v>
          </cell>
          <cell r="H374">
            <v>0</v>
          </cell>
          <cell r="I374">
            <v>6500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S374">
            <v>0</v>
          </cell>
          <cell r="T374">
            <v>0</v>
          </cell>
        </row>
        <row r="375">
          <cell r="B375" t="str">
            <v>LPVC90CL</v>
          </cell>
          <cell r="C375" t="str">
            <v>X</v>
          </cell>
          <cell r="E375" t="str">
            <v>T4.8003</v>
          </cell>
          <cell r="F375" t="str">
            <v>Lắp ống nhựa PVC D90</v>
          </cell>
          <cell r="G375" t="str">
            <v>mét</v>
          </cell>
          <cell r="H375">
            <v>0</v>
          </cell>
          <cell r="I375">
            <v>0</v>
          </cell>
          <cell r="K375">
            <v>35541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S375">
            <v>0</v>
          </cell>
          <cell r="T375">
            <v>0</v>
          </cell>
        </row>
        <row r="376">
          <cell r="B376" t="str">
            <v>LCAPDONGTB95</v>
          </cell>
          <cell r="C376" t="str">
            <v>X</v>
          </cell>
          <cell r="E376" t="str">
            <v>T4.4201</v>
          </cell>
          <cell r="F376" t="str">
            <v>Lắp cáp đồng xuống thiết bị D ≤ 95mm2</v>
          </cell>
          <cell r="G376" t="str">
            <v>m</v>
          </cell>
          <cell r="H376">
            <v>0</v>
          </cell>
          <cell r="I376">
            <v>0</v>
          </cell>
          <cell r="K376">
            <v>11847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S376">
            <v>0</v>
          </cell>
          <cell r="T376">
            <v>0</v>
          </cell>
        </row>
        <row r="377">
          <cell r="C377" t="str">
            <v>X</v>
          </cell>
          <cell r="D377">
            <v>1</v>
          </cell>
          <cell r="F377" t="str">
            <v>Phụ kiện dừng dây hạ thế vào trạm</v>
          </cell>
          <cell r="G377" t="str">
            <v>Bộ</v>
          </cell>
          <cell r="H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S377">
            <v>0</v>
          </cell>
          <cell r="T377">
            <v>0</v>
          </cell>
        </row>
        <row r="378">
          <cell r="C378" t="str">
            <v>X</v>
          </cell>
          <cell r="F378" t="str">
            <v>Lưới hạ thế sau TBA Suối Râm 3, Suối Râm 3A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S378">
            <v>0</v>
          </cell>
          <cell r="T378">
            <v>0</v>
          </cell>
        </row>
        <row r="379">
          <cell r="B379" t="str">
            <v>AC50</v>
          </cell>
          <cell r="C379" t="str">
            <v>X</v>
          </cell>
          <cell r="E379">
            <v>0</v>
          </cell>
          <cell r="F379" t="str">
            <v>Cáp nhôm lõi thép AC-50/8</v>
          </cell>
          <cell r="G379" t="str">
            <v>kg</v>
          </cell>
          <cell r="I379">
            <v>54400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S379">
            <v>1</v>
          </cell>
          <cell r="T379">
            <v>0</v>
          </cell>
        </row>
        <row r="380">
          <cell r="B380" t="str">
            <v>AV70</v>
          </cell>
          <cell r="C380" t="str">
            <v>X</v>
          </cell>
          <cell r="E380">
            <v>0</v>
          </cell>
          <cell r="F380" t="str">
            <v>Cáp nhôm bọc AV70</v>
          </cell>
          <cell r="G380" t="str">
            <v>mét</v>
          </cell>
          <cell r="I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S380">
            <v>0.308</v>
          </cell>
          <cell r="T380">
            <v>0</v>
          </cell>
        </row>
        <row r="381">
          <cell r="B381" t="str">
            <v>R3</v>
          </cell>
          <cell r="C381" t="str">
            <v>X</v>
          </cell>
          <cell r="E381">
            <v>0</v>
          </cell>
          <cell r="F381" t="str">
            <v>Rack 3 sứ</v>
          </cell>
          <cell r="G381" t="str">
            <v>cái</v>
          </cell>
          <cell r="I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S381">
            <v>3.5</v>
          </cell>
          <cell r="T381">
            <v>0</v>
          </cell>
        </row>
        <row r="382">
          <cell r="B382" t="str">
            <v>SOC</v>
          </cell>
          <cell r="C382" t="str">
            <v>X</v>
          </cell>
          <cell r="E382">
            <v>0</v>
          </cell>
          <cell r="F382" t="str">
            <v xml:space="preserve">Sứ ống chỉ </v>
          </cell>
          <cell r="G382" t="str">
            <v>cái</v>
          </cell>
          <cell r="I382">
            <v>16000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S382">
            <v>0.2</v>
          </cell>
          <cell r="T382">
            <v>0</v>
          </cell>
        </row>
        <row r="383">
          <cell r="B383" t="str">
            <v>B16350</v>
          </cell>
          <cell r="C383" t="str">
            <v>X</v>
          </cell>
          <cell r="E383">
            <v>0</v>
          </cell>
          <cell r="F383" t="str">
            <v>Boulon 16x350+ 2 long đền vuông D18-50x50x3/Zn</v>
          </cell>
          <cell r="G383" t="str">
            <v>bộ</v>
          </cell>
          <cell r="I383">
            <v>32500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S383">
            <v>0.3</v>
          </cell>
          <cell r="T383">
            <v>0</v>
          </cell>
        </row>
        <row r="384">
          <cell r="B384" t="str">
            <v>KU70</v>
          </cell>
          <cell r="C384" t="str">
            <v>X</v>
          </cell>
          <cell r="E384">
            <v>0</v>
          </cell>
          <cell r="F384" t="str">
            <v>Kẹp Ubolt cỡ dây 70</v>
          </cell>
          <cell r="G384" t="str">
            <v>cái</v>
          </cell>
          <cell r="I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S384">
            <v>0.7</v>
          </cell>
          <cell r="T384">
            <v>0</v>
          </cell>
        </row>
        <row r="385">
          <cell r="B385" t="str">
            <v>ON70</v>
          </cell>
          <cell r="C385" t="str">
            <v>X</v>
          </cell>
          <cell r="F385" t="str">
            <v>Ống nối dây AC cỡ 70mm2 (Không lõi thép)</v>
          </cell>
          <cell r="G385" t="str">
            <v>cái</v>
          </cell>
          <cell r="I385">
            <v>40000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S385">
            <v>2</v>
          </cell>
          <cell r="T385">
            <v>0</v>
          </cell>
        </row>
        <row r="386">
          <cell r="B386" t="str">
            <v>OBCD</v>
          </cell>
          <cell r="C386" t="str">
            <v>X</v>
          </cell>
          <cell r="E386">
            <v>0</v>
          </cell>
          <cell r="F386" t="str">
            <v>Ống bọc cách điện D30</v>
          </cell>
          <cell r="G386" t="str">
            <v>mét</v>
          </cell>
          <cell r="I386">
            <v>95000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S386">
            <v>0</v>
          </cell>
          <cell r="T386">
            <v>0</v>
          </cell>
        </row>
        <row r="387">
          <cell r="C387" t="str">
            <v>X</v>
          </cell>
          <cell r="F387" t="str">
            <v>Lưới hạ thế sau TBA Sông Ray 10B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S387">
            <v>0</v>
          </cell>
          <cell r="T387">
            <v>0</v>
          </cell>
        </row>
        <row r="388">
          <cell r="B388" t="str">
            <v>KNGUNG70</v>
          </cell>
          <cell r="C388" t="str">
            <v>X</v>
          </cell>
          <cell r="E388">
            <v>0</v>
          </cell>
          <cell r="F388" t="str">
            <v>Kẹp ngừng cáp ABC4x70mm2</v>
          </cell>
          <cell r="G388" t="str">
            <v>cái</v>
          </cell>
          <cell r="I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S388">
            <v>0</v>
          </cell>
          <cell r="T388">
            <v>0</v>
          </cell>
        </row>
        <row r="389">
          <cell r="B389" t="str">
            <v>BMOC16300</v>
          </cell>
          <cell r="C389" t="str">
            <v>X</v>
          </cell>
          <cell r="E389">
            <v>0</v>
          </cell>
          <cell r="F389" t="str">
            <v>Boulon móc 16x300+ long đền vuông D18-50x50x3/Zn</v>
          </cell>
          <cell r="G389" t="str">
            <v>bộ</v>
          </cell>
          <cell r="I389">
            <v>41500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S389">
            <v>0.3</v>
          </cell>
          <cell r="T389">
            <v>0</v>
          </cell>
        </row>
        <row r="390">
          <cell r="B390" t="str">
            <v>ON70</v>
          </cell>
          <cell r="C390" t="str">
            <v>X</v>
          </cell>
          <cell r="F390" t="str">
            <v>Ống nối dây AC cỡ 70mm2 (Không lõi thép)</v>
          </cell>
          <cell r="G390" t="str">
            <v>cái</v>
          </cell>
          <cell r="I390">
            <v>40000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S390">
            <v>2</v>
          </cell>
          <cell r="T390">
            <v>0</v>
          </cell>
        </row>
        <row r="391">
          <cell r="B391" t="str">
            <v>OBCD</v>
          </cell>
          <cell r="C391" t="str">
            <v>X</v>
          </cell>
          <cell r="E391">
            <v>0</v>
          </cell>
          <cell r="F391" t="str">
            <v>Ống bọc cách điện D30</v>
          </cell>
          <cell r="G391" t="str">
            <v>mét</v>
          </cell>
          <cell r="I391">
            <v>95000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S391">
            <v>0</v>
          </cell>
          <cell r="T391">
            <v>0</v>
          </cell>
        </row>
        <row r="392">
          <cell r="C392" t="str">
            <v>X</v>
          </cell>
          <cell r="F392" t="str">
            <v>Lưới hạ thế sau TBA Xuân Tây 8C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S392">
            <v>0</v>
          </cell>
          <cell r="T392">
            <v>0</v>
          </cell>
        </row>
        <row r="393">
          <cell r="B393" t="str">
            <v>KNGUNG70</v>
          </cell>
          <cell r="C393" t="str">
            <v>X</v>
          </cell>
          <cell r="E393">
            <v>0</v>
          </cell>
          <cell r="F393" t="str">
            <v>Kẹp ngừng cáp ABC4x70mm2</v>
          </cell>
          <cell r="G393" t="str">
            <v>cái</v>
          </cell>
          <cell r="I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S393">
            <v>0</v>
          </cell>
          <cell r="T393">
            <v>0</v>
          </cell>
        </row>
        <row r="394">
          <cell r="B394" t="str">
            <v>BMOC16300</v>
          </cell>
          <cell r="C394" t="str">
            <v>X</v>
          </cell>
          <cell r="E394">
            <v>0</v>
          </cell>
          <cell r="F394" t="str">
            <v>Boulon móc 16x300+ long đền vuông D18-50x50x3/Zn</v>
          </cell>
          <cell r="G394" t="str">
            <v>bộ</v>
          </cell>
          <cell r="I394">
            <v>41500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S394">
            <v>0.3</v>
          </cell>
          <cell r="T394">
            <v>0</v>
          </cell>
        </row>
        <row r="395">
          <cell r="B395" t="str">
            <v>ON70</v>
          </cell>
          <cell r="C395" t="str">
            <v>X</v>
          </cell>
          <cell r="F395" t="str">
            <v>Ống nối dây AC cỡ 70mm2 (Không lõi thép)</v>
          </cell>
          <cell r="G395" t="str">
            <v>cái</v>
          </cell>
          <cell r="I395">
            <v>40000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S395">
            <v>2</v>
          </cell>
          <cell r="T395">
            <v>0</v>
          </cell>
        </row>
        <row r="396">
          <cell r="B396" t="str">
            <v>OBCD</v>
          </cell>
          <cell r="C396" t="str">
            <v>X</v>
          </cell>
          <cell r="E396">
            <v>0</v>
          </cell>
          <cell r="F396" t="str">
            <v>Ống bọc cách điện D30</v>
          </cell>
          <cell r="G396" t="str">
            <v>mét</v>
          </cell>
          <cell r="I396">
            <v>95000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S396">
            <v>0</v>
          </cell>
          <cell r="T396">
            <v>0</v>
          </cell>
        </row>
        <row r="397">
          <cell r="C397" t="str">
            <v>X</v>
          </cell>
          <cell r="F397" t="str">
            <v>Lưới hạ thế sau TBA Lò Than 8A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S397">
            <v>0</v>
          </cell>
          <cell r="T397">
            <v>0</v>
          </cell>
        </row>
        <row r="398">
          <cell r="B398" t="str">
            <v>KNGUNG120</v>
          </cell>
          <cell r="C398" t="str">
            <v>X</v>
          </cell>
          <cell r="E398">
            <v>0</v>
          </cell>
          <cell r="F398" t="str">
            <v>Kẹp ngừng cáp ABC4x120mm2</v>
          </cell>
          <cell r="G398" t="str">
            <v>cái</v>
          </cell>
          <cell r="I398">
            <v>74000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S398">
            <v>0</v>
          </cell>
          <cell r="T398">
            <v>0</v>
          </cell>
        </row>
        <row r="399">
          <cell r="B399" t="str">
            <v>BMOC16300</v>
          </cell>
          <cell r="C399" t="str">
            <v>X</v>
          </cell>
          <cell r="E399">
            <v>0</v>
          </cell>
          <cell r="F399" t="str">
            <v>Boulon móc 16x300+ long đền vuông D18-50x50x3/Zn</v>
          </cell>
          <cell r="G399" t="str">
            <v>bộ</v>
          </cell>
          <cell r="I399">
            <v>41500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 t="str">
            <v>SDL 2 CÁI</v>
          </cell>
          <cell r="S399">
            <v>0.3</v>
          </cell>
          <cell r="T399">
            <v>0</v>
          </cell>
        </row>
        <row r="400">
          <cell r="B400" t="str">
            <v>ON120</v>
          </cell>
          <cell r="C400" t="str">
            <v>X</v>
          </cell>
          <cell r="F400" t="str">
            <v>Ống nối dây AC cỡ 120mm2 (Không lõi thép)</v>
          </cell>
          <cell r="G400" t="str">
            <v>cái</v>
          </cell>
          <cell r="I400">
            <v>65500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S400">
            <v>2</v>
          </cell>
          <cell r="T400">
            <v>0</v>
          </cell>
        </row>
        <row r="401">
          <cell r="B401" t="str">
            <v>OBCD</v>
          </cell>
          <cell r="C401" t="str">
            <v>X</v>
          </cell>
          <cell r="E401">
            <v>0</v>
          </cell>
          <cell r="F401" t="str">
            <v>Ống bọc cách điện D30</v>
          </cell>
          <cell r="G401" t="str">
            <v>mét</v>
          </cell>
          <cell r="I401">
            <v>95000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S401">
            <v>0</v>
          </cell>
          <cell r="T401">
            <v>0</v>
          </cell>
        </row>
        <row r="402">
          <cell r="C402" t="str">
            <v>X</v>
          </cell>
          <cell r="F402" t="str">
            <v>Lưới hạ thế sau TBA Thừa Đức 9B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S402">
            <v>0</v>
          </cell>
          <cell r="T402">
            <v>0</v>
          </cell>
        </row>
        <row r="403">
          <cell r="B403" t="str">
            <v>KNGUNG70</v>
          </cell>
          <cell r="C403" t="str">
            <v>X</v>
          </cell>
          <cell r="E403">
            <v>0</v>
          </cell>
          <cell r="F403" t="str">
            <v>Kẹp ngừng cáp ABC4x70mm2</v>
          </cell>
          <cell r="G403" t="str">
            <v>cái</v>
          </cell>
          <cell r="I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S403">
            <v>0</v>
          </cell>
          <cell r="T403">
            <v>0</v>
          </cell>
        </row>
        <row r="404">
          <cell r="B404" t="str">
            <v>BMOC16300</v>
          </cell>
          <cell r="C404" t="str">
            <v>X</v>
          </cell>
          <cell r="E404">
            <v>0</v>
          </cell>
          <cell r="F404" t="str">
            <v>Boulon móc 16x300+ long đền vuông D18-50x50x3/Zn</v>
          </cell>
          <cell r="G404" t="str">
            <v>bộ</v>
          </cell>
          <cell r="I404">
            <v>41500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S404">
            <v>0.3</v>
          </cell>
          <cell r="T404">
            <v>0</v>
          </cell>
        </row>
        <row r="405">
          <cell r="B405" t="str">
            <v>ON70</v>
          </cell>
          <cell r="C405" t="str">
            <v>X</v>
          </cell>
          <cell r="F405" t="str">
            <v>Ống nối dây AC cỡ 70mm2 (Không lõi thép)</v>
          </cell>
          <cell r="G405" t="str">
            <v>cái</v>
          </cell>
          <cell r="I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S405">
            <v>2</v>
          </cell>
          <cell r="T405">
            <v>0</v>
          </cell>
        </row>
        <row r="406">
          <cell r="B406" t="str">
            <v>OBCD</v>
          </cell>
          <cell r="C406" t="str">
            <v>X</v>
          </cell>
          <cell r="E406">
            <v>0</v>
          </cell>
          <cell r="F406" t="str">
            <v>Ống bọc cách điện D30</v>
          </cell>
          <cell r="G406" t="str">
            <v>mét</v>
          </cell>
          <cell r="I406">
            <v>95000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S406">
            <v>0</v>
          </cell>
          <cell r="T406">
            <v>0</v>
          </cell>
        </row>
        <row r="407">
          <cell r="B407" t="str">
            <v>BANG</v>
          </cell>
          <cell r="C407" t="str">
            <v>X</v>
          </cell>
          <cell r="D407">
            <v>1</v>
          </cell>
          <cell r="E407">
            <v>0</v>
          </cell>
          <cell r="F407" t="str">
            <v>Bảng tên trạm + bulon</v>
          </cell>
          <cell r="G407" t="str">
            <v>bộ</v>
          </cell>
          <cell r="H407">
            <v>0</v>
          </cell>
          <cell r="I407">
            <v>100000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S407">
            <v>0</v>
          </cell>
          <cell r="T407">
            <v>0</v>
          </cell>
        </row>
        <row r="408">
          <cell r="A408" t="str">
            <v>TR2X375</v>
          </cell>
          <cell r="C408" t="str">
            <v>X</v>
          </cell>
          <cell r="D408" t="str">
            <v>V</v>
          </cell>
          <cell r="E408" t="str">
            <v>0 Trạm 1 pha 2x37,5kVA</v>
          </cell>
          <cell r="S408">
            <v>0</v>
          </cell>
          <cell r="T408">
            <v>0</v>
          </cell>
        </row>
        <row r="409">
          <cell r="A409" t="str">
            <v>TBTR2X375</v>
          </cell>
          <cell r="C409" t="str">
            <v>X</v>
          </cell>
          <cell r="F409" t="str">
            <v>A.PHẦN THIẾT BỊ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S409">
            <v>0</v>
          </cell>
          <cell r="T409">
            <v>0</v>
          </cell>
        </row>
        <row r="410">
          <cell r="B410" t="str">
            <v>TR371</v>
          </cell>
          <cell r="C410" t="str">
            <v>X</v>
          </cell>
          <cell r="E410" t="str">
            <v>T1.1432</v>
          </cell>
          <cell r="F410" t="str">
            <v>Máy biến áp AMORPHOUS 12,7/0,22-0,44kV 37,5kVA</v>
          </cell>
          <cell r="G410" t="str">
            <v>máy</v>
          </cell>
          <cell r="H410">
            <v>0</v>
          </cell>
          <cell r="I410">
            <v>0</v>
          </cell>
          <cell r="K410">
            <v>746585</v>
          </cell>
          <cell r="L410">
            <v>360605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S410">
            <v>355</v>
          </cell>
          <cell r="T410">
            <v>0</v>
          </cell>
        </row>
        <row r="411">
          <cell r="A411" t="str">
            <v/>
          </cell>
          <cell r="B411" t="str">
            <v>FCO100</v>
          </cell>
          <cell r="C411" t="str">
            <v>X</v>
          </cell>
          <cell r="E411" t="str">
            <v>T2.3505</v>
          </cell>
          <cell r="F411" t="str">
            <v>FCO 27kV - 100A</v>
          </cell>
          <cell r="G411" t="str">
            <v>cái</v>
          </cell>
          <cell r="H411">
            <v>0</v>
          </cell>
          <cell r="I411">
            <v>1020000</v>
          </cell>
          <cell r="K411">
            <v>189552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S411">
            <v>1.5</v>
          </cell>
          <cell r="T411">
            <v>0</v>
          </cell>
        </row>
        <row r="412">
          <cell r="A412" t="str">
            <v/>
          </cell>
          <cell r="B412" t="str">
            <v>LA18</v>
          </cell>
          <cell r="C412" t="str">
            <v>X</v>
          </cell>
          <cell r="E412" t="str">
            <v>T2.5004</v>
          </cell>
          <cell r="F412" t="str">
            <v>LA 18kV 10kA</v>
          </cell>
          <cell r="G412" t="str">
            <v>cái</v>
          </cell>
          <cell r="H412">
            <v>0</v>
          </cell>
          <cell r="I412">
            <v>910000</v>
          </cell>
          <cell r="K412">
            <v>71082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S412">
            <v>0.8</v>
          </cell>
          <cell r="T412">
            <v>0</v>
          </cell>
        </row>
        <row r="413">
          <cell r="A413" t="str">
            <v/>
          </cell>
          <cell r="B413" t="str">
            <v>ATM250</v>
          </cell>
          <cell r="C413" t="str">
            <v>X</v>
          </cell>
          <cell r="F413" t="str">
            <v>MCCB 3 cực 600V - 250A - 42KA (160-250A)</v>
          </cell>
          <cell r="G413" t="str">
            <v>cái</v>
          </cell>
          <cell r="H413">
            <v>0</v>
          </cell>
          <cell r="I413">
            <v>2800000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S413">
            <v>2</v>
          </cell>
          <cell r="T413">
            <v>0</v>
          </cell>
        </row>
        <row r="414">
          <cell r="A414" t="str">
            <v/>
          </cell>
          <cell r="B414" t="str">
            <v>ATM160</v>
          </cell>
          <cell r="C414" t="str">
            <v>X</v>
          </cell>
          <cell r="F414" t="str">
            <v>MCCB 3 cực 400V - 160A - 35KA (100-160A) (Phân đoạn)</v>
          </cell>
          <cell r="G414" t="str">
            <v>cái</v>
          </cell>
          <cell r="H414">
            <v>0</v>
          </cell>
          <cell r="I414">
            <v>2230000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S414">
            <v>2</v>
          </cell>
          <cell r="T414">
            <v>0</v>
          </cell>
        </row>
        <row r="415">
          <cell r="A415" t="str">
            <v/>
          </cell>
          <cell r="B415" t="str">
            <v>TI1505</v>
          </cell>
          <cell r="C415" t="str">
            <v>X</v>
          </cell>
          <cell r="E415">
            <v>0</v>
          </cell>
          <cell r="F415" t="str">
            <v xml:space="preserve">Biến dòng 600V - 150/5A </v>
          </cell>
          <cell r="G415" t="str">
            <v>cái</v>
          </cell>
          <cell r="H415">
            <v>0</v>
          </cell>
          <cell r="I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S415">
            <v>0</v>
          </cell>
          <cell r="T415">
            <v>0</v>
          </cell>
        </row>
        <row r="416">
          <cell r="A416" t="str">
            <v/>
          </cell>
          <cell r="B416" t="str">
            <v>DK3P5A</v>
          </cell>
          <cell r="C416" t="str">
            <v>X</v>
          </cell>
          <cell r="E416">
            <v>0</v>
          </cell>
          <cell r="F416" t="str">
            <v>Điện kế 3 pha 4 dây 220/380V-5A</v>
          </cell>
          <cell r="G416" t="str">
            <v>cái</v>
          </cell>
          <cell r="H416">
            <v>0</v>
          </cell>
          <cell r="I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S416">
            <v>1.5</v>
          </cell>
          <cell r="T416">
            <v>0</v>
          </cell>
        </row>
        <row r="417">
          <cell r="A417" t="str">
            <v>VLTR2X375</v>
          </cell>
          <cell r="C417" t="str">
            <v>X</v>
          </cell>
          <cell r="F417" t="str">
            <v>B. PHẦN VẬT LIỆU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S417">
            <v>0</v>
          </cell>
          <cell r="T417">
            <v>0</v>
          </cell>
        </row>
        <row r="418">
          <cell r="C418" t="str">
            <v>X</v>
          </cell>
          <cell r="D418">
            <v>0</v>
          </cell>
          <cell r="F418" t="str">
            <v>Vật liệu bảo vệ thiết bị</v>
          </cell>
          <cell r="G418" t="str">
            <v>Bộ</v>
          </cell>
          <cell r="H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S418">
            <v>0</v>
          </cell>
          <cell r="T418">
            <v>0</v>
          </cell>
        </row>
        <row r="419">
          <cell r="A419" t="str">
            <v/>
          </cell>
          <cell r="B419" t="str">
            <v>CHI3K</v>
          </cell>
          <cell r="C419" t="str">
            <v>X</v>
          </cell>
          <cell r="E419">
            <v>0</v>
          </cell>
          <cell r="F419" t="str">
            <v>Dây chảy 3K</v>
          </cell>
          <cell r="G419" t="str">
            <v>Sợi</v>
          </cell>
          <cell r="H419">
            <v>0</v>
          </cell>
          <cell r="I419">
            <v>84000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S419">
            <v>0</v>
          </cell>
          <cell r="T419">
            <v>0</v>
          </cell>
        </row>
        <row r="420">
          <cell r="A420" t="str">
            <v/>
          </cell>
          <cell r="B420" t="str">
            <v>CHUPFCO</v>
          </cell>
          <cell r="C420" t="str">
            <v>X</v>
          </cell>
          <cell r="E420">
            <v>0</v>
          </cell>
          <cell r="F420" t="str">
            <v>Chụp đầu FCO (Trên + Dưới)</v>
          </cell>
          <cell r="G420" t="str">
            <v>bộ</v>
          </cell>
          <cell r="H420">
            <v>0</v>
          </cell>
          <cell r="I420">
            <v>190000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S420">
            <v>0</v>
          </cell>
          <cell r="T420">
            <v>0</v>
          </cell>
        </row>
        <row r="421">
          <cell r="A421" t="str">
            <v/>
          </cell>
          <cell r="B421" t="str">
            <v>CHUPLA</v>
          </cell>
          <cell r="C421" t="str">
            <v>X</v>
          </cell>
          <cell r="E421">
            <v>0</v>
          </cell>
          <cell r="F421" t="str">
            <v>Chụp đầu LA</v>
          </cell>
          <cell r="G421" t="str">
            <v>cái</v>
          </cell>
          <cell r="H421">
            <v>0</v>
          </cell>
          <cell r="I421">
            <v>32000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S421">
            <v>0</v>
          </cell>
          <cell r="T421">
            <v>0</v>
          </cell>
        </row>
        <row r="422">
          <cell r="A422" t="str">
            <v/>
          </cell>
          <cell r="B422" t="str">
            <v>CHUPMBA</v>
          </cell>
          <cell r="C422" t="str">
            <v>X</v>
          </cell>
          <cell r="E422">
            <v>0</v>
          </cell>
          <cell r="F422" t="str">
            <v>Chụp đầu cực MBA</v>
          </cell>
          <cell r="G422" t="str">
            <v>cái</v>
          </cell>
          <cell r="H422">
            <v>0</v>
          </cell>
          <cell r="I422">
            <v>52000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S422">
            <v>0</v>
          </cell>
          <cell r="T422">
            <v>0</v>
          </cell>
        </row>
        <row r="423">
          <cell r="A423" t="str">
            <v/>
          </cell>
          <cell r="B423" t="str">
            <v>B16300</v>
          </cell>
          <cell r="C423" t="str">
            <v>X</v>
          </cell>
          <cell r="E423">
            <v>0</v>
          </cell>
          <cell r="F423" t="str">
            <v>Boulon 16x300+ 2 long đền vuông D18-50x50x3/Zn</v>
          </cell>
          <cell r="G423" t="str">
            <v>bộ</v>
          </cell>
          <cell r="H423">
            <v>0</v>
          </cell>
          <cell r="I423">
            <v>30000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S423">
            <v>0.25</v>
          </cell>
          <cell r="T423">
            <v>0</v>
          </cell>
        </row>
        <row r="424">
          <cell r="A424" t="str">
            <v/>
          </cell>
          <cell r="C424" t="str">
            <v>X</v>
          </cell>
          <cell r="D424">
            <v>0</v>
          </cell>
          <cell r="F424" t="str">
            <v>Đà Composite bắt LA, FCO</v>
          </cell>
          <cell r="G424" t="str">
            <v>Bộ</v>
          </cell>
          <cell r="H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S424">
            <v>0</v>
          </cell>
          <cell r="T424">
            <v>0</v>
          </cell>
        </row>
        <row r="425">
          <cell r="A425" t="str">
            <v/>
          </cell>
          <cell r="C425" t="str">
            <v>X</v>
          </cell>
          <cell r="F425" t="str">
            <v>Gồm có: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S425">
            <v>0</v>
          </cell>
          <cell r="T425">
            <v>0</v>
          </cell>
        </row>
        <row r="426">
          <cell r="A426" t="str">
            <v/>
          </cell>
          <cell r="B426" t="str">
            <v>COM800</v>
          </cell>
          <cell r="C426" t="str">
            <v>X</v>
          </cell>
          <cell r="E426">
            <v>0</v>
          </cell>
          <cell r="F426" t="str">
            <v>Đà hộp composite 110x80x5-800</v>
          </cell>
          <cell r="G426" t="str">
            <v>cái</v>
          </cell>
          <cell r="H426">
            <v>0</v>
          </cell>
          <cell r="I426">
            <v>393000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S426">
            <v>3.2</v>
          </cell>
          <cell r="T426">
            <v>0</v>
          </cell>
        </row>
        <row r="427">
          <cell r="A427" t="str">
            <v/>
          </cell>
          <cell r="B427" t="str">
            <v>CCOM800</v>
          </cell>
          <cell r="C427" t="str">
            <v>X</v>
          </cell>
          <cell r="E427">
            <v>0</v>
          </cell>
          <cell r="F427" t="str">
            <v>Thanh chống 10x40x720</v>
          </cell>
          <cell r="G427" t="str">
            <v>cái</v>
          </cell>
          <cell r="H427">
            <v>0</v>
          </cell>
          <cell r="I427">
            <v>118000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S427">
            <v>0.5</v>
          </cell>
          <cell r="T427">
            <v>0</v>
          </cell>
        </row>
        <row r="428">
          <cell r="A428" t="str">
            <v/>
          </cell>
          <cell r="B428" t="str">
            <v>BATLI</v>
          </cell>
          <cell r="C428" t="str">
            <v>X</v>
          </cell>
          <cell r="E428">
            <v>0</v>
          </cell>
          <cell r="F428" t="str">
            <v>Bass LI bắt FCO, LA</v>
          </cell>
          <cell r="G428" t="str">
            <v>Bộ</v>
          </cell>
          <cell r="H428">
            <v>0</v>
          </cell>
          <cell r="I428">
            <v>45000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S428">
            <v>0.4</v>
          </cell>
          <cell r="T428">
            <v>0</v>
          </cell>
        </row>
        <row r="429">
          <cell r="A429" t="str">
            <v/>
          </cell>
          <cell r="B429" t="str">
            <v>B16400V</v>
          </cell>
          <cell r="C429" t="str">
            <v>X</v>
          </cell>
          <cell r="E429">
            <v>0</v>
          </cell>
          <cell r="F429" t="str">
            <v>Boulon 16x400VRS + 4 long đền vuông D18-50x50x3/Zn</v>
          </cell>
          <cell r="G429" t="str">
            <v>bộ</v>
          </cell>
          <cell r="H429">
            <v>0</v>
          </cell>
          <cell r="I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S429">
            <v>0.39999999999999997</v>
          </cell>
          <cell r="T429">
            <v>0</v>
          </cell>
        </row>
        <row r="430">
          <cell r="A430" t="str">
            <v/>
          </cell>
          <cell r="B430" t="str">
            <v>B16300</v>
          </cell>
          <cell r="C430" t="str">
            <v>X</v>
          </cell>
          <cell r="E430">
            <v>0</v>
          </cell>
          <cell r="F430" t="str">
            <v>Boulon 16x300+ 2 long đền vuông D18-50x50x3/Zn</v>
          </cell>
          <cell r="G430" t="str">
            <v>bộ</v>
          </cell>
          <cell r="H430">
            <v>0</v>
          </cell>
          <cell r="I430">
            <v>30000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S430">
            <v>0.25</v>
          </cell>
          <cell r="T430">
            <v>0</v>
          </cell>
        </row>
        <row r="431">
          <cell r="A431" t="str">
            <v/>
          </cell>
          <cell r="B431" t="str">
            <v>B14120</v>
          </cell>
          <cell r="C431" t="str">
            <v>X</v>
          </cell>
          <cell r="E431">
            <v>0</v>
          </cell>
          <cell r="F431" t="str">
            <v>Boulon 14x120+ 2 long đền vuông D16-50x50x3/Zn</v>
          </cell>
          <cell r="G431" t="str">
            <v>bộ</v>
          </cell>
          <cell r="H431">
            <v>0</v>
          </cell>
          <cell r="I431">
            <v>20000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S431">
            <v>0.2</v>
          </cell>
          <cell r="T431">
            <v>0</v>
          </cell>
        </row>
        <row r="432">
          <cell r="A432" t="str">
            <v/>
          </cell>
          <cell r="B432" t="str">
            <v>LCOM800K</v>
          </cell>
          <cell r="C432" t="str">
            <v>X</v>
          </cell>
          <cell r="E432" t="str">
            <v>D2.6011</v>
          </cell>
          <cell r="F432" t="str">
            <v>Lắp đà composite 800mm kép</v>
          </cell>
          <cell r="G432" t="str">
            <v>bộ</v>
          </cell>
          <cell r="H432">
            <v>0</v>
          </cell>
          <cell r="I432">
            <v>0</v>
          </cell>
          <cell r="K432">
            <v>167950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S432">
            <v>0</v>
          </cell>
          <cell r="T432">
            <v>0</v>
          </cell>
        </row>
        <row r="433">
          <cell r="A433" t="str">
            <v/>
          </cell>
          <cell r="C433" t="str">
            <v>X</v>
          </cell>
          <cell r="D433">
            <v>0</v>
          </cell>
          <cell r="F433" t="str">
            <v>Bộ tiếp địa Trạm 1 pha</v>
          </cell>
          <cell r="G433" t="str">
            <v>Bộ</v>
          </cell>
          <cell r="H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S433">
            <v>0</v>
          </cell>
          <cell r="T433">
            <v>0</v>
          </cell>
        </row>
        <row r="434">
          <cell r="A434" t="str">
            <v/>
          </cell>
          <cell r="C434" t="str">
            <v>X</v>
          </cell>
          <cell r="F434" t="str">
            <v>Gồm có: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S434">
            <v>0</v>
          </cell>
          <cell r="T434">
            <v>0</v>
          </cell>
        </row>
        <row r="435">
          <cell r="A435" t="str">
            <v/>
          </cell>
          <cell r="B435" t="str">
            <v>M25</v>
          </cell>
          <cell r="C435" t="str">
            <v>X</v>
          </cell>
          <cell r="E435">
            <v>0</v>
          </cell>
          <cell r="F435" t="str">
            <v>Cáp đồng trần M25mm2 (45 mét/trạm)</v>
          </cell>
          <cell r="G435" t="str">
            <v>kg</v>
          </cell>
          <cell r="H435">
            <v>0</v>
          </cell>
          <cell r="I435">
            <v>191630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S435">
            <v>1</v>
          </cell>
          <cell r="T435">
            <v>0</v>
          </cell>
        </row>
        <row r="436">
          <cell r="A436" t="str">
            <v/>
          </cell>
          <cell r="B436" t="str">
            <v>CTD</v>
          </cell>
          <cell r="C436" t="str">
            <v>X</v>
          </cell>
          <cell r="E436">
            <v>0</v>
          </cell>
          <cell r="F436" t="str">
            <v>Cọc tiếp đất φ16 - 2,4m mạ Cu 16 micrômét</v>
          </cell>
          <cell r="G436" t="str">
            <v>cọc</v>
          </cell>
          <cell r="H436">
            <v>0</v>
          </cell>
          <cell r="I436">
            <v>130000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S436">
            <v>5.3</v>
          </cell>
          <cell r="T436">
            <v>0</v>
          </cell>
        </row>
        <row r="437">
          <cell r="A437" t="str">
            <v/>
          </cell>
          <cell r="B437" t="str">
            <v>KC</v>
          </cell>
          <cell r="C437" t="str">
            <v>X</v>
          </cell>
          <cell r="E437">
            <v>0</v>
          </cell>
          <cell r="F437" t="str">
            <v>Kẹp cọc tiếp địa Cu loại lớn</v>
          </cell>
          <cell r="G437" t="str">
            <v>bộ</v>
          </cell>
          <cell r="H437">
            <v>0</v>
          </cell>
          <cell r="I437">
            <v>25000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S437">
            <v>0.05</v>
          </cell>
          <cell r="T437">
            <v>0</v>
          </cell>
        </row>
        <row r="438">
          <cell r="A438" t="str">
            <v/>
          </cell>
          <cell r="B438" t="str">
            <v>OXC38</v>
          </cell>
          <cell r="C438" t="str">
            <v>X</v>
          </cell>
          <cell r="E438">
            <v>0</v>
          </cell>
          <cell r="F438" t="str">
            <v xml:space="preserve">Ốc xiết cáp cỡ 38mm2 </v>
          </cell>
          <cell r="G438" t="str">
            <v>cái</v>
          </cell>
          <cell r="H438">
            <v>0</v>
          </cell>
          <cell r="I438">
            <v>17000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S438">
            <v>0</v>
          </cell>
          <cell r="T438">
            <v>0</v>
          </cell>
        </row>
        <row r="439">
          <cell r="A439" t="str">
            <v/>
          </cell>
          <cell r="B439" t="str">
            <v>KTDTBA</v>
          </cell>
          <cell r="C439" t="str">
            <v>X</v>
          </cell>
          <cell r="E439" t="str">
            <v>T4.7001</v>
          </cell>
          <cell r="F439" t="str">
            <v>Kéo dây tiếp địa trong TBA</v>
          </cell>
          <cell r="G439" t="str">
            <v>mét</v>
          </cell>
          <cell r="H439">
            <v>0</v>
          </cell>
          <cell r="I439">
            <v>0</v>
          </cell>
          <cell r="K439">
            <v>6871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S439">
            <v>0</v>
          </cell>
          <cell r="T439">
            <v>0</v>
          </cell>
        </row>
        <row r="440">
          <cell r="A440" t="str">
            <v/>
          </cell>
          <cell r="B440" t="str">
            <v>DCTDTBA</v>
          </cell>
          <cell r="C440" t="str">
            <v>X</v>
          </cell>
          <cell r="E440" t="str">
            <v>D2.8103</v>
          </cell>
          <cell r="F440" t="str">
            <v>Đóng cọc tiếp địa trong TBA (đất cấp 3)</v>
          </cell>
          <cell r="G440" t="str">
            <v>cọc</v>
          </cell>
          <cell r="H440">
            <v>0</v>
          </cell>
          <cell r="I440">
            <v>0</v>
          </cell>
          <cell r="K440">
            <v>76928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S440">
            <v>0</v>
          </cell>
          <cell r="T440">
            <v>0</v>
          </cell>
        </row>
        <row r="441">
          <cell r="A441" t="str">
            <v/>
          </cell>
          <cell r="B441" t="str">
            <v>DTD3</v>
          </cell>
          <cell r="C441" t="str">
            <v>X</v>
          </cell>
          <cell r="E441" t="str">
            <v>AB.11513</v>
          </cell>
          <cell r="F441" t="str">
            <v>Đào rãnh tiếp địa đất cấp 3 (ĐC hệ số 0,934)</v>
          </cell>
          <cell r="G441" t="str">
            <v>m3</v>
          </cell>
          <cell r="H441">
            <v>0</v>
          </cell>
          <cell r="I441">
            <v>0</v>
          </cell>
          <cell r="K441">
            <v>258651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S441">
            <v>0</v>
          </cell>
          <cell r="T441">
            <v>0</v>
          </cell>
        </row>
        <row r="442">
          <cell r="A442" t="str">
            <v/>
          </cell>
          <cell r="B442" t="str">
            <v>DATD3</v>
          </cell>
          <cell r="C442" t="str">
            <v>X</v>
          </cell>
          <cell r="E442" t="str">
            <v>AB.13111</v>
          </cell>
          <cell r="F442" t="str">
            <v>Đắp đất rãnh tiếp địa (K=0,85) (ĐC hệ số 0,934)</v>
          </cell>
          <cell r="G442" t="str">
            <v>m3</v>
          </cell>
          <cell r="H442">
            <v>0</v>
          </cell>
          <cell r="I442">
            <v>0</v>
          </cell>
          <cell r="K442">
            <v>107292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S442">
            <v>0</v>
          </cell>
          <cell r="T442">
            <v>0</v>
          </cell>
        </row>
        <row r="443">
          <cell r="A443" t="str">
            <v/>
          </cell>
          <cell r="C443" t="str">
            <v>X</v>
          </cell>
          <cell r="D443">
            <v>0</v>
          </cell>
          <cell r="F443" t="str">
            <v>Tủ điện trạm treo 1 pha</v>
          </cell>
          <cell r="G443" t="str">
            <v>Bộ</v>
          </cell>
          <cell r="H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S443">
            <v>0</v>
          </cell>
          <cell r="T443">
            <v>0</v>
          </cell>
        </row>
        <row r="444">
          <cell r="A444" t="str">
            <v/>
          </cell>
          <cell r="C444" t="str">
            <v>X</v>
          </cell>
          <cell r="F444" t="str">
            <v>Gồm có: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S444">
            <v>0</v>
          </cell>
          <cell r="T444">
            <v>0</v>
          </cell>
        </row>
        <row r="445">
          <cell r="A445" t="str">
            <v/>
          </cell>
          <cell r="B445" t="str">
            <v>TUAP1</v>
          </cell>
          <cell r="C445" t="str">
            <v>X</v>
          </cell>
          <cell r="E445" t="str">
            <v>T5.1001</v>
          </cell>
          <cell r="F445" t="str">
            <v>Tủ trạm treo + khóa + boulon + Bakelit + Collier (1 pha)</v>
          </cell>
          <cell r="G445" t="str">
            <v>cái</v>
          </cell>
          <cell r="H445">
            <v>0</v>
          </cell>
          <cell r="I445">
            <v>3484174</v>
          </cell>
          <cell r="K445">
            <v>838715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S445">
            <v>45</v>
          </cell>
          <cell r="T445">
            <v>0</v>
          </cell>
        </row>
        <row r="446">
          <cell r="C446" t="str">
            <v>X</v>
          </cell>
          <cell r="D446">
            <v>0</v>
          </cell>
          <cell r="F446" t="str">
            <v>Bộ dây dẫn trung thế trạm 1 pha</v>
          </cell>
          <cell r="G446" t="str">
            <v>Bộ</v>
          </cell>
          <cell r="H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S446">
            <v>0</v>
          </cell>
          <cell r="T446">
            <v>0</v>
          </cell>
        </row>
        <row r="447">
          <cell r="C447" t="str">
            <v>X</v>
          </cell>
          <cell r="F447" t="str">
            <v>Gồm có: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S447">
            <v>0</v>
          </cell>
          <cell r="T447">
            <v>0</v>
          </cell>
        </row>
        <row r="448">
          <cell r="B448" t="str">
            <v>CXV25</v>
          </cell>
          <cell r="C448" t="str">
            <v>X</v>
          </cell>
          <cell r="E448">
            <v>0</v>
          </cell>
          <cell r="F448" t="str">
            <v>Cáp 24KV C/XLPE/PVC 25mm2</v>
          </cell>
          <cell r="G448" t="str">
            <v>mét</v>
          </cell>
          <cell r="H448">
            <v>0</v>
          </cell>
          <cell r="I448">
            <v>69890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S448">
            <v>0.75</v>
          </cell>
          <cell r="T448">
            <v>0</v>
          </cell>
        </row>
        <row r="449">
          <cell r="B449" t="str">
            <v>KQ4</v>
          </cell>
          <cell r="C449" t="str">
            <v>X</v>
          </cell>
          <cell r="F449" t="str">
            <v>Kẹp quai 4/0 (quai đồng 8mm)</v>
          </cell>
          <cell r="G449" t="str">
            <v>cái</v>
          </cell>
          <cell r="H449">
            <v>0</v>
          </cell>
          <cell r="I449">
            <v>63000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S449">
            <v>0.3</v>
          </cell>
          <cell r="T449">
            <v>0</v>
          </cell>
        </row>
        <row r="450">
          <cell r="B450" t="str">
            <v>CKQ</v>
          </cell>
          <cell r="C450" t="str">
            <v>X</v>
          </cell>
          <cell r="E450">
            <v>0</v>
          </cell>
          <cell r="F450" t="str">
            <v>Chụp cách điện kẹp quai</v>
          </cell>
          <cell r="G450" t="str">
            <v>cái</v>
          </cell>
          <cell r="H450">
            <v>0</v>
          </cell>
          <cell r="I450">
            <v>122000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S450">
            <v>0.2</v>
          </cell>
          <cell r="T450">
            <v>0</v>
          </cell>
        </row>
        <row r="451">
          <cell r="B451" t="str">
            <v>HL2</v>
          </cell>
          <cell r="C451" t="str">
            <v>X</v>
          </cell>
          <cell r="F451" t="str">
            <v>Kẹp hotline 2/0</v>
          </cell>
          <cell r="G451" t="str">
            <v>cái</v>
          </cell>
          <cell r="H451">
            <v>0</v>
          </cell>
          <cell r="I451">
            <v>68000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S451">
            <v>0.1</v>
          </cell>
          <cell r="T451">
            <v>0</v>
          </cell>
        </row>
        <row r="452">
          <cell r="B452" t="str">
            <v>LCAPDONGTB95</v>
          </cell>
          <cell r="C452" t="str">
            <v>X</v>
          </cell>
          <cell r="E452" t="str">
            <v>T4.4201</v>
          </cell>
          <cell r="F452" t="str">
            <v>Lắp cáp đồng xuống thiết bị D ≤ 95mm2</v>
          </cell>
          <cell r="G452" t="str">
            <v>m</v>
          </cell>
          <cell r="H452">
            <v>0</v>
          </cell>
          <cell r="I452">
            <v>0</v>
          </cell>
          <cell r="K452">
            <v>11847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S452">
            <v>0</v>
          </cell>
          <cell r="T452">
            <v>0</v>
          </cell>
        </row>
        <row r="453">
          <cell r="C453" t="str">
            <v>X</v>
          </cell>
          <cell r="D453">
            <v>0</v>
          </cell>
          <cell r="F453" t="str">
            <v>Bộ dây dẫn hạ thế lộ xuống</v>
          </cell>
          <cell r="G453" t="str">
            <v>Bộ</v>
          </cell>
          <cell r="H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S453">
            <v>0</v>
          </cell>
          <cell r="T453">
            <v>0</v>
          </cell>
        </row>
        <row r="454">
          <cell r="C454" t="str">
            <v>X</v>
          </cell>
          <cell r="F454" t="str">
            <v>Gồm có: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S454">
            <v>0</v>
          </cell>
          <cell r="T454">
            <v>0</v>
          </cell>
        </row>
        <row r="455">
          <cell r="B455" t="str">
            <v>CV150</v>
          </cell>
          <cell r="C455" t="str">
            <v>X</v>
          </cell>
          <cell r="E455">
            <v>0</v>
          </cell>
          <cell r="F455" t="str">
            <v>Cáp đồng bọc CV150</v>
          </cell>
          <cell r="G455" t="str">
            <v>mét</v>
          </cell>
          <cell r="H455">
            <v>0</v>
          </cell>
          <cell r="I455">
            <v>274250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S455">
            <v>1.5980000000000001</v>
          </cell>
          <cell r="T455">
            <v>0</v>
          </cell>
        </row>
        <row r="456">
          <cell r="B456" t="str">
            <v>CV95</v>
          </cell>
          <cell r="C456" t="str">
            <v>X</v>
          </cell>
          <cell r="E456">
            <v>0</v>
          </cell>
          <cell r="F456" t="str">
            <v>Cáp đồng bọc CV95</v>
          </cell>
          <cell r="G456" t="str">
            <v>mét</v>
          </cell>
          <cell r="H456">
            <v>0</v>
          </cell>
          <cell r="I456">
            <v>170620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S456">
            <v>1.008</v>
          </cell>
          <cell r="T456">
            <v>0</v>
          </cell>
        </row>
        <row r="457">
          <cell r="B457" t="str">
            <v>CVV4X4</v>
          </cell>
          <cell r="C457" t="str">
            <v>X</v>
          </cell>
          <cell r="E457">
            <v>0</v>
          </cell>
          <cell r="F457" t="str">
            <v>Cáp điều khiển CVV 4x4,0mm2</v>
          </cell>
          <cell r="G457" t="str">
            <v>mét</v>
          </cell>
          <cell r="H457">
            <v>0</v>
          </cell>
          <cell r="I457">
            <v>56700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S457">
            <v>3.024</v>
          </cell>
          <cell r="T457">
            <v>0</v>
          </cell>
        </row>
        <row r="458">
          <cell r="B458" t="str">
            <v>COS150</v>
          </cell>
          <cell r="C458" t="str">
            <v>X</v>
          </cell>
          <cell r="F458" t="str">
            <v>Đầu cosse ép Cu 150mm2</v>
          </cell>
          <cell r="G458" t="str">
            <v>cái</v>
          </cell>
          <cell r="H458">
            <v>0</v>
          </cell>
          <cell r="I458">
            <v>94500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S458">
            <v>0.2</v>
          </cell>
          <cell r="T458">
            <v>0</v>
          </cell>
        </row>
        <row r="459">
          <cell r="B459" t="str">
            <v>COS95</v>
          </cell>
          <cell r="C459" t="str">
            <v>X</v>
          </cell>
          <cell r="F459" t="str">
            <v>Đầu cosse ép Cu 95mm2</v>
          </cell>
          <cell r="G459" t="str">
            <v>cái</v>
          </cell>
          <cell r="H459">
            <v>0</v>
          </cell>
          <cell r="I459">
            <v>47500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S459">
            <v>0.2</v>
          </cell>
          <cell r="T459">
            <v>0</v>
          </cell>
        </row>
        <row r="460">
          <cell r="B460" t="str">
            <v>CHCOS150</v>
          </cell>
          <cell r="C460" t="str">
            <v>X</v>
          </cell>
          <cell r="E460">
            <v>0</v>
          </cell>
          <cell r="F460" t="str">
            <v>Chụp đầu cosse  150mm2</v>
          </cell>
          <cell r="G460" t="str">
            <v>cái</v>
          </cell>
          <cell r="H460">
            <v>0</v>
          </cell>
          <cell r="I460">
            <v>4600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S460">
            <v>0</v>
          </cell>
          <cell r="T460">
            <v>0</v>
          </cell>
        </row>
        <row r="461">
          <cell r="B461" t="str">
            <v>CHCOS95</v>
          </cell>
          <cell r="C461" t="str">
            <v>X</v>
          </cell>
          <cell r="E461">
            <v>0</v>
          </cell>
          <cell r="F461" t="str">
            <v>Chụp đầu cosse  95mm2</v>
          </cell>
          <cell r="G461" t="str">
            <v>cái</v>
          </cell>
          <cell r="H461">
            <v>0</v>
          </cell>
          <cell r="I461">
            <v>3300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S461">
            <v>0</v>
          </cell>
          <cell r="T461">
            <v>0</v>
          </cell>
        </row>
        <row r="462">
          <cell r="B462" t="str">
            <v>PVC114</v>
          </cell>
          <cell r="C462" t="str">
            <v>X</v>
          </cell>
          <cell r="E462">
            <v>0</v>
          </cell>
          <cell r="F462" t="str">
            <v xml:space="preserve">Ống PVC D114x4,9mm </v>
          </cell>
          <cell r="G462" t="str">
            <v>m</v>
          </cell>
          <cell r="H462">
            <v>0</v>
          </cell>
          <cell r="I462">
            <v>103700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S462">
            <v>2</v>
          </cell>
          <cell r="T462">
            <v>0</v>
          </cell>
        </row>
        <row r="463">
          <cell r="B463" t="str">
            <v>CD114</v>
          </cell>
          <cell r="C463" t="str">
            <v>X</v>
          </cell>
          <cell r="E463">
            <v>0</v>
          </cell>
          <cell r="F463" t="str">
            <v>Cổ dê kẹp ống PVC φ 114 (có giá nới) (CD-230)</v>
          </cell>
          <cell r="G463" t="str">
            <v>bộ</v>
          </cell>
          <cell r="H463">
            <v>0</v>
          </cell>
          <cell r="I463">
            <v>74000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S463">
            <v>1.5</v>
          </cell>
          <cell r="T463">
            <v>0</v>
          </cell>
        </row>
        <row r="464">
          <cell r="B464" t="str">
            <v>CD114</v>
          </cell>
          <cell r="C464" t="str">
            <v>X</v>
          </cell>
          <cell r="E464">
            <v>0</v>
          </cell>
          <cell r="F464" t="str">
            <v>Cổ dê kẹp ống PVC φ 114 (có giá nới) (CD-250)</v>
          </cell>
          <cell r="G464" t="str">
            <v>bộ</v>
          </cell>
          <cell r="H464">
            <v>0</v>
          </cell>
          <cell r="I464">
            <v>74000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S464">
            <v>1.5</v>
          </cell>
          <cell r="T464">
            <v>0</v>
          </cell>
        </row>
        <row r="465">
          <cell r="B465" t="str">
            <v>CD114</v>
          </cell>
          <cell r="C465" t="str">
            <v>X</v>
          </cell>
          <cell r="E465">
            <v>0</v>
          </cell>
          <cell r="F465" t="str">
            <v>Cổ dê kẹp ống PVC φ 114 (có giá nới) (CD-280)</v>
          </cell>
          <cell r="G465" t="str">
            <v>bộ</v>
          </cell>
          <cell r="H465">
            <v>0</v>
          </cell>
          <cell r="I465">
            <v>74000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S465">
            <v>1.5</v>
          </cell>
          <cell r="T465">
            <v>0</v>
          </cell>
        </row>
        <row r="466">
          <cell r="B466" t="str">
            <v>CUT114TD</v>
          </cell>
          <cell r="C466" t="str">
            <v>X</v>
          </cell>
          <cell r="E466">
            <v>0</v>
          </cell>
          <cell r="F466" t="str">
            <v>Co  90 độ PVC 114 (Loại dày)</v>
          </cell>
          <cell r="G466" t="str">
            <v>cái</v>
          </cell>
          <cell r="H466">
            <v>0</v>
          </cell>
          <cell r="I466">
            <v>104800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S466">
            <v>0</v>
          </cell>
          <cell r="T466">
            <v>0</v>
          </cell>
        </row>
        <row r="467">
          <cell r="B467" t="str">
            <v>NG11490</v>
          </cell>
          <cell r="C467" t="str">
            <v>X</v>
          </cell>
          <cell r="E467">
            <v>0</v>
          </cell>
          <cell r="F467" t="str">
            <v>Nối giảm PVC 114-90</v>
          </cell>
          <cell r="G467" t="str">
            <v>cái</v>
          </cell>
          <cell r="I467">
            <v>52800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S467">
            <v>0</v>
          </cell>
          <cell r="T467">
            <v>0</v>
          </cell>
        </row>
        <row r="468">
          <cell r="B468" t="str">
            <v>CUT114135</v>
          </cell>
          <cell r="C468" t="str">
            <v>X</v>
          </cell>
          <cell r="E468">
            <v>0</v>
          </cell>
          <cell r="F468" t="str">
            <v>Co 135 độ PVC 114</v>
          </cell>
          <cell r="G468" t="str">
            <v>cái</v>
          </cell>
          <cell r="H468">
            <v>0</v>
          </cell>
          <cell r="I468">
            <v>70800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S468">
            <v>0</v>
          </cell>
          <cell r="T468">
            <v>0</v>
          </cell>
        </row>
        <row r="469">
          <cell r="B469" t="str">
            <v>KEODAN</v>
          </cell>
          <cell r="C469" t="str">
            <v>X</v>
          </cell>
          <cell r="E469">
            <v>0</v>
          </cell>
          <cell r="F469" t="str">
            <v>Keo dán ống PVC (100gr)</v>
          </cell>
          <cell r="G469" t="str">
            <v>tuýp</v>
          </cell>
          <cell r="H469">
            <v>0</v>
          </cell>
          <cell r="I469">
            <v>11500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S469">
            <v>0</v>
          </cell>
          <cell r="T469">
            <v>0</v>
          </cell>
        </row>
        <row r="470">
          <cell r="B470" t="str">
            <v>KEOBIT</v>
          </cell>
          <cell r="C470" t="str">
            <v>X</v>
          </cell>
          <cell r="E470">
            <v>0</v>
          </cell>
          <cell r="F470" t="str">
            <v>Keo silicon bít miệng ống</v>
          </cell>
          <cell r="G470" t="str">
            <v>ống</v>
          </cell>
          <cell r="I470">
            <v>45000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S470">
            <v>0</v>
          </cell>
          <cell r="T470">
            <v>0</v>
          </cell>
        </row>
        <row r="471">
          <cell r="B471" t="str">
            <v>BANGKEO</v>
          </cell>
          <cell r="C471" t="str">
            <v>X</v>
          </cell>
          <cell r="E471">
            <v>0</v>
          </cell>
          <cell r="F471" t="str">
            <v>Băng keo cách điện (Màu đen)</v>
          </cell>
          <cell r="G471" t="str">
            <v>cuộn</v>
          </cell>
          <cell r="I471">
            <v>6500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S471">
            <v>0</v>
          </cell>
          <cell r="T471">
            <v>0</v>
          </cell>
        </row>
        <row r="472">
          <cell r="B472" t="str">
            <v>BANGKEOV</v>
          </cell>
          <cell r="C472" t="str">
            <v>X</v>
          </cell>
          <cell r="E472">
            <v>0</v>
          </cell>
          <cell r="F472" t="str">
            <v>Băng keo cách điện (Màu vàng)</v>
          </cell>
          <cell r="G472" t="str">
            <v>cuộn</v>
          </cell>
          <cell r="H472">
            <v>0</v>
          </cell>
          <cell r="I472">
            <v>6500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S472">
            <v>0</v>
          </cell>
          <cell r="T472">
            <v>0</v>
          </cell>
        </row>
        <row r="473">
          <cell r="B473" t="str">
            <v>BANGKEOX</v>
          </cell>
          <cell r="C473" t="str">
            <v>X</v>
          </cell>
          <cell r="E473">
            <v>0</v>
          </cell>
          <cell r="F473" t="str">
            <v>Băng keo cách điện (Màu xanh)</v>
          </cell>
          <cell r="G473" t="str">
            <v>cuộn</v>
          </cell>
          <cell r="H473">
            <v>0</v>
          </cell>
          <cell r="I473">
            <v>6500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S473">
            <v>0</v>
          </cell>
          <cell r="T473">
            <v>0</v>
          </cell>
        </row>
        <row r="474">
          <cell r="B474" t="str">
            <v>BANGKEOD</v>
          </cell>
          <cell r="C474" t="str">
            <v>X</v>
          </cell>
          <cell r="E474">
            <v>0</v>
          </cell>
          <cell r="F474" t="str">
            <v>Băng keo cách điện (Màu đỏ)</v>
          </cell>
          <cell r="G474" t="str">
            <v>cuộn</v>
          </cell>
          <cell r="H474">
            <v>0</v>
          </cell>
          <cell r="I474">
            <v>6500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S474">
            <v>0</v>
          </cell>
          <cell r="T474">
            <v>0</v>
          </cell>
        </row>
        <row r="475">
          <cell r="B475" t="str">
            <v>LPVC90CL</v>
          </cell>
          <cell r="C475" t="str">
            <v>X</v>
          </cell>
          <cell r="E475" t="str">
            <v>T4.8003</v>
          </cell>
          <cell r="F475" t="str">
            <v>Lắp ống nhựa PVC D90</v>
          </cell>
          <cell r="G475" t="str">
            <v>mét</v>
          </cell>
          <cell r="H475">
            <v>0</v>
          </cell>
          <cell r="I475">
            <v>0</v>
          </cell>
          <cell r="K475">
            <v>35541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S475">
            <v>0</v>
          </cell>
          <cell r="T475">
            <v>0</v>
          </cell>
        </row>
        <row r="476">
          <cell r="B476" t="str">
            <v>LCAPDONGTB95</v>
          </cell>
          <cell r="C476" t="str">
            <v>X</v>
          </cell>
          <cell r="E476" t="str">
            <v>T4.4201</v>
          </cell>
          <cell r="F476" t="str">
            <v>Lắp cáp đồng xuống thiết bị D ≤ 95mm2</v>
          </cell>
          <cell r="G476" t="str">
            <v>m</v>
          </cell>
          <cell r="H476">
            <v>0</v>
          </cell>
          <cell r="I476">
            <v>0</v>
          </cell>
          <cell r="K476">
            <v>11847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S476">
            <v>0</v>
          </cell>
          <cell r="T476">
            <v>0</v>
          </cell>
        </row>
        <row r="477">
          <cell r="B477" t="str">
            <v>LCAPDONGTB150</v>
          </cell>
          <cell r="C477" t="str">
            <v>X</v>
          </cell>
          <cell r="E477" t="str">
            <v>T4.4202</v>
          </cell>
          <cell r="F477" t="str">
            <v>Lắp cáp đồng xuống thiết bị D ≤ 150mm2</v>
          </cell>
          <cell r="G477" t="str">
            <v>m</v>
          </cell>
          <cell r="H477">
            <v>0</v>
          </cell>
          <cell r="I477">
            <v>0</v>
          </cell>
          <cell r="K477">
            <v>28433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S477">
            <v>0</v>
          </cell>
          <cell r="T477">
            <v>0</v>
          </cell>
        </row>
        <row r="478">
          <cell r="C478" t="str">
            <v>X</v>
          </cell>
          <cell r="D478">
            <v>0</v>
          </cell>
          <cell r="F478" t="str">
            <v>Bộ dây dẫn hạ thế lộ lên</v>
          </cell>
          <cell r="G478" t="str">
            <v>Bộ</v>
          </cell>
          <cell r="H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S478">
            <v>0</v>
          </cell>
          <cell r="T478">
            <v>0</v>
          </cell>
        </row>
        <row r="479">
          <cell r="C479" t="str">
            <v>X</v>
          </cell>
          <cell r="F479" t="str">
            <v>Gồm có: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S479">
            <v>0</v>
          </cell>
          <cell r="T479">
            <v>0</v>
          </cell>
        </row>
        <row r="480">
          <cell r="B480" t="str">
            <v>CV70</v>
          </cell>
          <cell r="C480" t="str">
            <v>X</v>
          </cell>
          <cell r="E480">
            <v>0</v>
          </cell>
          <cell r="F480" t="str">
            <v>Cáp đồng bọc CV70</v>
          </cell>
          <cell r="G480" t="str">
            <v>mét</v>
          </cell>
          <cell r="H480">
            <v>0</v>
          </cell>
          <cell r="I480">
            <v>124570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S480">
            <v>0.73899999999999999</v>
          </cell>
          <cell r="T480">
            <v>0</v>
          </cell>
        </row>
        <row r="481">
          <cell r="B481" t="str">
            <v>CV50</v>
          </cell>
          <cell r="C481" t="str">
            <v>X</v>
          </cell>
          <cell r="E481">
            <v>0</v>
          </cell>
          <cell r="F481" t="str">
            <v>Cáp đồng bọc CV50</v>
          </cell>
          <cell r="G481" t="str">
            <v>mét</v>
          </cell>
          <cell r="H481">
            <v>0</v>
          </cell>
          <cell r="I481">
            <v>90810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S481">
            <v>0.53400000000000003</v>
          </cell>
          <cell r="T481">
            <v>0</v>
          </cell>
        </row>
        <row r="482">
          <cell r="B482" t="str">
            <v>CV70</v>
          </cell>
          <cell r="C482" t="str">
            <v>X</v>
          </cell>
          <cell r="E482">
            <v>0</v>
          </cell>
          <cell r="F482" t="str">
            <v>Cáp đồng bọc CV70 (Bắt CB phân đoạn)</v>
          </cell>
          <cell r="G482" t="str">
            <v>mét</v>
          </cell>
          <cell r="H482">
            <v>0</v>
          </cell>
          <cell r="I482">
            <v>124570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S482">
            <v>0.73899999999999999</v>
          </cell>
          <cell r="T482">
            <v>0</v>
          </cell>
        </row>
        <row r="483">
          <cell r="B483" t="str">
            <v>COS70</v>
          </cell>
          <cell r="C483" t="str">
            <v>X</v>
          </cell>
          <cell r="F483" t="str">
            <v>Đầu cosse ép Cu 70mm2</v>
          </cell>
          <cell r="G483" t="str">
            <v>cái</v>
          </cell>
          <cell r="H483">
            <v>0</v>
          </cell>
          <cell r="I483">
            <v>34500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S483">
            <v>0.2</v>
          </cell>
          <cell r="T483">
            <v>0</v>
          </cell>
        </row>
        <row r="484">
          <cell r="B484" t="str">
            <v>COS50</v>
          </cell>
          <cell r="C484" t="str">
            <v>X</v>
          </cell>
          <cell r="F484" t="str">
            <v>Đầu cosse ép Cu 50mm2</v>
          </cell>
          <cell r="G484" t="str">
            <v>cái</v>
          </cell>
          <cell r="H484">
            <v>0</v>
          </cell>
          <cell r="I484">
            <v>24000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S484">
            <v>0.1</v>
          </cell>
          <cell r="T484">
            <v>0</v>
          </cell>
        </row>
        <row r="485">
          <cell r="B485" t="str">
            <v>CHCOS70</v>
          </cell>
          <cell r="C485" t="str">
            <v>X</v>
          </cell>
          <cell r="E485">
            <v>0</v>
          </cell>
          <cell r="F485" t="str">
            <v>Chụp đầu cosse  70mm2</v>
          </cell>
          <cell r="G485" t="str">
            <v>cái</v>
          </cell>
          <cell r="H485">
            <v>0</v>
          </cell>
          <cell r="I485">
            <v>2300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S485">
            <v>0</v>
          </cell>
          <cell r="T485">
            <v>0</v>
          </cell>
        </row>
        <row r="486">
          <cell r="B486" t="str">
            <v>CHCOS50</v>
          </cell>
          <cell r="C486" t="str">
            <v>X</v>
          </cell>
          <cell r="E486">
            <v>0</v>
          </cell>
          <cell r="F486" t="str">
            <v>Chụp đầu cosse  50mm2</v>
          </cell>
          <cell r="G486" t="str">
            <v>cái</v>
          </cell>
          <cell r="H486">
            <v>0</v>
          </cell>
          <cell r="I486">
            <v>1300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S486">
            <v>0</v>
          </cell>
          <cell r="T486">
            <v>0</v>
          </cell>
        </row>
        <row r="487">
          <cell r="B487" t="str">
            <v>PVC90</v>
          </cell>
          <cell r="C487" t="str">
            <v>X</v>
          </cell>
          <cell r="E487">
            <v>0</v>
          </cell>
          <cell r="F487" t="str">
            <v xml:space="preserve">Ống PVC D90x3,8mm </v>
          </cell>
          <cell r="G487" t="str">
            <v>m</v>
          </cell>
          <cell r="H487">
            <v>0</v>
          </cell>
          <cell r="I487">
            <v>63200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S487">
            <v>2</v>
          </cell>
          <cell r="T487">
            <v>0</v>
          </cell>
        </row>
        <row r="488">
          <cell r="B488" t="str">
            <v>CD90</v>
          </cell>
          <cell r="C488" t="str">
            <v>X</v>
          </cell>
          <cell r="E488">
            <v>0</v>
          </cell>
          <cell r="F488" t="str">
            <v>Cổ dê kẹp ống PVC φ 90 (có giá nới) (CD-230)</v>
          </cell>
          <cell r="G488" t="str">
            <v>bộ</v>
          </cell>
          <cell r="H488">
            <v>0</v>
          </cell>
          <cell r="I488">
            <v>74000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S488">
            <v>1.5</v>
          </cell>
          <cell r="T488">
            <v>0</v>
          </cell>
        </row>
        <row r="489">
          <cell r="B489" t="str">
            <v>CD90</v>
          </cell>
          <cell r="C489" t="str">
            <v>X</v>
          </cell>
          <cell r="E489">
            <v>0</v>
          </cell>
          <cell r="F489" t="str">
            <v>Cổ dê kẹp ống PVC φ 90 (có giá nới) (CD-280)</v>
          </cell>
          <cell r="G489" t="str">
            <v>bộ</v>
          </cell>
          <cell r="H489">
            <v>0</v>
          </cell>
          <cell r="I489">
            <v>74000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S489">
            <v>1.5</v>
          </cell>
          <cell r="T489">
            <v>0</v>
          </cell>
        </row>
        <row r="490">
          <cell r="B490" t="str">
            <v>CD90</v>
          </cell>
          <cell r="C490" t="str">
            <v>X</v>
          </cell>
          <cell r="E490">
            <v>0</v>
          </cell>
          <cell r="F490" t="str">
            <v>Cổ dê kẹp ống PVC φ 90 (có giá nới) (CD-320)</v>
          </cell>
          <cell r="G490" t="str">
            <v>bộ</v>
          </cell>
          <cell r="H490">
            <v>0</v>
          </cell>
          <cell r="I490">
            <v>74000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S490">
            <v>1.5</v>
          </cell>
          <cell r="T490">
            <v>0</v>
          </cell>
        </row>
        <row r="491">
          <cell r="B491" t="str">
            <v>CUT90T</v>
          </cell>
          <cell r="C491" t="str">
            <v>X</v>
          </cell>
          <cell r="E491">
            <v>0</v>
          </cell>
          <cell r="F491" t="str">
            <v>Co  90 độ PVC 90</v>
          </cell>
          <cell r="G491" t="str">
            <v>cái</v>
          </cell>
          <cell r="H491">
            <v>0</v>
          </cell>
          <cell r="I491">
            <v>35200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S491">
            <v>0</v>
          </cell>
          <cell r="T491">
            <v>0</v>
          </cell>
        </row>
        <row r="492">
          <cell r="B492" t="str">
            <v>CUT90TD</v>
          </cell>
          <cell r="C492" t="str">
            <v>X</v>
          </cell>
          <cell r="E492">
            <v>0</v>
          </cell>
          <cell r="F492" t="str">
            <v>Co  90 độ PVC 90 (Loại dày)</v>
          </cell>
          <cell r="G492" t="str">
            <v>cái</v>
          </cell>
          <cell r="H492">
            <v>0</v>
          </cell>
          <cell r="I492">
            <v>45400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S492">
            <v>0</v>
          </cell>
          <cell r="T492">
            <v>0</v>
          </cell>
        </row>
        <row r="493">
          <cell r="B493" t="str">
            <v>CUT90135</v>
          </cell>
          <cell r="C493" t="str">
            <v>X</v>
          </cell>
          <cell r="E493">
            <v>0</v>
          </cell>
          <cell r="F493" t="str">
            <v>Co 135 độ PVC 90</v>
          </cell>
          <cell r="G493" t="str">
            <v>cái</v>
          </cell>
          <cell r="H493">
            <v>0</v>
          </cell>
          <cell r="I493">
            <v>33900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S493">
            <v>0</v>
          </cell>
          <cell r="T493">
            <v>0</v>
          </cell>
        </row>
        <row r="494">
          <cell r="B494" t="str">
            <v>KVRT90</v>
          </cell>
          <cell r="C494" t="str">
            <v>X</v>
          </cell>
          <cell r="E494">
            <v>0</v>
          </cell>
          <cell r="F494" t="str">
            <v>Khâu ven răng trong D90</v>
          </cell>
          <cell r="G494" t="str">
            <v>cái</v>
          </cell>
          <cell r="H494">
            <v>0</v>
          </cell>
          <cell r="I494">
            <v>25800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S494">
            <v>0</v>
          </cell>
          <cell r="T494">
            <v>0</v>
          </cell>
        </row>
        <row r="495">
          <cell r="B495" t="str">
            <v>KVRN90</v>
          </cell>
          <cell r="C495" t="str">
            <v>X</v>
          </cell>
          <cell r="E495">
            <v>0</v>
          </cell>
          <cell r="F495" t="str">
            <v>Khâu ven răng ngoài D90</v>
          </cell>
          <cell r="G495" t="str">
            <v>cái</v>
          </cell>
          <cell r="H495">
            <v>0</v>
          </cell>
          <cell r="I495">
            <v>21500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S495">
            <v>0</v>
          </cell>
          <cell r="T495">
            <v>0</v>
          </cell>
        </row>
        <row r="496">
          <cell r="B496" t="str">
            <v>KEODAN</v>
          </cell>
          <cell r="C496" t="str">
            <v>X</v>
          </cell>
          <cell r="E496">
            <v>0</v>
          </cell>
          <cell r="F496" t="str">
            <v>Keo dán ống PVC (100gr)</v>
          </cell>
          <cell r="G496" t="str">
            <v>tuýp</v>
          </cell>
          <cell r="H496">
            <v>0</v>
          </cell>
          <cell r="I496">
            <v>11500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S496">
            <v>0</v>
          </cell>
          <cell r="T496">
            <v>0</v>
          </cell>
        </row>
        <row r="497">
          <cell r="B497" t="str">
            <v>KEOBIT</v>
          </cell>
          <cell r="C497" t="str">
            <v>X</v>
          </cell>
          <cell r="E497">
            <v>0</v>
          </cell>
          <cell r="F497" t="str">
            <v>Keo silicon bít miệng ống</v>
          </cell>
          <cell r="G497" t="str">
            <v>ống</v>
          </cell>
          <cell r="I497">
            <v>45000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S497">
            <v>0</v>
          </cell>
          <cell r="T497">
            <v>0</v>
          </cell>
        </row>
        <row r="498">
          <cell r="B498" t="str">
            <v>BANGKEOV</v>
          </cell>
          <cell r="C498" t="str">
            <v>X</v>
          </cell>
          <cell r="E498">
            <v>0</v>
          </cell>
          <cell r="F498" t="str">
            <v>Băng keo cách điện (Màu vàng)</v>
          </cell>
          <cell r="G498" t="str">
            <v>cuộn</v>
          </cell>
          <cell r="H498">
            <v>0</v>
          </cell>
          <cell r="I498">
            <v>6500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S498">
            <v>0</v>
          </cell>
          <cell r="T498">
            <v>0</v>
          </cell>
        </row>
        <row r="499">
          <cell r="B499" t="str">
            <v>BANGKEOX</v>
          </cell>
          <cell r="C499" t="str">
            <v>X</v>
          </cell>
          <cell r="E499">
            <v>0</v>
          </cell>
          <cell r="F499" t="str">
            <v>Băng keo cách điện (Màu xanh)</v>
          </cell>
          <cell r="G499" t="str">
            <v>cuộn</v>
          </cell>
          <cell r="H499">
            <v>0</v>
          </cell>
          <cell r="I499">
            <v>6500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S499">
            <v>0</v>
          </cell>
          <cell r="T499">
            <v>0</v>
          </cell>
        </row>
        <row r="500">
          <cell r="B500" t="str">
            <v>BANGKEOD</v>
          </cell>
          <cell r="C500" t="str">
            <v>X</v>
          </cell>
          <cell r="E500">
            <v>0</v>
          </cell>
          <cell r="F500" t="str">
            <v>Băng keo cách điện (Màu đỏ)</v>
          </cell>
          <cell r="G500" t="str">
            <v>cuộn</v>
          </cell>
          <cell r="H500">
            <v>0</v>
          </cell>
          <cell r="I500">
            <v>6500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S500">
            <v>0</v>
          </cell>
          <cell r="T500">
            <v>0</v>
          </cell>
        </row>
        <row r="501">
          <cell r="B501" t="str">
            <v>LPVC90CL</v>
          </cell>
          <cell r="C501" t="str">
            <v>X</v>
          </cell>
          <cell r="E501" t="str">
            <v>T4.8003</v>
          </cell>
          <cell r="F501" t="str">
            <v>Lắp ống nhựa PVC D90</v>
          </cell>
          <cell r="G501" t="str">
            <v>mét</v>
          </cell>
          <cell r="H501">
            <v>0</v>
          </cell>
          <cell r="I501">
            <v>0</v>
          </cell>
          <cell r="K501">
            <v>35541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S501">
            <v>0</v>
          </cell>
          <cell r="T501">
            <v>0</v>
          </cell>
        </row>
        <row r="502">
          <cell r="B502" t="str">
            <v>LCAPDONGTB95</v>
          </cell>
          <cell r="C502" t="str">
            <v>X</v>
          </cell>
          <cell r="E502" t="str">
            <v>T4.4201</v>
          </cell>
          <cell r="F502" t="str">
            <v>Lắp cáp đồng xuống thiết bị D ≤ 95mm2</v>
          </cell>
          <cell r="G502" t="str">
            <v>m</v>
          </cell>
          <cell r="H502">
            <v>0</v>
          </cell>
          <cell r="I502">
            <v>0</v>
          </cell>
          <cell r="K502">
            <v>11847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S502">
            <v>0</v>
          </cell>
          <cell r="T502">
            <v>0</v>
          </cell>
        </row>
        <row r="503">
          <cell r="C503" t="str">
            <v>X</v>
          </cell>
          <cell r="D503">
            <v>1</v>
          </cell>
          <cell r="F503" t="str">
            <v>Phụ kiện dừng dây hạ thế vào trạm</v>
          </cell>
          <cell r="G503" t="str">
            <v>Bộ</v>
          </cell>
          <cell r="H503">
            <v>1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S503">
            <v>0</v>
          </cell>
          <cell r="T503">
            <v>0</v>
          </cell>
        </row>
        <row r="504">
          <cell r="C504" t="str">
            <v>X</v>
          </cell>
          <cell r="F504" t="str">
            <v>Lưới hạ thế sau TBA Suối Lức 1A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S504">
            <v>0</v>
          </cell>
          <cell r="T504">
            <v>0</v>
          </cell>
        </row>
        <row r="505">
          <cell r="B505" t="str">
            <v>AC50</v>
          </cell>
          <cell r="C505" t="str">
            <v>X</v>
          </cell>
          <cell r="E505">
            <v>0</v>
          </cell>
          <cell r="F505" t="str">
            <v>Cáp nhôm lõi thép AC-50/8</v>
          </cell>
          <cell r="G505" t="str">
            <v>kg</v>
          </cell>
          <cell r="I505">
            <v>54400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S505">
            <v>1</v>
          </cell>
          <cell r="T505">
            <v>0</v>
          </cell>
        </row>
        <row r="506">
          <cell r="B506" t="str">
            <v>AV70</v>
          </cell>
          <cell r="C506" t="str">
            <v>X</v>
          </cell>
          <cell r="E506">
            <v>0</v>
          </cell>
          <cell r="F506" t="str">
            <v>Cáp nhôm bọc AV70</v>
          </cell>
          <cell r="G506" t="str">
            <v>mét</v>
          </cell>
          <cell r="I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S506">
            <v>0.308</v>
          </cell>
          <cell r="T506">
            <v>0</v>
          </cell>
        </row>
        <row r="507">
          <cell r="B507" t="str">
            <v>R3</v>
          </cell>
          <cell r="C507" t="str">
            <v>X</v>
          </cell>
          <cell r="E507">
            <v>0</v>
          </cell>
          <cell r="F507" t="str">
            <v>Rack 3 sứ</v>
          </cell>
          <cell r="G507" t="str">
            <v>cái</v>
          </cell>
          <cell r="I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S507">
            <v>3.5</v>
          </cell>
          <cell r="T507">
            <v>0</v>
          </cell>
        </row>
        <row r="508">
          <cell r="B508" t="str">
            <v>SOC</v>
          </cell>
          <cell r="C508" t="str">
            <v>X</v>
          </cell>
          <cell r="E508">
            <v>0</v>
          </cell>
          <cell r="F508" t="str">
            <v xml:space="preserve">Sứ ống chỉ </v>
          </cell>
          <cell r="G508" t="str">
            <v>cái</v>
          </cell>
          <cell r="I508">
            <v>16000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S508">
            <v>0.2</v>
          </cell>
          <cell r="T508">
            <v>0</v>
          </cell>
        </row>
        <row r="509">
          <cell r="B509" t="str">
            <v>B16350</v>
          </cell>
          <cell r="C509" t="str">
            <v>X</v>
          </cell>
          <cell r="E509">
            <v>0</v>
          </cell>
          <cell r="F509" t="str">
            <v>Boulon 16x350+ 2 long đền vuông D18-50x50x3/Zn</v>
          </cell>
          <cell r="G509" t="str">
            <v>bộ</v>
          </cell>
          <cell r="I509">
            <v>32500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S509">
            <v>0.3</v>
          </cell>
          <cell r="T509">
            <v>0</v>
          </cell>
        </row>
        <row r="510">
          <cell r="B510" t="str">
            <v>KU70</v>
          </cell>
          <cell r="C510" t="str">
            <v>X</v>
          </cell>
          <cell r="E510">
            <v>0</v>
          </cell>
          <cell r="F510" t="str">
            <v>Kẹp Ubolt cỡ dây 70</v>
          </cell>
          <cell r="G510" t="str">
            <v>cái</v>
          </cell>
          <cell r="I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S510">
            <v>0.7</v>
          </cell>
          <cell r="T510">
            <v>0</v>
          </cell>
        </row>
        <row r="511">
          <cell r="B511" t="str">
            <v>ON70</v>
          </cell>
          <cell r="C511" t="str">
            <v>X</v>
          </cell>
          <cell r="F511" t="str">
            <v>Ống nối dây AC cỡ 70mm2 (Không lõi thép)</v>
          </cell>
          <cell r="G511" t="str">
            <v>cái</v>
          </cell>
          <cell r="I511">
            <v>40000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S511">
            <v>2</v>
          </cell>
          <cell r="T511">
            <v>0</v>
          </cell>
        </row>
        <row r="512">
          <cell r="B512" t="str">
            <v>OBCD</v>
          </cell>
          <cell r="C512" t="str">
            <v>X</v>
          </cell>
          <cell r="E512">
            <v>0</v>
          </cell>
          <cell r="F512" t="str">
            <v>Ống bọc cách điện D30</v>
          </cell>
          <cell r="G512" t="str">
            <v>mét</v>
          </cell>
          <cell r="I512">
            <v>95000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S512">
            <v>0</v>
          </cell>
          <cell r="T512">
            <v>0</v>
          </cell>
        </row>
        <row r="513">
          <cell r="B513" t="str">
            <v>ABC3X70</v>
          </cell>
          <cell r="C513" t="str">
            <v>X</v>
          </cell>
          <cell r="E513">
            <v>0</v>
          </cell>
          <cell r="F513" t="str">
            <v>Cáp nhôm ABC 3x70mm2</v>
          </cell>
          <cell r="G513" t="str">
            <v>mét</v>
          </cell>
          <cell r="I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S513">
            <v>0</v>
          </cell>
          <cell r="T513">
            <v>0</v>
          </cell>
        </row>
        <row r="514">
          <cell r="B514" t="str">
            <v>KT70</v>
          </cell>
          <cell r="C514" t="str">
            <v>X</v>
          </cell>
          <cell r="E514">
            <v>0</v>
          </cell>
          <cell r="F514" t="str">
            <v>Kẹp treo cáp ABC4x70mm2</v>
          </cell>
          <cell r="G514" t="str">
            <v>cái</v>
          </cell>
          <cell r="I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S514">
            <v>0.4</v>
          </cell>
          <cell r="T514">
            <v>0</v>
          </cell>
        </row>
        <row r="515">
          <cell r="B515" t="str">
            <v>KNGUNG70</v>
          </cell>
          <cell r="C515" t="str">
            <v>X</v>
          </cell>
          <cell r="F515" t="str">
            <v>Kẹp ngừng cáp ABC4x70mm2</v>
          </cell>
          <cell r="G515" t="str">
            <v>cái</v>
          </cell>
          <cell r="I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S515">
            <v>0</v>
          </cell>
          <cell r="T515">
            <v>0</v>
          </cell>
        </row>
        <row r="516">
          <cell r="B516" t="str">
            <v>BMOC16250</v>
          </cell>
          <cell r="C516" t="str">
            <v>X</v>
          </cell>
          <cell r="E516">
            <v>0</v>
          </cell>
          <cell r="F516" t="str">
            <v>Boulon móc 16x250+ long đền vuông D18-50x50x3/Zn</v>
          </cell>
          <cell r="G516" t="str">
            <v>bộ</v>
          </cell>
          <cell r="I516">
            <v>34500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S516">
            <v>0.25</v>
          </cell>
          <cell r="T516">
            <v>0</v>
          </cell>
        </row>
        <row r="517">
          <cell r="B517" t="str">
            <v>ON70</v>
          </cell>
          <cell r="C517" t="str">
            <v>X</v>
          </cell>
          <cell r="F517" t="str">
            <v>Ống nối dây AC cỡ 70mm2 (Không lõi thép)</v>
          </cell>
          <cell r="G517" t="str">
            <v>cái</v>
          </cell>
          <cell r="I517">
            <v>40000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S517">
            <v>2</v>
          </cell>
          <cell r="T517">
            <v>0</v>
          </cell>
        </row>
        <row r="518">
          <cell r="B518" t="str">
            <v>KDAABC703</v>
          </cell>
          <cell r="C518" t="str">
            <v>X</v>
          </cell>
          <cell r="E518" t="str">
            <v>D3.6305</v>
          </cell>
          <cell r="F518" t="str">
            <v>Kéo dây ABC 3x70mm2</v>
          </cell>
          <cell r="G518" t="str">
            <v>km</v>
          </cell>
          <cell r="I518">
            <v>0</v>
          </cell>
          <cell r="K518">
            <v>5669382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S518">
            <v>0</v>
          </cell>
          <cell r="T518">
            <v>0</v>
          </cell>
        </row>
        <row r="519">
          <cell r="C519" t="str">
            <v>X</v>
          </cell>
          <cell r="F519" t="str">
            <v>Lưới hạ thế sau TBA Tân Hạnh 9A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S519">
            <v>0</v>
          </cell>
          <cell r="T519">
            <v>0</v>
          </cell>
        </row>
        <row r="520">
          <cell r="B520" t="str">
            <v>KNGUNG70</v>
          </cell>
          <cell r="C520" t="str">
            <v>X</v>
          </cell>
          <cell r="E520">
            <v>0</v>
          </cell>
          <cell r="F520" t="str">
            <v>Kẹp ngừng cáp ABC4x70mm2</v>
          </cell>
          <cell r="G520" t="str">
            <v>cái</v>
          </cell>
          <cell r="I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S520">
            <v>0</v>
          </cell>
          <cell r="T520">
            <v>0</v>
          </cell>
        </row>
        <row r="521">
          <cell r="B521" t="str">
            <v>BMOC16300</v>
          </cell>
          <cell r="C521" t="str">
            <v>X</v>
          </cell>
          <cell r="E521">
            <v>0</v>
          </cell>
          <cell r="F521" t="str">
            <v>Boulon móc 16x300+ long đền vuông D18-50x50x3/Zn</v>
          </cell>
          <cell r="G521" t="str">
            <v>bộ</v>
          </cell>
          <cell r="I521">
            <v>41500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S521">
            <v>0.3</v>
          </cell>
          <cell r="T521">
            <v>0</v>
          </cell>
        </row>
        <row r="522">
          <cell r="B522" t="str">
            <v>ON70</v>
          </cell>
          <cell r="C522" t="str">
            <v>X</v>
          </cell>
          <cell r="F522" t="str">
            <v>Ống nối dây AC cỡ 70mm2 (Không lõi thép)</v>
          </cell>
          <cell r="G522" t="str">
            <v>cái</v>
          </cell>
          <cell r="I522">
            <v>40000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S522">
            <v>2</v>
          </cell>
          <cell r="T522">
            <v>0</v>
          </cell>
        </row>
        <row r="523">
          <cell r="B523" t="str">
            <v>OBCD</v>
          </cell>
          <cell r="C523" t="str">
            <v>X</v>
          </cell>
          <cell r="E523">
            <v>0</v>
          </cell>
          <cell r="F523" t="str">
            <v>Ống bọc cách điện D30</v>
          </cell>
          <cell r="G523" t="str">
            <v>mét</v>
          </cell>
          <cell r="I523">
            <v>95000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S523">
            <v>0</v>
          </cell>
          <cell r="T523">
            <v>0</v>
          </cell>
        </row>
        <row r="524">
          <cell r="C524" t="str">
            <v>X</v>
          </cell>
          <cell r="F524" t="str">
            <v>Lưới hạ thế sau TBA Bù Ron 3A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S524">
            <v>0</v>
          </cell>
          <cell r="T524">
            <v>0</v>
          </cell>
        </row>
        <row r="525">
          <cell r="B525" t="str">
            <v>KNGUNG95</v>
          </cell>
          <cell r="C525" t="str">
            <v>X</v>
          </cell>
          <cell r="E525">
            <v>0</v>
          </cell>
          <cell r="F525" t="str">
            <v>Kẹp ngừng cáp ABC4x95mm2</v>
          </cell>
          <cell r="G525" t="str">
            <v>cái</v>
          </cell>
          <cell r="I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S525">
            <v>0</v>
          </cell>
          <cell r="T525">
            <v>0</v>
          </cell>
        </row>
        <row r="526">
          <cell r="B526" t="str">
            <v>BMOC16300</v>
          </cell>
          <cell r="C526" t="str">
            <v>X</v>
          </cell>
          <cell r="E526">
            <v>0</v>
          </cell>
          <cell r="F526" t="str">
            <v>Boulon móc 16x300+ long đền vuông D18-50x50x3/Zn</v>
          </cell>
          <cell r="G526" t="str">
            <v>bộ</v>
          </cell>
          <cell r="I526">
            <v>41500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S526">
            <v>0.3</v>
          </cell>
          <cell r="T526">
            <v>0</v>
          </cell>
        </row>
        <row r="527">
          <cell r="B527" t="str">
            <v>ON95</v>
          </cell>
          <cell r="C527" t="str">
            <v>X</v>
          </cell>
          <cell r="F527" t="str">
            <v>Ống nối dây AC cỡ 95mm2 (Không lõi thép)</v>
          </cell>
          <cell r="G527" t="str">
            <v>cái</v>
          </cell>
          <cell r="I527">
            <v>47500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S527">
            <v>2.5</v>
          </cell>
          <cell r="T527">
            <v>0</v>
          </cell>
        </row>
        <row r="528">
          <cell r="B528" t="str">
            <v>OBCD</v>
          </cell>
          <cell r="C528" t="str">
            <v>X</v>
          </cell>
          <cell r="E528">
            <v>0</v>
          </cell>
          <cell r="F528" t="str">
            <v>Ống bọc cách điện D30</v>
          </cell>
          <cell r="G528" t="str">
            <v>mét</v>
          </cell>
          <cell r="I528">
            <v>95000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S528">
            <v>0</v>
          </cell>
          <cell r="T528">
            <v>0</v>
          </cell>
        </row>
        <row r="529">
          <cell r="C529" t="str">
            <v>X</v>
          </cell>
          <cell r="F529" t="str">
            <v>Lưới hạ thế sau TBA Lò Than 6A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S529">
            <v>0</v>
          </cell>
          <cell r="T529">
            <v>0</v>
          </cell>
        </row>
        <row r="530">
          <cell r="B530" t="str">
            <v>KNGUNG95</v>
          </cell>
          <cell r="C530" t="str">
            <v>X</v>
          </cell>
          <cell r="E530">
            <v>0</v>
          </cell>
          <cell r="F530" t="str">
            <v>Kẹp ngừng cáp ABC4x95mm2</v>
          </cell>
          <cell r="G530" t="str">
            <v>cái</v>
          </cell>
          <cell r="I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S530">
            <v>0</v>
          </cell>
          <cell r="T530">
            <v>0</v>
          </cell>
        </row>
        <row r="531">
          <cell r="B531" t="str">
            <v>BMOC16300</v>
          </cell>
          <cell r="C531" t="str">
            <v>X</v>
          </cell>
          <cell r="E531">
            <v>0</v>
          </cell>
          <cell r="F531" t="str">
            <v>Boulon móc 16x300+ long đền vuông D18-50x50x3/Zn</v>
          </cell>
          <cell r="G531" t="str">
            <v>bộ</v>
          </cell>
          <cell r="I531">
            <v>41500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 t="str">
            <v>SDL 2 CÁI</v>
          </cell>
          <cell r="S531">
            <v>0.3</v>
          </cell>
          <cell r="T531">
            <v>0</v>
          </cell>
        </row>
        <row r="532">
          <cell r="B532" t="str">
            <v>ON95</v>
          </cell>
          <cell r="C532" t="str">
            <v>X</v>
          </cell>
          <cell r="F532" t="str">
            <v>Ống nối dây AC cỡ 95mm2 (Không lõi thép)</v>
          </cell>
          <cell r="G532" t="str">
            <v>cái</v>
          </cell>
          <cell r="I532">
            <v>47500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S532">
            <v>2.5</v>
          </cell>
          <cell r="T532">
            <v>0</v>
          </cell>
        </row>
        <row r="533">
          <cell r="B533" t="str">
            <v>OBCD</v>
          </cell>
          <cell r="C533" t="str">
            <v>X</v>
          </cell>
          <cell r="E533">
            <v>0</v>
          </cell>
          <cell r="F533" t="str">
            <v>Ống bọc cách điện D30</v>
          </cell>
          <cell r="G533" t="str">
            <v>mét</v>
          </cell>
          <cell r="I533">
            <v>95000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S533">
            <v>0</v>
          </cell>
          <cell r="T533">
            <v>0</v>
          </cell>
        </row>
        <row r="534">
          <cell r="C534" t="str">
            <v>X</v>
          </cell>
          <cell r="F534" t="str">
            <v>Lưới hạ thế sau TBA Thừa Đức 8A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S534">
            <v>0</v>
          </cell>
          <cell r="T534">
            <v>0</v>
          </cell>
        </row>
        <row r="535">
          <cell r="B535" t="str">
            <v>KNGUNG70</v>
          </cell>
          <cell r="C535" t="str">
            <v>X</v>
          </cell>
          <cell r="E535">
            <v>0</v>
          </cell>
          <cell r="F535" t="str">
            <v>Kẹp ngừng cáp ABC4x70mm2</v>
          </cell>
          <cell r="G535" t="str">
            <v>cái</v>
          </cell>
          <cell r="I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S535">
            <v>0</v>
          </cell>
          <cell r="T535">
            <v>0</v>
          </cell>
        </row>
        <row r="536">
          <cell r="B536" t="str">
            <v>BMOC16300</v>
          </cell>
          <cell r="C536" t="str">
            <v>X</v>
          </cell>
          <cell r="E536">
            <v>0</v>
          </cell>
          <cell r="F536" t="str">
            <v>Boulon móc 16x300+ long đền vuông D18-50x50x3/Zn</v>
          </cell>
          <cell r="G536" t="str">
            <v>bộ</v>
          </cell>
          <cell r="I536">
            <v>41500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S536">
            <v>0.3</v>
          </cell>
          <cell r="T536">
            <v>0</v>
          </cell>
        </row>
        <row r="537">
          <cell r="B537" t="str">
            <v>ON70</v>
          </cell>
          <cell r="C537" t="str">
            <v>X</v>
          </cell>
          <cell r="F537" t="str">
            <v>Ống nối dây AC cỡ 70mm2 (Không lõi thép)</v>
          </cell>
          <cell r="G537" t="str">
            <v>cái</v>
          </cell>
          <cell r="I537">
            <v>40000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S537">
            <v>2</v>
          </cell>
          <cell r="T537">
            <v>0</v>
          </cell>
        </row>
        <row r="538">
          <cell r="B538" t="str">
            <v>OBCD</v>
          </cell>
          <cell r="C538" t="str">
            <v>X</v>
          </cell>
          <cell r="E538">
            <v>0</v>
          </cell>
          <cell r="F538" t="str">
            <v>Ống bọc cách điện D30</v>
          </cell>
          <cell r="G538" t="str">
            <v>mét</v>
          </cell>
          <cell r="I538">
            <v>95000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S538">
            <v>0</v>
          </cell>
          <cell r="T538">
            <v>0</v>
          </cell>
        </row>
        <row r="539">
          <cell r="C539" t="str">
            <v>X</v>
          </cell>
          <cell r="F539" t="str">
            <v>Lưới hạ thế sau TBA Thừa Đức 10A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S539">
            <v>0</v>
          </cell>
          <cell r="T539">
            <v>0</v>
          </cell>
        </row>
        <row r="540">
          <cell r="B540" t="str">
            <v>KNGUNG70</v>
          </cell>
          <cell r="C540" t="str">
            <v>X</v>
          </cell>
          <cell r="E540">
            <v>0</v>
          </cell>
          <cell r="F540" t="str">
            <v>Kẹp ngừng cáp ABC4x70mm2</v>
          </cell>
          <cell r="G540" t="str">
            <v>cái</v>
          </cell>
          <cell r="I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S540">
            <v>0</v>
          </cell>
          <cell r="T540">
            <v>0</v>
          </cell>
        </row>
        <row r="541">
          <cell r="B541" t="str">
            <v>BMOC16300</v>
          </cell>
          <cell r="C541" t="str">
            <v>X</v>
          </cell>
          <cell r="E541">
            <v>0</v>
          </cell>
          <cell r="F541" t="str">
            <v>Boulon móc 16x300+ long đền vuông D18-50x50x3/Zn</v>
          </cell>
          <cell r="G541" t="str">
            <v>bộ</v>
          </cell>
          <cell r="I541">
            <v>41500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S541">
            <v>0.3</v>
          </cell>
          <cell r="T541">
            <v>0</v>
          </cell>
        </row>
        <row r="542">
          <cell r="B542" t="str">
            <v>ON70</v>
          </cell>
          <cell r="C542" t="str">
            <v>X</v>
          </cell>
          <cell r="F542" t="str">
            <v>Ống nối dây AC cỡ 70mm2 (Không lõi thép)</v>
          </cell>
          <cell r="G542" t="str">
            <v>cái</v>
          </cell>
          <cell r="I542">
            <v>40000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S542">
            <v>2</v>
          </cell>
          <cell r="T542">
            <v>0</v>
          </cell>
        </row>
        <row r="543">
          <cell r="B543" t="str">
            <v>OBCD</v>
          </cell>
          <cell r="C543" t="str">
            <v>X</v>
          </cell>
          <cell r="E543">
            <v>0</v>
          </cell>
          <cell r="F543" t="str">
            <v>Ống bọc cách điện D30</v>
          </cell>
          <cell r="G543" t="str">
            <v>mét</v>
          </cell>
          <cell r="I543">
            <v>95000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S543">
            <v>0</v>
          </cell>
          <cell r="T543">
            <v>0</v>
          </cell>
        </row>
        <row r="544">
          <cell r="C544" t="str">
            <v>X</v>
          </cell>
          <cell r="F544" t="str">
            <v>Lưới hạ thế sau TBA Thừa Đức 12A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S544">
            <v>0</v>
          </cell>
          <cell r="T544">
            <v>0</v>
          </cell>
        </row>
        <row r="545">
          <cell r="B545" t="str">
            <v>KNGUNG70</v>
          </cell>
          <cell r="C545" t="str">
            <v>X</v>
          </cell>
          <cell r="E545">
            <v>0</v>
          </cell>
          <cell r="F545" t="str">
            <v>Kẹp ngừng cáp ABC4x70mm2</v>
          </cell>
          <cell r="G545" t="str">
            <v>cái</v>
          </cell>
          <cell r="I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S545">
            <v>0</v>
          </cell>
          <cell r="T545">
            <v>0</v>
          </cell>
        </row>
        <row r="546">
          <cell r="B546" t="str">
            <v>BMOC16300</v>
          </cell>
          <cell r="C546" t="str">
            <v>X</v>
          </cell>
          <cell r="E546">
            <v>0</v>
          </cell>
          <cell r="F546" t="str">
            <v>Boulon móc 16x300+ long đền vuông D18-50x50x3/Zn</v>
          </cell>
          <cell r="G546" t="str">
            <v>bộ</v>
          </cell>
          <cell r="I546">
            <v>41500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S546">
            <v>0.3</v>
          </cell>
          <cell r="T546">
            <v>0</v>
          </cell>
        </row>
        <row r="547">
          <cell r="B547" t="str">
            <v>ON70</v>
          </cell>
          <cell r="C547" t="str">
            <v>X</v>
          </cell>
          <cell r="F547" t="str">
            <v>Ống nối dây AC cỡ 70mm2 (Không lõi thép)</v>
          </cell>
          <cell r="G547" t="str">
            <v>cái</v>
          </cell>
          <cell r="I547">
            <v>40000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S547">
            <v>2</v>
          </cell>
          <cell r="T547">
            <v>0</v>
          </cell>
        </row>
        <row r="548">
          <cell r="B548" t="str">
            <v>OBCD</v>
          </cell>
          <cell r="C548" t="str">
            <v>X</v>
          </cell>
          <cell r="E548">
            <v>0</v>
          </cell>
          <cell r="F548" t="str">
            <v>Ống bọc cách điện D30</v>
          </cell>
          <cell r="G548" t="str">
            <v>mét</v>
          </cell>
          <cell r="I548">
            <v>95000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S548">
            <v>0</v>
          </cell>
          <cell r="T548">
            <v>0</v>
          </cell>
        </row>
        <row r="549">
          <cell r="B549" t="str">
            <v>BANG</v>
          </cell>
          <cell r="C549" t="str">
            <v>X</v>
          </cell>
          <cell r="D549">
            <v>1</v>
          </cell>
          <cell r="E549">
            <v>0</v>
          </cell>
          <cell r="F549" t="str">
            <v>Bảng tên trạm + bulon</v>
          </cell>
          <cell r="G549" t="str">
            <v>bộ</v>
          </cell>
          <cell r="H549">
            <v>0</v>
          </cell>
          <cell r="I549">
            <v>100000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S549">
            <v>0</v>
          </cell>
          <cell r="T549">
            <v>0</v>
          </cell>
        </row>
        <row r="550">
          <cell r="A550" t="str">
            <v>TR75</v>
          </cell>
          <cell r="C550">
            <v>1</v>
          </cell>
          <cell r="D550" t="str">
            <v>I</v>
          </cell>
          <cell r="E550" t="str">
            <v>8 Trạm 1 pha 1x75kVA (Tân Xuân 6A; Sông Nhạn 11A; Sông Nhạn 12A; Sông Nhạn 18A; Suối Râm 1A; Tân Hạnh 9C; EC 1B, Tân Hạnh 9B (tách))</v>
          </cell>
          <cell r="S550">
            <v>0</v>
          </cell>
          <cell r="T550">
            <v>0</v>
          </cell>
        </row>
        <row r="551">
          <cell r="A551" t="str">
            <v>TBTR75</v>
          </cell>
          <cell r="C551">
            <v>1</v>
          </cell>
          <cell r="F551" t="str">
            <v>A.PHẦN THIẾT BỊ</v>
          </cell>
          <cell r="M551">
            <v>476320000</v>
          </cell>
          <cell r="N551">
            <v>0</v>
          </cell>
          <cell r="O551">
            <v>15342554</v>
          </cell>
          <cell r="P551">
            <v>2524235</v>
          </cell>
          <cell r="S551">
            <v>0</v>
          </cell>
          <cell r="T551">
            <v>3261.4</v>
          </cell>
        </row>
        <row r="552">
          <cell r="A552" t="str">
            <v/>
          </cell>
          <cell r="B552" t="str">
            <v>TR751</v>
          </cell>
          <cell r="C552">
            <v>1</v>
          </cell>
          <cell r="E552" t="str">
            <v>T1.1433</v>
          </cell>
          <cell r="F552" t="str">
            <v>Máy biến áp AMORPHOUS 12,7/0,22-0,44kV 75kVA</v>
          </cell>
          <cell r="G552" t="str">
            <v>máy</v>
          </cell>
          <cell r="H552">
            <v>7</v>
          </cell>
          <cell r="I552">
            <v>58180000</v>
          </cell>
          <cell r="K552">
            <v>993554</v>
          </cell>
          <cell r="L552">
            <v>360605</v>
          </cell>
          <cell r="M552">
            <v>407260000</v>
          </cell>
          <cell r="N552">
            <v>0</v>
          </cell>
          <cell r="O552">
            <v>6954878</v>
          </cell>
          <cell r="P552">
            <v>2524235</v>
          </cell>
          <cell r="S552">
            <v>455</v>
          </cell>
          <cell r="T552">
            <v>3185</v>
          </cell>
        </row>
        <row r="553">
          <cell r="A553" t="str">
            <v/>
          </cell>
          <cell r="B553" t="str">
            <v>FCO100</v>
          </cell>
          <cell r="C553">
            <v>1</v>
          </cell>
          <cell r="E553" t="str">
            <v>T2.3505</v>
          </cell>
          <cell r="F553" t="str">
            <v>FCO 27kV - 100A</v>
          </cell>
          <cell r="G553" t="str">
            <v>cái</v>
          </cell>
          <cell r="H553">
            <v>8</v>
          </cell>
          <cell r="I553">
            <v>1020000</v>
          </cell>
          <cell r="K553">
            <v>189552</v>
          </cell>
          <cell r="L553">
            <v>0</v>
          </cell>
          <cell r="M553">
            <v>8160000</v>
          </cell>
          <cell r="N553">
            <v>0</v>
          </cell>
          <cell r="O553">
            <v>1516416</v>
          </cell>
          <cell r="P553">
            <v>0</v>
          </cell>
          <cell r="S553">
            <v>1.5</v>
          </cell>
          <cell r="T553">
            <v>12</v>
          </cell>
        </row>
        <row r="554">
          <cell r="A554" t="str">
            <v/>
          </cell>
          <cell r="B554" t="str">
            <v>LA18</v>
          </cell>
          <cell r="C554">
            <v>1</v>
          </cell>
          <cell r="E554" t="str">
            <v>T2.5004</v>
          </cell>
          <cell r="F554" t="str">
            <v>LA 18kV 10kA</v>
          </cell>
          <cell r="G554" t="str">
            <v>cái</v>
          </cell>
          <cell r="H554">
            <v>8</v>
          </cell>
          <cell r="I554">
            <v>910000</v>
          </cell>
          <cell r="K554">
            <v>71082</v>
          </cell>
          <cell r="L554">
            <v>0</v>
          </cell>
          <cell r="M554">
            <v>7280000</v>
          </cell>
          <cell r="N554">
            <v>0</v>
          </cell>
          <cell r="O554">
            <v>568656</v>
          </cell>
          <cell r="P554">
            <v>0</v>
          </cell>
          <cell r="S554">
            <v>0.8</v>
          </cell>
          <cell r="T554">
            <v>6.4</v>
          </cell>
        </row>
        <row r="555">
          <cell r="A555" t="str">
            <v/>
          </cell>
          <cell r="B555" t="str">
            <v>ATM250</v>
          </cell>
          <cell r="C555">
            <v>1</v>
          </cell>
          <cell r="F555" t="str">
            <v>MCCB 3 cực 600V - 250A - 42KA (160-250A)</v>
          </cell>
          <cell r="G555" t="str">
            <v>cái</v>
          </cell>
          <cell r="H555">
            <v>8</v>
          </cell>
          <cell r="I555">
            <v>2800000</v>
          </cell>
          <cell r="L555">
            <v>0</v>
          </cell>
          <cell r="M555">
            <v>22400000</v>
          </cell>
          <cell r="N555">
            <v>0</v>
          </cell>
          <cell r="O555">
            <v>0</v>
          </cell>
          <cell r="P555">
            <v>0</v>
          </cell>
          <cell r="S555">
            <v>2</v>
          </cell>
          <cell r="T555">
            <v>16</v>
          </cell>
        </row>
        <row r="556">
          <cell r="A556" t="str">
            <v/>
          </cell>
          <cell r="B556" t="str">
            <v>ATM160</v>
          </cell>
          <cell r="C556">
            <v>1</v>
          </cell>
          <cell r="F556" t="str">
            <v>MCCB 3 cực 400V - 160A - 35KA (100-160A) (phân đoạn)</v>
          </cell>
          <cell r="G556" t="str">
            <v>cái</v>
          </cell>
          <cell r="H556">
            <v>14</v>
          </cell>
          <cell r="I556">
            <v>2230000</v>
          </cell>
          <cell r="K556">
            <v>450186</v>
          </cell>
          <cell r="L556">
            <v>0</v>
          </cell>
          <cell r="M556">
            <v>31220000</v>
          </cell>
          <cell r="N556">
            <v>0</v>
          </cell>
          <cell r="O556">
            <v>6302604</v>
          </cell>
          <cell r="P556">
            <v>0</v>
          </cell>
          <cell r="S556">
            <v>2</v>
          </cell>
          <cell r="T556">
            <v>28</v>
          </cell>
        </row>
        <row r="557">
          <cell r="A557" t="str">
            <v/>
          </cell>
          <cell r="B557" t="str">
            <v>TI200</v>
          </cell>
          <cell r="C557">
            <v>1</v>
          </cell>
          <cell r="E557">
            <v>0</v>
          </cell>
          <cell r="F557" t="str">
            <v xml:space="preserve">Biến dòng 600V - 200/5A </v>
          </cell>
          <cell r="G557" t="str">
            <v>cái</v>
          </cell>
          <cell r="H557">
            <v>14</v>
          </cell>
          <cell r="I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S557">
            <v>0</v>
          </cell>
          <cell r="T557">
            <v>0</v>
          </cell>
        </row>
        <row r="558">
          <cell r="A558" t="str">
            <v/>
          </cell>
          <cell r="B558" t="str">
            <v>DK1P5A</v>
          </cell>
          <cell r="C558">
            <v>1</v>
          </cell>
          <cell r="E558">
            <v>0</v>
          </cell>
          <cell r="F558" t="str">
            <v>Điện kế 1 pha 2 dây 220V-5A</v>
          </cell>
          <cell r="G558" t="str">
            <v>cái</v>
          </cell>
          <cell r="H558">
            <v>14</v>
          </cell>
          <cell r="I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S558">
            <v>1</v>
          </cell>
          <cell r="T558">
            <v>14</v>
          </cell>
        </row>
        <row r="559">
          <cell r="A559" t="str">
            <v>VLTR75</v>
          </cell>
          <cell r="C559">
            <v>1</v>
          </cell>
          <cell r="F559" t="str">
            <v>B. PHẦN VẬT LIỆU</v>
          </cell>
          <cell r="M559">
            <v>195836475.19999999</v>
          </cell>
          <cell r="N559">
            <v>0</v>
          </cell>
          <cell r="O559">
            <v>39071751.200000003</v>
          </cell>
          <cell r="P559">
            <v>0</v>
          </cell>
          <cell r="S559">
            <v>0</v>
          </cell>
          <cell r="T559">
            <v>1988.1639999999993</v>
          </cell>
        </row>
        <row r="560">
          <cell r="C560">
            <v>1</v>
          </cell>
          <cell r="D560">
            <v>1</v>
          </cell>
          <cell r="F560" t="str">
            <v>Vật liệu bảo vệ thiết bị</v>
          </cell>
          <cell r="G560" t="str">
            <v>Bộ</v>
          </cell>
          <cell r="H560">
            <v>8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S560">
            <v>0</v>
          </cell>
          <cell r="T560">
            <v>0</v>
          </cell>
        </row>
        <row r="561">
          <cell r="A561" t="str">
            <v/>
          </cell>
          <cell r="B561" t="str">
            <v>CHI6K</v>
          </cell>
          <cell r="C561">
            <v>1</v>
          </cell>
          <cell r="E561">
            <v>0</v>
          </cell>
          <cell r="F561" t="str">
            <v>Dây chảy 6K</v>
          </cell>
          <cell r="G561" t="str">
            <v>Sợi</v>
          </cell>
          <cell r="H561">
            <v>8</v>
          </cell>
          <cell r="I561">
            <v>84000</v>
          </cell>
          <cell r="K561">
            <v>0</v>
          </cell>
          <cell r="L561">
            <v>0</v>
          </cell>
          <cell r="M561">
            <v>672000</v>
          </cell>
          <cell r="N561">
            <v>0</v>
          </cell>
          <cell r="O561">
            <v>0</v>
          </cell>
          <cell r="P561">
            <v>0</v>
          </cell>
          <cell r="S561">
            <v>0</v>
          </cell>
          <cell r="T561">
            <v>0</v>
          </cell>
        </row>
        <row r="562">
          <cell r="A562" t="str">
            <v/>
          </cell>
          <cell r="B562" t="str">
            <v>CHUPFCO</v>
          </cell>
          <cell r="C562">
            <v>1</v>
          </cell>
          <cell r="E562">
            <v>0</v>
          </cell>
          <cell r="F562" t="str">
            <v>Chụp đầu FCO (Trên + Dưới)</v>
          </cell>
          <cell r="G562" t="str">
            <v>bộ</v>
          </cell>
          <cell r="H562">
            <v>8</v>
          </cell>
          <cell r="I562">
            <v>190000</v>
          </cell>
          <cell r="K562">
            <v>0</v>
          </cell>
          <cell r="L562">
            <v>0</v>
          </cell>
          <cell r="M562">
            <v>1520000</v>
          </cell>
          <cell r="N562">
            <v>0</v>
          </cell>
          <cell r="O562">
            <v>0</v>
          </cell>
          <cell r="P562">
            <v>0</v>
          </cell>
          <cell r="S562">
            <v>0</v>
          </cell>
          <cell r="T562">
            <v>0</v>
          </cell>
        </row>
        <row r="563">
          <cell r="A563" t="str">
            <v/>
          </cell>
          <cell r="B563" t="str">
            <v>CHUPLA</v>
          </cell>
          <cell r="C563">
            <v>1</v>
          </cell>
          <cell r="E563">
            <v>0</v>
          </cell>
          <cell r="F563" t="str">
            <v>Chụp đầu LA</v>
          </cell>
          <cell r="G563" t="str">
            <v>cái</v>
          </cell>
          <cell r="H563">
            <v>8</v>
          </cell>
          <cell r="I563">
            <v>32000</v>
          </cell>
          <cell r="K563">
            <v>0</v>
          </cell>
          <cell r="L563">
            <v>0</v>
          </cell>
          <cell r="M563">
            <v>256000</v>
          </cell>
          <cell r="N563">
            <v>0</v>
          </cell>
          <cell r="O563">
            <v>0</v>
          </cell>
          <cell r="P563">
            <v>0</v>
          </cell>
          <cell r="S563">
            <v>0</v>
          </cell>
          <cell r="T563">
            <v>0</v>
          </cell>
        </row>
        <row r="564">
          <cell r="A564" t="str">
            <v/>
          </cell>
          <cell r="B564" t="str">
            <v>CHUPMBA</v>
          </cell>
          <cell r="C564">
            <v>1</v>
          </cell>
          <cell r="E564">
            <v>0</v>
          </cell>
          <cell r="F564" t="str">
            <v>Chụp đầu cực MBA</v>
          </cell>
          <cell r="G564" t="str">
            <v>cái</v>
          </cell>
          <cell r="H564">
            <v>8</v>
          </cell>
          <cell r="I564">
            <v>52000</v>
          </cell>
          <cell r="K564">
            <v>0</v>
          </cell>
          <cell r="L564">
            <v>0</v>
          </cell>
          <cell r="M564">
            <v>416000</v>
          </cell>
          <cell r="N564">
            <v>0</v>
          </cell>
          <cell r="O564">
            <v>0</v>
          </cell>
          <cell r="P564">
            <v>0</v>
          </cell>
          <cell r="S564">
            <v>0</v>
          </cell>
          <cell r="T564">
            <v>0</v>
          </cell>
        </row>
        <row r="565">
          <cell r="A565" t="str">
            <v/>
          </cell>
          <cell r="B565" t="str">
            <v>B16300</v>
          </cell>
          <cell r="C565">
            <v>1</v>
          </cell>
          <cell r="E565">
            <v>0</v>
          </cell>
          <cell r="F565" t="str">
            <v>Boulon 16x300+ 2 long đền vuông D18-50x50x3/Zn</v>
          </cell>
          <cell r="G565" t="str">
            <v>bộ</v>
          </cell>
          <cell r="H565">
            <v>16</v>
          </cell>
          <cell r="I565">
            <v>30000</v>
          </cell>
          <cell r="K565">
            <v>0</v>
          </cell>
          <cell r="L565">
            <v>0</v>
          </cell>
          <cell r="M565">
            <v>480000</v>
          </cell>
          <cell r="N565">
            <v>0</v>
          </cell>
          <cell r="O565">
            <v>0</v>
          </cell>
          <cell r="P565">
            <v>0</v>
          </cell>
          <cell r="S565">
            <v>0.25</v>
          </cell>
          <cell r="T565">
            <v>4</v>
          </cell>
        </row>
        <row r="566">
          <cell r="A566" t="str">
            <v/>
          </cell>
          <cell r="C566">
            <v>1</v>
          </cell>
          <cell r="D566">
            <v>2</v>
          </cell>
          <cell r="F566" t="str">
            <v>Đà Composite bắt LA, FCO</v>
          </cell>
          <cell r="G566" t="str">
            <v>Bộ</v>
          </cell>
          <cell r="H566">
            <v>8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S566">
            <v>0</v>
          </cell>
          <cell r="T566">
            <v>0</v>
          </cell>
        </row>
        <row r="567">
          <cell r="A567" t="str">
            <v/>
          </cell>
          <cell r="C567">
            <v>0</v>
          </cell>
          <cell r="F567" t="str">
            <v>Gồm có: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S567">
            <v>0</v>
          </cell>
          <cell r="T567">
            <v>0</v>
          </cell>
        </row>
        <row r="568">
          <cell r="A568" t="str">
            <v/>
          </cell>
          <cell r="B568" t="str">
            <v>COM800</v>
          </cell>
          <cell r="C568">
            <v>1</v>
          </cell>
          <cell r="E568">
            <v>0</v>
          </cell>
          <cell r="F568" t="str">
            <v>Đà hộp composite 110x80x5-800</v>
          </cell>
          <cell r="G568" t="str">
            <v>cái</v>
          </cell>
          <cell r="H568">
            <v>8</v>
          </cell>
          <cell r="I568">
            <v>393000</v>
          </cell>
          <cell r="K568">
            <v>0</v>
          </cell>
          <cell r="L568">
            <v>0</v>
          </cell>
          <cell r="M568">
            <v>3144000</v>
          </cell>
          <cell r="N568">
            <v>0</v>
          </cell>
          <cell r="O568">
            <v>0</v>
          </cell>
          <cell r="P568">
            <v>0</v>
          </cell>
          <cell r="S568">
            <v>3.2</v>
          </cell>
          <cell r="T568">
            <v>25.6</v>
          </cell>
        </row>
        <row r="569">
          <cell r="A569" t="str">
            <v/>
          </cell>
          <cell r="B569" t="str">
            <v>CCOM800</v>
          </cell>
          <cell r="C569">
            <v>1</v>
          </cell>
          <cell r="E569">
            <v>0</v>
          </cell>
          <cell r="F569" t="str">
            <v>Thanh chống 10x40x720</v>
          </cell>
          <cell r="G569" t="str">
            <v>cái</v>
          </cell>
          <cell r="H569">
            <v>8</v>
          </cell>
          <cell r="I569">
            <v>118000</v>
          </cell>
          <cell r="K569">
            <v>0</v>
          </cell>
          <cell r="L569">
            <v>0</v>
          </cell>
          <cell r="M569">
            <v>944000</v>
          </cell>
          <cell r="N569">
            <v>0</v>
          </cell>
          <cell r="O569">
            <v>0</v>
          </cell>
          <cell r="P569">
            <v>0</v>
          </cell>
          <cell r="S569">
            <v>0.5</v>
          </cell>
          <cell r="T569">
            <v>4</v>
          </cell>
        </row>
        <row r="570">
          <cell r="A570" t="str">
            <v/>
          </cell>
          <cell r="B570" t="str">
            <v>BATLL</v>
          </cell>
          <cell r="C570">
            <v>1</v>
          </cell>
          <cell r="E570">
            <v>0</v>
          </cell>
          <cell r="F570" t="str">
            <v>Bass LL bắt FCO và LA</v>
          </cell>
          <cell r="G570" t="str">
            <v>bộ</v>
          </cell>
          <cell r="H570">
            <v>8</v>
          </cell>
          <cell r="I570">
            <v>65000</v>
          </cell>
          <cell r="K570">
            <v>0</v>
          </cell>
          <cell r="L570">
            <v>0</v>
          </cell>
          <cell r="M570">
            <v>520000</v>
          </cell>
          <cell r="N570">
            <v>0</v>
          </cell>
          <cell r="O570">
            <v>0</v>
          </cell>
          <cell r="P570">
            <v>0</v>
          </cell>
          <cell r="S570">
            <v>0.5</v>
          </cell>
          <cell r="T570">
            <v>4</v>
          </cell>
        </row>
        <row r="571">
          <cell r="A571" t="str">
            <v/>
          </cell>
          <cell r="B571" t="str">
            <v>B16350</v>
          </cell>
          <cell r="C571">
            <v>1</v>
          </cell>
          <cell r="E571">
            <v>0</v>
          </cell>
          <cell r="F571" t="str">
            <v>Boulon 16x350+ 2 long đền vuông D18-50x50x3/Zn</v>
          </cell>
          <cell r="G571" t="str">
            <v>bộ</v>
          </cell>
          <cell r="H571">
            <v>8</v>
          </cell>
          <cell r="I571">
            <v>32500</v>
          </cell>
          <cell r="K571">
            <v>0</v>
          </cell>
          <cell r="L571">
            <v>0</v>
          </cell>
          <cell r="M571">
            <v>260000</v>
          </cell>
          <cell r="N571">
            <v>0</v>
          </cell>
          <cell r="O571">
            <v>0</v>
          </cell>
          <cell r="P571">
            <v>0</v>
          </cell>
          <cell r="S571">
            <v>0.3</v>
          </cell>
          <cell r="T571">
            <v>2.4</v>
          </cell>
        </row>
        <row r="572">
          <cell r="A572" t="str">
            <v/>
          </cell>
          <cell r="B572" t="str">
            <v>B16300</v>
          </cell>
          <cell r="C572">
            <v>1</v>
          </cell>
          <cell r="E572">
            <v>0</v>
          </cell>
          <cell r="F572" t="str">
            <v>Boulon 16x300+ 2 long đền vuông D18-50x50x3/Zn</v>
          </cell>
          <cell r="G572" t="str">
            <v>bộ</v>
          </cell>
          <cell r="H572">
            <v>8</v>
          </cell>
          <cell r="I572">
            <v>30000</v>
          </cell>
          <cell r="K572">
            <v>0</v>
          </cell>
          <cell r="L572">
            <v>0</v>
          </cell>
          <cell r="M572">
            <v>240000</v>
          </cell>
          <cell r="N572">
            <v>0</v>
          </cell>
          <cell r="O572">
            <v>0</v>
          </cell>
          <cell r="P572">
            <v>0</v>
          </cell>
          <cell r="S572">
            <v>0.25</v>
          </cell>
          <cell r="T572">
            <v>2</v>
          </cell>
        </row>
        <row r="573">
          <cell r="A573" t="str">
            <v/>
          </cell>
          <cell r="B573" t="str">
            <v>B14120</v>
          </cell>
          <cell r="C573">
            <v>1</v>
          </cell>
          <cell r="E573">
            <v>0</v>
          </cell>
          <cell r="F573" t="str">
            <v>Boulon 14x120+ 2 long đền vuông D16-50x50x3/Zn</v>
          </cell>
          <cell r="G573" t="str">
            <v>bộ</v>
          </cell>
          <cell r="H573">
            <v>8</v>
          </cell>
          <cell r="I573">
            <v>20000</v>
          </cell>
          <cell r="K573">
            <v>0</v>
          </cell>
          <cell r="L573">
            <v>0</v>
          </cell>
          <cell r="M573">
            <v>160000</v>
          </cell>
          <cell r="N573">
            <v>0</v>
          </cell>
          <cell r="O573">
            <v>0</v>
          </cell>
          <cell r="P573">
            <v>0</v>
          </cell>
          <cell r="S573">
            <v>0.2</v>
          </cell>
          <cell r="T573">
            <v>1.6</v>
          </cell>
        </row>
        <row r="574">
          <cell r="A574" t="str">
            <v/>
          </cell>
          <cell r="B574" t="str">
            <v>LCOM800</v>
          </cell>
          <cell r="C574">
            <v>1</v>
          </cell>
          <cell r="E574" t="str">
            <v>D2.6011</v>
          </cell>
          <cell r="F574" t="str">
            <v>Lắp đà composite 800mm đơn</v>
          </cell>
          <cell r="G574" t="str">
            <v>bộ</v>
          </cell>
          <cell r="H574">
            <v>8</v>
          </cell>
          <cell r="I574">
            <v>0</v>
          </cell>
          <cell r="K574">
            <v>167950</v>
          </cell>
          <cell r="L574">
            <v>0</v>
          </cell>
          <cell r="M574">
            <v>0</v>
          </cell>
          <cell r="N574">
            <v>0</v>
          </cell>
          <cell r="O574">
            <v>1343600</v>
          </cell>
          <cell r="P574">
            <v>0</v>
          </cell>
          <cell r="S574">
            <v>0</v>
          </cell>
          <cell r="T574">
            <v>0</v>
          </cell>
        </row>
        <row r="575">
          <cell r="A575" t="str">
            <v/>
          </cell>
          <cell r="C575">
            <v>1</v>
          </cell>
          <cell r="D575">
            <v>3</v>
          </cell>
          <cell r="F575" t="str">
            <v>Bộ tiếp địa Trạm 1 pha</v>
          </cell>
          <cell r="G575" t="str">
            <v>Bộ</v>
          </cell>
          <cell r="H575">
            <v>8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S575">
            <v>0</v>
          </cell>
          <cell r="T575">
            <v>0</v>
          </cell>
        </row>
        <row r="576">
          <cell r="A576" t="str">
            <v/>
          </cell>
          <cell r="C576">
            <v>0</v>
          </cell>
          <cell r="F576" t="str">
            <v>Gồm có: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S576">
            <v>0</v>
          </cell>
          <cell r="T576">
            <v>0</v>
          </cell>
        </row>
        <row r="577">
          <cell r="A577" t="str">
            <v/>
          </cell>
          <cell r="B577" t="str">
            <v>M25</v>
          </cell>
          <cell r="C577">
            <v>1</v>
          </cell>
          <cell r="E577">
            <v>0</v>
          </cell>
          <cell r="F577" t="str">
            <v>Cáp đồng trần M25mm2 (45 mét/trạm)</v>
          </cell>
          <cell r="G577" t="str">
            <v>kg</v>
          </cell>
          <cell r="H577">
            <v>80.64</v>
          </cell>
          <cell r="I577">
            <v>191630</v>
          </cell>
          <cell r="K577">
            <v>0</v>
          </cell>
          <cell r="L577">
            <v>0</v>
          </cell>
          <cell r="M577">
            <v>15453043.199999999</v>
          </cell>
          <cell r="N577">
            <v>0</v>
          </cell>
          <cell r="O577">
            <v>0</v>
          </cell>
          <cell r="P577">
            <v>0</v>
          </cell>
          <cell r="S577">
            <v>1</v>
          </cell>
          <cell r="T577">
            <v>80.64</v>
          </cell>
        </row>
        <row r="578">
          <cell r="A578" t="str">
            <v/>
          </cell>
          <cell r="B578" t="str">
            <v>CTD</v>
          </cell>
          <cell r="C578">
            <v>1</v>
          </cell>
          <cell r="E578">
            <v>0</v>
          </cell>
          <cell r="F578" t="str">
            <v>Cọc tiếp đất φ16 - 2,4m mạ Cu 16 micrômét</v>
          </cell>
          <cell r="G578" t="str">
            <v>cọc</v>
          </cell>
          <cell r="H578">
            <v>72</v>
          </cell>
          <cell r="I578">
            <v>130000</v>
          </cell>
          <cell r="K578">
            <v>0</v>
          </cell>
          <cell r="L578">
            <v>0</v>
          </cell>
          <cell r="M578">
            <v>9360000</v>
          </cell>
          <cell r="N578">
            <v>0</v>
          </cell>
          <cell r="O578">
            <v>0</v>
          </cell>
          <cell r="P578">
            <v>0</v>
          </cell>
          <cell r="S578">
            <v>5.3</v>
          </cell>
          <cell r="T578">
            <v>381.59999999999997</v>
          </cell>
        </row>
        <row r="579">
          <cell r="A579" t="str">
            <v/>
          </cell>
          <cell r="B579" t="str">
            <v>KC</v>
          </cell>
          <cell r="C579">
            <v>1</v>
          </cell>
          <cell r="E579">
            <v>0</v>
          </cell>
          <cell r="F579" t="str">
            <v>Kẹp cọc tiếp địa Cu loại lớn</v>
          </cell>
          <cell r="G579" t="str">
            <v>bộ</v>
          </cell>
          <cell r="H579">
            <v>72</v>
          </cell>
          <cell r="I579">
            <v>25000</v>
          </cell>
          <cell r="K579">
            <v>0</v>
          </cell>
          <cell r="L579">
            <v>0</v>
          </cell>
          <cell r="M579">
            <v>1800000</v>
          </cell>
          <cell r="N579">
            <v>0</v>
          </cell>
          <cell r="O579">
            <v>0</v>
          </cell>
          <cell r="P579">
            <v>0</v>
          </cell>
          <cell r="S579">
            <v>0.05</v>
          </cell>
          <cell r="T579">
            <v>3.6</v>
          </cell>
        </row>
        <row r="580">
          <cell r="A580" t="str">
            <v/>
          </cell>
          <cell r="B580" t="str">
            <v>OXC38</v>
          </cell>
          <cell r="C580">
            <v>1</v>
          </cell>
          <cell r="E580">
            <v>0</v>
          </cell>
          <cell r="F580" t="str">
            <v xml:space="preserve">Ốc xiết cáp cỡ 38mm2 </v>
          </cell>
          <cell r="G580" t="str">
            <v>cái</v>
          </cell>
          <cell r="H580">
            <v>48</v>
          </cell>
          <cell r="I580">
            <v>17000</v>
          </cell>
          <cell r="K580">
            <v>0</v>
          </cell>
          <cell r="L580">
            <v>0</v>
          </cell>
          <cell r="M580">
            <v>816000</v>
          </cell>
          <cell r="N580">
            <v>0</v>
          </cell>
          <cell r="O580">
            <v>0</v>
          </cell>
          <cell r="P580">
            <v>0</v>
          </cell>
          <cell r="S580">
            <v>0</v>
          </cell>
          <cell r="T580">
            <v>0</v>
          </cell>
        </row>
        <row r="581">
          <cell r="A581" t="str">
            <v/>
          </cell>
          <cell r="B581" t="str">
            <v>KE50</v>
          </cell>
          <cell r="C581">
            <v>1</v>
          </cell>
          <cell r="E581">
            <v>0</v>
          </cell>
          <cell r="F581" t="str">
            <v>Kẹp ép WR cỡ dây 50mm2</v>
          </cell>
          <cell r="G581" t="str">
            <v>cái</v>
          </cell>
          <cell r="H581">
            <v>16</v>
          </cell>
          <cell r="I581">
            <v>8500</v>
          </cell>
          <cell r="K581">
            <v>0</v>
          </cell>
          <cell r="L581">
            <v>0</v>
          </cell>
          <cell r="M581">
            <v>136000</v>
          </cell>
          <cell r="N581">
            <v>0</v>
          </cell>
          <cell r="O581">
            <v>0</v>
          </cell>
          <cell r="P581">
            <v>0</v>
          </cell>
          <cell r="R581">
            <v>10.08</v>
          </cell>
          <cell r="S581">
            <v>0.2</v>
          </cell>
          <cell r="T581">
            <v>3.2</v>
          </cell>
        </row>
        <row r="582">
          <cell r="A582" t="str">
            <v/>
          </cell>
          <cell r="B582" t="str">
            <v>KTDTBA</v>
          </cell>
          <cell r="C582">
            <v>1</v>
          </cell>
          <cell r="E582" t="str">
            <v>T4.7001</v>
          </cell>
          <cell r="F582" t="str">
            <v>Kéo dây tiếp địa trong TBA</v>
          </cell>
          <cell r="G582" t="str">
            <v>mét</v>
          </cell>
          <cell r="H582">
            <v>360</v>
          </cell>
          <cell r="I582">
            <v>0</v>
          </cell>
          <cell r="K582">
            <v>6871</v>
          </cell>
          <cell r="L582">
            <v>0</v>
          </cell>
          <cell r="M582">
            <v>0</v>
          </cell>
          <cell r="N582">
            <v>0</v>
          </cell>
          <cell r="O582">
            <v>2473560</v>
          </cell>
          <cell r="P582">
            <v>0</v>
          </cell>
          <cell r="R582">
            <v>2.4</v>
          </cell>
          <cell r="S582">
            <v>0</v>
          </cell>
          <cell r="T582">
            <v>0</v>
          </cell>
        </row>
        <row r="583">
          <cell r="A583" t="str">
            <v/>
          </cell>
          <cell r="B583" t="str">
            <v>DCTDTBA</v>
          </cell>
          <cell r="C583">
            <v>1</v>
          </cell>
          <cell r="E583" t="str">
            <v>D2.8103</v>
          </cell>
          <cell r="F583" t="str">
            <v>Đóng cọc tiếp địa trong TBA (đất cấp 3)</v>
          </cell>
          <cell r="G583" t="str">
            <v>cọc</v>
          </cell>
          <cell r="H583">
            <v>72</v>
          </cell>
          <cell r="I583">
            <v>0</v>
          </cell>
          <cell r="K583">
            <v>76928</v>
          </cell>
          <cell r="L583">
            <v>0</v>
          </cell>
          <cell r="M583">
            <v>0</v>
          </cell>
          <cell r="N583">
            <v>0</v>
          </cell>
          <cell r="O583">
            <v>5538816</v>
          </cell>
          <cell r="P583">
            <v>0</v>
          </cell>
          <cell r="S583">
            <v>0</v>
          </cell>
          <cell r="T583">
            <v>0</v>
          </cell>
        </row>
        <row r="584">
          <cell r="A584" t="str">
            <v/>
          </cell>
          <cell r="B584" t="str">
            <v>DTD3</v>
          </cell>
          <cell r="C584">
            <v>1</v>
          </cell>
          <cell r="E584" t="str">
            <v>AB.11513</v>
          </cell>
          <cell r="F584" t="str">
            <v>Đào rãnh tiếp địa đất cấp 3</v>
          </cell>
          <cell r="G584" t="str">
            <v>m3</v>
          </cell>
          <cell r="H584">
            <v>19.2</v>
          </cell>
          <cell r="I584">
            <v>0</v>
          </cell>
          <cell r="K584">
            <v>241580</v>
          </cell>
          <cell r="L584">
            <v>0</v>
          </cell>
          <cell r="M584">
            <v>0</v>
          </cell>
          <cell r="N584">
            <v>0</v>
          </cell>
          <cell r="O584">
            <v>4638336</v>
          </cell>
          <cell r="P584">
            <v>0</v>
          </cell>
          <cell r="S584">
            <v>0</v>
          </cell>
          <cell r="T584">
            <v>0</v>
          </cell>
        </row>
        <row r="585">
          <cell r="A585" t="str">
            <v/>
          </cell>
          <cell r="B585" t="str">
            <v>DATD3</v>
          </cell>
          <cell r="C585">
            <v>1</v>
          </cell>
          <cell r="E585" t="str">
            <v>AB.13111</v>
          </cell>
          <cell r="F585" t="str">
            <v>Đắp đất rãnh tiếp địa (K=0,85)</v>
          </cell>
          <cell r="G585" t="str">
            <v>m3</v>
          </cell>
          <cell r="H585">
            <v>19.2</v>
          </cell>
          <cell r="I585">
            <v>0</v>
          </cell>
          <cell r="K585">
            <v>100211</v>
          </cell>
          <cell r="L585">
            <v>0</v>
          </cell>
          <cell r="M585">
            <v>0</v>
          </cell>
          <cell r="N585">
            <v>0</v>
          </cell>
          <cell r="O585">
            <v>1924051.2</v>
          </cell>
          <cell r="P585">
            <v>0</v>
          </cell>
          <cell r="S585">
            <v>0</v>
          </cell>
          <cell r="T585">
            <v>0</v>
          </cell>
        </row>
        <row r="586">
          <cell r="A586" t="str">
            <v/>
          </cell>
          <cell r="C586">
            <v>1</v>
          </cell>
          <cell r="D586">
            <v>4</v>
          </cell>
          <cell r="F586" t="str">
            <v>Tủ điện trạm treo 1 pha</v>
          </cell>
          <cell r="G586" t="str">
            <v>Bộ</v>
          </cell>
          <cell r="H586">
            <v>8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S586">
            <v>0</v>
          </cell>
          <cell r="T586">
            <v>0</v>
          </cell>
        </row>
        <row r="587">
          <cell r="A587" t="str">
            <v/>
          </cell>
          <cell r="C587">
            <v>0</v>
          </cell>
          <cell r="F587" t="str">
            <v>Gồm có: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S587">
            <v>0</v>
          </cell>
          <cell r="T587">
            <v>0</v>
          </cell>
        </row>
        <row r="588">
          <cell r="A588" t="str">
            <v/>
          </cell>
          <cell r="B588" t="str">
            <v>TUAP1</v>
          </cell>
          <cell r="C588">
            <v>1</v>
          </cell>
          <cell r="E588" t="str">
            <v>T5.1001</v>
          </cell>
          <cell r="F588" t="str">
            <v>Tủ trạm treo + khóa + boulon + Bakelit + Collier (1 pha)</v>
          </cell>
          <cell r="G588" t="str">
            <v>cái</v>
          </cell>
          <cell r="H588">
            <v>8</v>
          </cell>
          <cell r="I588">
            <v>3484174</v>
          </cell>
          <cell r="K588">
            <v>838715</v>
          </cell>
          <cell r="L588">
            <v>0</v>
          </cell>
          <cell r="M588">
            <v>27873392</v>
          </cell>
          <cell r="N588">
            <v>0</v>
          </cell>
          <cell r="O588">
            <v>6709720</v>
          </cell>
          <cell r="P588">
            <v>0</v>
          </cell>
          <cell r="S588">
            <v>45</v>
          </cell>
          <cell r="T588">
            <v>360</v>
          </cell>
        </row>
        <row r="589">
          <cell r="C589">
            <v>1</v>
          </cell>
          <cell r="D589">
            <v>5</v>
          </cell>
          <cell r="F589" t="str">
            <v>Bộ dây dẫn trung thế trạm 1 pha</v>
          </cell>
          <cell r="G589" t="str">
            <v>Bộ</v>
          </cell>
          <cell r="H589">
            <v>8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S589">
            <v>0</v>
          </cell>
          <cell r="T589">
            <v>0</v>
          </cell>
        </row>
        <row r="590">
          <cell r="C590">
            <v>0</v>
          </cell>
          <cell r="F590" t="str">
            <v>Gồm có: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S590">
            <v>0</v>
          </cell>
          <cell r="T590">
            <v>0</v>
          </cell>
        </row>
        <row r="591">
          <cell r="B591" t="str">
            <v>CXV25</v>
          </cell>
          <cell r="C591">
            <v>1</v>
          </cell>
          <cell r="E591">
            <v>0</v>
          </cell>
          <cell r="F591" t="str">
            <v>Cáp 24KV C/XLPE/PVC 25mm2</v>
          </cell>
          <cell r="G591" t="str">
            <v>mét</v>
          </cell>
          <cell r="H591">
            <v>32</v>
          </cell>
          <cell r="I591">
            <v>69890</v>
          </cell>
          <cell r="K591">
            <v>0</v>
          </cell>
          <cell r="L591">
            <v>0</v>
          </cell>
          <cell r="M591">
            <v>2236480</v>
          </cell>
          <cell r="N591">
            <v>0</v>
          </cell>
          <cell r="O591">
            <v>0</v>
          </cell>
          <cell r="P591">
            <v>0</v>
          </cell>
          <cell r="S591">
            <v>0.75</v>
          </cell>
          <cell r="T591">
            <v>24</v>
          </cell>
        </row>
        <row r="592">
          <cell r="B592" t="str">
            <v>KQ4</v>
          </cell>
          <cell r="C592">
            <v>1</v>
          </cell>
          <cell r="E592">
            <v>0</v>
          </cell>
          <cell r="F592" t="str">
            <v>Kẹp quai 4/0 (quai đồng 8mm)</v>
          </cell>
          <cell r="G592" t="str">
            <v>cái</v>
          </cell>
          <cell r="H592">
            <v>8</v>
          </cell>
          <cell r="I592">
            <v>63000</v>
          </cell>
          <cell r="K592">
            <v>0</v>
          </cell>
          <cell r="L592">
            <v>0</v>
          </cell>
          <cell r="M592">
            <v>504000</v>
          </cell>
          <cell r="N592">
            <v>0</v>
          </cell>
          <cell r="O592">
            <v>0</v>
          </cell>
          <cell r="P592">
            <v>0</v>
          </cell>
          <cell r="S592">
            <v>0.3</v>
          </cell>
          <cell r="T592">
            <v>2.4</v>
          </cell>
        </row>
        <row r="593">
          <cell r="B593" t="str">
            <v>CKQ</v>
          </cell>
          <cell r="C593">
            <v>1</v>
          </cell>
          <cell r="E593">
            <v>0</v>
          </cell>
          <cell r="F593" t="str">
            <v>Chụp cách điện kẹp quai</v>
          </cell>
          <cell r="G593" t="str">
            <v>cái</v>
          </cell>
          <cell r="H593">
            <v>8</v>
          </cell>
          <cell r="I593">
            <v>122000</v>
          </cell>
          <cell r="K593">
            <v>0</v>
          </cell>
          <cell r="L593">
            <v>0</v>
          </cell>
          <cell r="M593">
            <v>976000</v>
          </cell>
          <cell r="N593">
            <v>0</v>
          </cell>
          <cell r="O593">
            <v>0</v>
          </cell>
          <cell r="P593">
            <v>0</v>
          </cell>
          <cell r="S593">
            <v>0.2</v>
          </cell>
          <cell r="T593">
            <v>1.6</v>
          </cell>
        </row>
        <row r="594">
          <cell r="B594" t="str">
            <v>HL2</v>
          </cell>
          <cell r="C594">
            <v>1</v>
          </cell>
          <cell r="E594">
            <v>0</v>
          </cell>
          <cell r="F594" t="str">
            <v>Kẹp hotline 2/0</v>
          </cell>
          <cell r="G594" t="str">
            <v>cái</v>
          </cell>
          <cell r="H594">
            <v>8</v>
          </cell>
          <cell r="I594">
            <v>68000</v>
          </cell>
          <cell r="K594">
            <v>0</v>
          </cell>
          <cell r="L594">
            <v>0</v>
          </cell>
          <cell r="M594">
            <v>544000</v>
          </cell>
          <cell r="N594">
            <v>0</v>
          </cell>
          <cell r="O594">
            <v>0</v>
          </cell>
          <cell r="P594">
            <v>0</v>
          </cell>
          <cell r="S594">
            <v>0.1</v>
          </cell>
          <cell r="T594">
            <v>0.8</v>
          </cell>
        </row>
        <row r="595">
          <cell r="B595" t="str">
            <v>LCAPDONGTB95</v>
          </cell>
          <cell r="C595">
            <v>1</v>
          </cell>
          <cell r="E595" t="str">
            <v>T4.4201</v>
          </cell>
          <cell r="F595" t="str">
            <v>Lắp cáp đồng xuống thiết bị D ≤ 95mm2</v>
          </cell>
          <cell r="G595" t="str">
            <v>m</v>
          </cell>
          <cell r="H595">
            <v>32</v>
          </cell>
          <cell r="I595">
            <v>0</v>
          </cell>
          <cell r="K595">
            <v>11847</v>
          </cell>
          <cell r="L595">
            <v>0</v>
          </cell>
          <cell r="M595">
            <v>0</v>
          </cell>
          <cell r="N595">
            <v>0</v>
          </cell>
          <cell r="O595">
            <v>379104</v>
          </cell>
          <cell r="P595">
            <v>0</v>
          </cell>
          <cell r="S595">
            <v>0</v>
          </cell>
          <cell r="T595">
            <v>0</v>
          </cell>
        </row>
        <row r="596">
          <cell r="C596">
            <v>1</v>
          </cell>
          <cell r="D596">
            <v>6</v>
          </cell>
          <cell r="F596" t="str">
            <v>Bộ dây dẫn hạ thế lộ xuống</v>
          </cell>
          <cell r="G596" t="str">
            <v>Bộ</v>
          </cell>
          <cell r="H596">
            <v>8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S596">
            <v>0</v>
          </cell>
          <cell r="T596">
            <v>0</v>
          </cell>
        </row>
        <row r="597">
          <cell r="C597">
            <v>0</v>
          </cell>
          <cell r="F597" t="str">
            <v>Gồm có: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S597">
            <v>0</v>
          </cell>
          <cell r="T597">
            <v>0</v>
          </cell>
        </row>
        <row r="598">
          <cell r="B598" t="str">
            <v>CV120</v>
          </cell>
          <cell r="C598">
            <v>1</v>
          </cell>
          <cell r="E598">
            <v>0</v>
          </cell>
          <cell r="F598" t="str">
            <v>Cáp đồng bọc CV120</v>
          </cell>
          <cell r="G598" t="str">
            <v>mét</v>
          </cell>
          <cell r="H598">
            <v>160</v>
          </cell>
          <cell r="I598">
            <v>213430</v>
          </cell>
          <cell r="K598">
            <v>0</v>
          </cell>
          <cell r="L598">
            <v>0</v>
          </cell>
          <cell r="M598">
            <v>34148800</v>
          </cell>
          <cell r="N598">
            <v>0</v>
          </cell>
          <cell r="O598">
            <v>0</v>
          </cell>
          <cell r="P598">
            <v>0</v>
          </cell>
          <cell r="Q598" t="str">
            <v>10m*2 sợi* 1 lộ*TBA</v>
          </cell>
          <cell r="S598">
            <v>1.2350000000000001</v>
          </cell>
          <cell r="T598">
            <v>197.60000000000002</v>
          </cell>
        </row>
        <row r="599">
          <cell r="B599" t="str">
            <v>CV70</v>
          </cell>
          <cell r="C599">
            <v>1</v>
          </cell>
          <cell r="E599">
            <v>0</v>
          </cell>
          <cell r="F599" t="str">
            <v>Cáp đồng bọc CV70</v>
          </cell>
          <cell r="G599" t="str">
            <v>mét</v>
          </cell>
          <cell r="H599">
            <v>80</v>
          </cell>
          <cell r="I599">
            <v>124570</v>
          </cell>
          <cell r="K599">
            <v>0</v>
          </cell>
          <cell r="L599">
            <v>0</v>
          </cell>
          <cell r="M599">
            <v>9965600</v>
          </cell>
          <cell r="N599">
            <v>0</v>
          </cell>
          <cell r="O599">
            <v>0</v>
          </cell>
          <cell r="P599">
            <v>0</v>
          </cell>
          <cell r="Q599" t="str">
            <v>10m*1 sợi* 1 lộ*TBA</v>
          </cell>
          <cell r="S599">
            <v>0.73899999999999999</v>
          </cell>
          <cell r="T599">
            <v>59.12</v>
          </cell>
        </row>
        <row r="600">
          <cell r="B600" t="str">
            <v>CVV4X4</v>
          </cell>
          <cell r="C600">
            <v>1</v>
          </cell>
          <cell r="E600">
            <v>0</v>
          </cell>
          <cell r="F600" t="str">
            <v>Cáp điều khiển CVV 4x4,0mm2</v>
          </cell>
          <cell r="G600" t="str">
            <v>mét</v>
          </cell>
          <cell r="H600">
            <v>16</v>
          </cell>
          <cell r="I600">
            <v>56700</v>
          </cell>
          <cell r="K600">
            <v>0</v>
          </cell>
          <cell r="L600">
            <v>0</v>
          </cell>
          <cell r="M600">
            <v>907200</v>
          </cell>
          <cell r="N600">
            <v>0</v>
          </cell>
          <cell r="O600">
            <v>0</v>
          </cell>
          <cell r="P600">
            <v>0</v>
          </cell>
          <cell r="S600">
            <v>3.024</v>
          </cell>
          <cell r="T600">
            <v>48.384</v>
          </cell>
        </row>
        <row r="601">
          <cell r="B601" t="str">
            <v>COS120</v>
          </cell>
          <cell r="C601">
            <v>1</v>
          </cell>
          <cell r="E601">
            <v>0</v>
          </cell>
          <cell r="F601" t="str">
            <v>Đầu cosse ép Cu 120mm2</v>
          </cell>
          <cell r="G601" t="str">
            <v>cái</v>
          </cell>
          <cell r="H601">
            <v>16</v>
          </cell>
          <cell r="I601">
            <v>68500</v>
          </cell>
          <cell r="K601">
            <v>0</v>
          </cell>
          <cell r="L601">
            <v>0</v>
          </cell>
          <cell r="M601">
            <v>1096000</v>
          </cell>
          <cell r="N601">
            <v>0</v>
          </cell>
          <cell r="O601">
            <v>0</v>
          </cell>
          <cell r="P601">
            <v>0</v>
          </cell>
          <cell r="S601">
            <v>0.1</v>
          </cell>
          <cell r="T601">
            <v>1.6</v>
          </cell>
        </row>
        <row r="602">
          <cell r="B602" t="str">
            <v>COS70</v>
          </cell>
          <cell r="C602">
            <v>1</v>
          </cell>
          <cell r="E602">
            <v>0</v>
          </cell>
          <cell r="F602" t="str">
            <v>Đầu cosse ép Cu 70mm2</v>
          </cell>
          <cell r="G602" t="str">
            <v>cái</v>
          </cell>
          <cell r="H602">
            <v>8</v>
          </cell>
          <cell r="I602">
            <v>34500</v>
          </cell>
          <cell r="K602">
            <v>0</v>
          </cell>
          <cell r="L602">
            <v>0</v>
          </cell>
          <cell r="M602">
            <v>276000</v>
          </cell>
          <cell r="N602">
            <v>0</v>
          </cell>
          <cell r="O602">
            <v>0</v>
          </cell>
          <cell r="P602">
            <v>0</v>
          </cell>
          <cell r="S602">
            <v>0.2</v>
          </cell>
          <cell r="T602">
            <v>1.6</v>
          </cell>
        </row>
        <row r="603">
          <cell r="B603" t="str">
            <v>CHCOS120</v>
          </cell>
          <cell r="C603">
            <v>1</v>
          </cell>
          <cell r="E603">
            <v>0</v>
          </cell>
          <cell r="F603" t="str">
            <v>Chụp đầu cosse  120mm2</v>
          </cell>
          <cell r="G603" t="str">
            <v>cái</v>
          </cell>
          <cell r="H603">
            <v>16</v>
          </cell>
          <cell r="I603">
            <v>3900</v>
          </cell>
          <cell r="K603">
            <v>0</v>
          </cell>
          <cell r="L603">
            <v>0</v>
          </cell>
          <cell r="M603">
            <v>62400</v>
          </cell>
          <cell r="N603">
            <v>0</v>
          </cell>
          <cell r="O603">
            <v>0</v>
          </cell>
          <cell r="P603">
            <v>0</v>
          </cell>
          <cell r="S603">
            <v>0</v>
          </cell>
          <cell r="T603">
            <v>0</v>
          </cell>
        </row>
        <row r="604">
          <cell r="B604" t="str">
            <v>CHCOS70</v>
          </cell>
          <cell r="C604">
            <v>1</v>
          </cell>
          <cell r="E604">
            <v>0</v>
          </cell>
          <cell r="F604" t="str">
            <v>Chụp đầu cosse  70mm2</v>
          </cell>
          <cell r="G604" t="str">
            <v>cái</v>
          </cell>
          <cell r="H604">
            <v>8</v>
          </cell>
          <cell r="I604">
            <v>2300</v>
          </cell>
          <cell r="K604">
            <v>0</v>
          </cell>
          <cell r="L604">
            <v>0</v>
          </cell>
          <cell r="M604">
            <v>18400</v>
          </cell>
          <cell r="N604">
            <v>0</v>
          </cell>
          <cell r="O604">
            <v>0</v>
          </cell>
          <cell r="P604">
            <v>0</v>
          </cell>
          <cell r="S604">
            <v>0</v>
          </cell>
          <cell r="T604">
            <v>0</v>
          </cell>
        </row>
        <row r="605">
          <cell r="B605" t="str">
            <v>PVC90</v>
          </cell>
          <cell r="C605">
            <v>1</v>
          </cell>
          <cell r="E605">
            <v>0</v>
          </cell>
          <cell r="F605" t="str">
            <v xml:space="preserve">Ống PVC D90x3,8mm </v>
          </cell>
          <cell r="G605" t="str">
            <v>m</v>
          </cell>
          <cell r="H605">
            <v>48</v>
          </cell>
          <cell r="I605">
            <v>63200</v>
          </cell>
          <cell r="K605">
            <v>0</v>
          </cell>
          <cell r="L605">
            <v>0</v>
          </cell>
          <cell r="M605">
            <v>3033600</v>
          </cell>
          <cell r="N605">
            <v>0</v>
          </cell>
          <cell r="O605">
            <v>0</v>
          </cell>
          <cell r="P605">
            <v>0</v>
          </cell>
          <cell r="S605">
            <v>2</v>
          </cell>
          <cell r="T605">
            <v>96</v>
          </cell>
        </row>
        <row r="606">
          <cell r="B606" t="str">
            <v>CD90</v>
          </cell>
          <cell r="C606">
            <v>1</v>
          </cell>
          <cell r="F606" t="str">
            <v>Cổ dê kẹp ống PVC φ 90 (có giá nới) (CD: 230)</v>
          </cell>
          <cell r="G606" t="str">
            <v>bộ</v>
          </cell>
          <cell r="H606">
            <v>8</v>
          </cell>
          <cell r="I606">
            <v>74000</v>
          </cell>
          <cell r="K606">
            <v>0</v>
          </cell>
          <cell r="L606">
            <v>0</v>
          </cell>
          <cell r="M606">
            <v>592000</v>
          </cell>
          <cell r="N606">
            <v>0</v>
          </cell>
          <cell r="O606">
            <v>0</v>
          </cell>
          <cell r="P606">
            <v>0</v>
          </cell>
          <cell r="S606">
            <v>1.5</v>
          </cell>
          <cell r="T606">
            <v>12</v>
          </cell>
        </row>
        <row r="607">
          <cell r="B607" t="str">
            <v>CD90</v>
          </cell>
          <cell r="C607">
            <v>1</v>
          </cell>
          <cell r="F607" t="str">
            <v>Cổ dê kẹp ống PVC φ 90 (có giá nới) (CD: 250)</v>
          </cell>
          <cell r="G607" t="str">
            <v>bộ</v>
          </cell>
          <cell r="H607">
            <v>8</v>
          </cell>
          <cell r="I607">
            <v>74000</v>
          </cell>
          <cell r="K607">
            <v>0</v>
          </cell>
          <cell r="L607">
            <v>0</v>
          </cell>
          <cell r="M607">
            <v>592000</v>
          </cell>
          <cell r="N607">
            <v>0</v>
          </cell>
          <cell r="O607">
            <v>0</v>
          </cell>
          <cell r="P607">
            <v>0</v>
          </cell>
          <cell r="S607">
            <v>1.5</v>
          </cell>
          <cell r="T607">
            <v>12</v>
          </cell>
        </row>
        <row r="608">
          <cell r="B608" t="str">
            <v>CD90</v>
          </cell>
          <cell r="C608">
            <v>1</v>
          </cell>
          <cell r="F608" t="str">
            <v>Cổ dê kẹp ống PVC φ 90 (có giá nới) (CD: 280)</v>
          </cell>
          <cell r="G608" t="str">
            <v>bộ</v>
          </cell>
          <cell r="H608">
            <v>8</v>
          </cell>
          <cell r="I608">
            <v>74000</v>
          </cell>
          <cell r="K608">
            <v>0</v>
          </cell>
          <cell r="L608">
            <v>0</v>
          </cell>
          <cell r="M608">
            <v>592000</v>
          </cell>
          <cell r="N608">
            <v>0</v>
          </cell>
          <cell r="O608">
            <v>0</v>
          </cell>
          <cell r="P608">
            <v>0</v>
          </cell>
          <cell r="S608">
            <v>1.5</v>
          </cell>
          <cell r="T608">
            <v>12</v>
          </cell>
        </row>
        <row r="609">
          <cell r="B609" t="str">
            <v>CUT90TD</v>
          </cell>
          <cell r="C609">
            <v>1</v>
          </cell>
          <cell r="E609">
            <v>0</v>
          </cell>
          <cell r="F609" t="str">
            <v>Co  90 độ PVC 90 (Loại dày)</v>
          </cell>
          <cell r="G609" t="str">
            <v>cái</v>
          </cell>
          <cell r="H609">
            <v>8</v>
          </cell>
          <cell r="I609">
            <v>45400</v>
          </cell>
          <cell r="K609">
            <v>0</v>
          </cell>
          <cell r="L609">
            <v>0</v>
          </cell>
          <cell r="M609">
            <v>363200</v>
          </cell>
          <cell r="N609">
            <v>0</v>
          </cell>
          <cell r="O609">
            <v>0</v>
          </cell>
          <cell r="P609">
            <v>0</v>
          </cell>
          <cell r="S609">
            <v>0</v>
          </cell>
          <cell r="T609">
            <v>0</v>
          </cell>
        </row>
        <row r="610">
          <cell r="B610" t="str">
            <v>CUT90135</v>
          </cell>
          <cell r="C610">
            <v>1</v>
          </cell>
          <cell r="E610">
            <v>0</v>
          </cell>
          <cell r="F610" t="str">
            <v>Co 135 độ PVC 90</v>
          </cell>
          <cell r="G610" t="str">
            <v>cái</v>
          </cell>
          <cell r="H610">
            <v>8</v>
          </cell>
          <cell r="I610">
            <v>33900</v>
          </cell>
          <cell r="K610">
            <v>0</v>
          </cell>
          <cell r="L610">
            <v>0</v>
          </cell>
          <cell r="M610">
            <v>271200</v>
          </cell>
          <cell r="N610">
            <v>0</v>
          </cell>
          <cell r="O610">
            <v>0</v>
          </cell>
          <cell r="P610">
            <v>0</v>
          </cell>
          <cell r="S610">
            <v>0</v>
          </cell>
          <cell r="T610">
            <v>0</v>
          </cell>
        </row>
        <row r="611">
          <cell r="B611" t="str">
            <v>LPVC90CL</v>
          </cell>
          <cell r="C611">
            <v>1</v>
          </cell>
          <cell r="E611" t="str">
            <v>T4.8003</v>
          </cell>
          <cell r="F611" t="str">
            <v>Lắp ống nhựa PVC D90</v>
          </cell>
          <cell r="G611" t="str">
            <v>mét</v>
          </cell>
          <cell r="H611">
            <v>48</v>
          </cell>
          <cell r="I611">
            <v>0</v>
          </cell>
          <cell r="K611">
            <v>35541</v>
          </cell>
          <cell r="L611">
            <v>0</v>
          </cell>
          <cell r="M611">
            <v>0</v>
          </cell>
          <cell r="N611">
            <v>0</v>
          </cell>
          <cell r="O611">
            <v>1705968</v>
          </cell>
          <cell r="P611">
            <v>0</v>
          </cell>
          <cell r="S611">
            <v>0</v>
          </cell>
          <cell r="T611">
            <v>0</v>
          </cell>
        </row>
        <row r="612">
          <cell r="B612" t="str">
            <v>LCAPDONGTB95</v>
          </cell>
          <cell r="C612">
            <v>1</v>
          </cell>
          <cell r="E612" t="str">
            <v>T4.4201</v>
          </cell>
          <cell r="F612" t="str">
            <v>Lắp cáp đồng xuống thiết bị D ≤ 95mm2</v>
          </cell>
          <cell r="G612" t="str">
            <v>m</v>
          </cell>
          <cell r="H612">
            <v>80</v>
          </cell>
          <cell r="I612">
            <v>0</v>
          </cell>
          <cell r="K612">
            <v>11847</v>
          </cell>
          <cell r="L612">
            <v>0</v>
          </cell>
          <cell r="M612">
            <v>0</v>
          </cell>
          <cell r="N612">
            <v>0</v>
          </cell>
          <cell r="O612">
            <v>947760</v>
          </cell>
          <cell r="P612">
            <v>0</v>
          </cell>
          <cell r="S612">
            <v>0</v>
          </cell>
          <cell r="T612">
            <v>0</v>
          </cell>
        </row>
        <row r="613">
          <cell r="B613" t="str">
            <v>LCAPDONGTB150</v>
          </cell>
          <cell r="C613">
            <v>1</v>
          </cell>
          <cell r="E613" t="str">
            <v>T4.4202</v>
          </cell>
          <cell r="F613" t="str">
            <v>Lắp cáp đồng xuống thiết bị D ≤ 150mm2</v>
          </cell>
          <cell r="G613" t="str">
            <v>m</v>
          </cell>
          <cell r="H613">
            <v>160</v>
          </cell>
          <cell r="I613">
            <v>0</v>
          </cell>
          <cell r="K613">
            <v>28433</v>
          </cell>
          <cell r="L613">
            <v>0</v>
          </cell>
          <cell r="M613">
            <v>0</v>
          </cell>
          <cell r="N613">
            <v>0</v>
          </cell>
          <cell r="O613">
            <v>4549280</v>
          </cell>
          <cell r="P613">
            <v>0</v>
          </cell>
          <cell r="S613">
            <v>0</v>
          </cell>
          <cell r="T613">
            <v>0</v>
          </cell>
        </row>
        <row r="614">
          <cell r="C614">
            <v>1</v>
          </cell>
          <cell r="D614">
            <v>7</v>
          </cell>
          <cell r="F614" t="str">
            <v>Bộ dây dẫn hạ thế lộ lên</v>
          </cell>
          <cell r="G614" t="str">
            <v>Bộ</v>
          </cell>
          <cell r="H614">
            <v>16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S614">
            <v>0</v>
          </cell>
          <cell r="T614">
            <v>0</v>
          </cell>
        </row>
        <row r="615">
          <cell r="C615">
            <v>0</v>
          </cell>
          <cell r="F615" t="str">
            <v>Gồm có: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S615">
            <v>0</v>
          </cell>
          <cell r="T615">
            <v>0</v>
          </cell>
        </row>
        <row r="616">
          <cell r="B616" t="str">
            <v>CV70</v>
          </cell>
          <cell r="C616">
            <v>1</v>
          </cell>
          <cell r="E616">
            <v>0</v>
          </cell>
          <cell r="F616" t="str">
            <v>Cáp đồng bọc CV70</v>
          </cell>
          <cell r="G616" t="str">
            <v>mét</v>
          </cell>
          <cell r="H616">
            <v>316</v>
          </cell>
          <cell r="I616">
            <v>124570</v>
          </cell>
          <cell r="K616">
            <v>0</v>
          </cell>
          <cell r="L616">
            <v>0</v>
          </cell>
          <cell r="M616">
            <v>39364120</v>
          </cell>
          <cell r="N616">
            <v>0</v>
          </cell>
          <cell r="O616">
            <v>0</v>
          </cell>
          <cell r="P616">
            <v>0</v>
          </cell>
          <cell r="Q616" t="str">
            <v>9m*2 sợi* 2 lộ*TBA</v>
          </cell>
          <cell r="S616">
            <v>0.73899999999999999</v>
          </cell>
          <cell r="T616">
            <v>233.524</v>
          </cell>
        </row>
        <row r="617">
          <cell r="B617" t="str">
            <v>CV50</v>
          </cell>
          <cell r="C617">
            <v>1</v>
          </cell>
          <cell r="E617">
            <v>0</v>
          </cell>
          <cell r="F617" t="str">
            <v>Cáp đồng bọc CV50</v>
          </cell>
          <cell r="G617" t="str">
            <v>mét</v>
          </cell>
          <cell r="H617">
            <v>144</v>
          </cell>
          <cell r="I617">
            <v>90810</v>
          </cell>
          <cell r="K617">
            <v>0</v>
          </cell>
          <cell r="L617">
            <v>0</v>
          </cell>
          <cell r="M617">
            <v>13076640</v>
          </cell>
          <cell r="N617">
            <v>0</v>
          </cell>
          <cell r="O617">
            <v>0</v>
          </cell>
          <cell r="P617">
            <v>0</v>
          </cell>
          <cell r="Q617" t="str">
            <v>9m*1 sợi* 2 lộ*TBA</v>
          </cell>
          <cell r="S617">
            <v>0.53400000000000003</v>
          </cell>
          <cell r="T617">
            <v>76.896000000000001</v>
          </cell>
        </row>
        <row r="618">
          <cell r="B618" t="str">
            <v>COS70</v>
          </cell>
          <cell r="C618">
            <v>1</v>
          </cell>
          <cell r="E618">
            <v>0</v>
          </cell>
          <cell r="F618" t="str">
            <v>Đầu cosse ép Cu 70mm2</v>
          </cell>
          <cell r="G618" t="str">
            <v>cái</v>
          </cell>
          <cell r="H618">
            <v>88</v>
          </cell>
          <cell r="I618">
            <v>34500</v>
          </cell>
          <cell r="K618">
            <v>0</v>
          </cell>
          <cell r="L618">
            <v>0</v>
          </cell>
          <cell r="M618">
            <v>3036000</v>
          </cell>
          <cell r="N618">
            <v>0</v>
          </cell>
          <cell r="O618">
            <v>0</v>
          </cell>
          <cell r="P618">
            <v>0</v>
          </cell>
          <cell r="S618">
            <v>0.2</v>
          </cell>
          <cell r="T618">
            <v>17.600000000000001</v>
          </cell>
        </row>
        <row r="619">
          <cell r="B619" t="str">
            <v>COS50</v>
          </cell>
          <cell r="C619">
            <v>1</v>
          </cell>
          <cell r="E619">
            <v>0</v>
          </cell>
          <cell r="F619" t="str">
            <v>Đầu cosse ép Cu 50mm2</v>
          </cell>
          <cell r="G619" t="str">
            <v>cái</v>
          </cell>
          <cell r="H619">
            <v>16</v>
          </cell>
          <cell r="I619">
            <v>24000</v>
          </cell>
          <cell r="K619">
            <v>0</v>
          </cell>
          <cell r="L619">
            <v>0</v>
          </cell>
          <cell r="M619">
            <v>384000</v>
          </cell>
          <cell r="N619">
            <v>0</v>
          </cell>
          <cell r="O619">
            <v>0</v>
          </cell>
          <cell r="P619">
            <v>0</v>
          </cell>
          <cell r="S619">
            <v>0.1</v>
          </cell>
          <cell r="T619">
            <v>1.6</v>
          </cell>
        </row>
        <row r="620">
          <cell r="B620" t="str">
            <v>CHCOS70</v>
          </cell>
          <cell r="C620">
            <v>1</v>
          </cell>
          <cell r="E620">
            <v>0</v>
          </cell>
          <cell r="F620" t="str">
            <v>Chụp đầu cosse  70mm2</v>
          </cell>
          <cell r="G620" t="str">
            <v>cái</v>
          </cell>
          <cell r="H620">
            <v>88</v>
          </cell>
          <cell r="I620">
            <v>2300</v>
          </cell>
          <cell r="K620">
            <v>0</v>
          </cell>
          <cell r="L620">
            <v>0</v>
          </cell>
          <cell r="M620">
            <v>202400</v>
          </cell>
          <cell r="N620">
            <v>0</v>
          </cell>
          <cell r="O620">
            <v>0</v>
          </cell>
          <cell r="P620">
            <v>0</v>
          </cell>
          <cell r="S620">
            <v>0</v>
          </cell>
          <cell r="T620">
            <v>0</v>
          </cell>
        </row>
        <row r="621">
          <cell r="B621" t="str">
            <v>CHCOS50</v>
          </cell>
          <cell r="C621">
            <v>1</v>
          </cell>
          <cell r="E621">
            <v>0</v>
          </cell>
          <cell r="F621" t="str">
            <v>Chụp đầu cosse  50mm2</v>
          </cell>
          <cell r="G621" t="str">
            <v>cái</v>
          </cell>
          <cell r="H621">
            <v>16</v>
          </cell>
          <cell r="I621">
            <v>1300</v>
          </cell>
          <cell r="K621">
            <v>0</v>
          </cell>
          <cell r="L621">
            <v>0</v>
          </cell>
          <cell r="M621">
            <v>20800</v>
          </cell>
          <cell r="N621">
            <v>0</v>
          </cell>
          <cell r="O621">
            <v>0</v>
          </cell>
          <cell r="P621">
            <v>0</v>
          </cell>
          <cell r="S621">
            <v>0</v>
          </cell>
          <cell r="T621">
            <v>0</v>
          </cell>
        </row>
        <row r="622">
          <cell r="B622" t="str">
            <v>PVC90</v>
          </cell>
          <cell r="C622">
            <v>1</v>
          </cell>
          <cell r="E622">
            <v>0</v>
          </cell>
          <cell r="F622" t="str">
            <v xml:space="preserve">Ống PVC D90x3,8mm </v>
          </cell>
          <cell r="G622" t="str">
            <v>m</v>
          </cell>
          <cell r="H622">
            <v>96</v>
          </cell>
          <cell r="I622">
            <v>63200</v>
          </cell>
          <cell r="K622">
            <v>0</v>
          </cell>
          <cell r="L622">
            <v>0</v>
          </cell>
          <cell r="M622">
            <v>6067200</v>
          </cell>
          <cell r="N622">
            <v>0</v>
          </cell>
          <cell r="O622">
            <v>0</v>
          </cell>
          <cell r="P622">
            <v>0</v>
          </cell>
          <cell r="Q622" t="str">
            <v>6m/ lộ</v>
          </cell>
          <cell r="S622">
            <v>2</v>
          </cell>
          <cell r="T622">
            <v>192</v>
          </cell>
        </row>
        <row r="623">
          <cell r="B623" t="str">
            <v>CD90</v>
          </cell>
          <cell r="C623">
            <v>1</v>
          </cell>
          <cell r="F623" t="str">
            <v>Cổ dê kẹp ống PVC φ 90 (có giá nới) (CD: 250)</v>
          </cell>
          <cell r="G623" t="str">
            <v>bộ</v>
          </cell>
          <cell r="H623">
            <v>16</v>
          </cell>
          <cell r="I623">
            <v>74000</v>
          </cell>
          <cell r="L623">
            <v>0</v>
          </cell>
          <cell r="M623">
            <v>1184000</v>
          </cell>
          <cell r="N623">
            <v>0</v>
          </cell>
          <cell r="O623">
            <v>0</v>
          </cell>
          <cell r="P623">
            <v>0</v>
          </cell>
          <cell r="S623">
            <v>1.5</v>
          </cell>
          <cell r="T623">
            <v>24</v>
          </cell>
        </row>
        <row r="624">
          <cell r="B624" t="str">
            <v>CD90</v>
          </cell>
          <cell r="C624">
            <v>1</v>
          </cell>
          <cell r="F624" t="str">
            <v>Cổ dê kẹp ống PVC φ 90 (có giá nới) (CD: 280)</v>
          </cell>
          <cell r="G624" t="str">
            <v>bộ</v>
          </cell>
          <cell r="H624">
            <v>16</v>
          </cell>
          <cell r="I624">
            <v>74000</v>
          </cell>
          <cell r="L624">
            <v>0</v>
          </cell>
          <cell r="M624">
            <v>1184000</v>
          </cell>
          <cell r="N624">
            <v>0</v>
          </cell>
          <cell r="O624">
            <v>0</v>
          </cell>
          <cell r="P624">
            <v>0</v>
          </cell>
          <cell r="S624">
            <v>1.5</v>
          </cell>
          <cell r="T624">
            <v>24</v>
          </cell>
        </row>
        <row r="625">
          <cell r="B625" t="str">
            <v>CD90</v>
          </cell>
          <cell r="C625">
            <v>1</v>
          </cell>
          <cell r="F625" t="str">
            <v>Cổ dê kẹp ống PVC φ 90 (có giá nới) (CD: 320)</v>
          </cell>
          <cell r="G625" t="str">
            <v>bộ</v>
          </cell>
          <cell r="H625">
            <v>16</v>
          </cell>
          <cell r="I625">
            <v>74000</v>
          </cell>
          <cell r="L625">
            <v>0</v>
          </cell>
          <cell r="M625">
            <v>1184000</v>
          </cell>
          <cell r="N625">
            <v>0</v>
          </cell>
          <cell r="O625">
            <v>0</v>
          </cell>
          <cell r="P625">
            <v>0</v>
          </cell>
          <cell r="S625">
            <v>1.5</v>
          </cell>
          <cell r="T625">
            <v>24</v>
          </cell>
        </row>
        <row r="626">
          <cell r="B626" t="str">
            <v>CUT90TD</v>
          </cell>
          <cell r="C626">
            <v>1</v>
          </cell>
          <cell r="E626">
            <v>0</v>
          </cell>
          <cell r="F626" t="str">
            <v>Co  90 độ PVC 90 (Loại dày)</v>
          </cell>
          <cell r="G626" t="str">
            <v>cái</v>
          </cell>
          <cell r="H626">
            <v>16</v>
          </cell>
          <cell r="I626">
            <v>45400</v>
          </cell>
          <cell r="K626">
            <v>0</v>
          </cell>
          <cell r="L626">
            <v>0</v>
          </cell>
          <cell r="M626">
            <v>726400</v>
          </cell>
          <cell r="N626">
            <v>0</v>
          </cell>
          <cell r="O626">
            <v>0</v>
          </cell>
          <cell r="P626">
            <v>0</v>
          </cell>
          <cell r="S626">
            <v>0</v>
          </cell>
          <cell r="T626">
            <v>0</v>
          </cell>
        </row>
        <row r="627">
          <cell r="B627" t="str">
            <v>CUT90T</v>
          </cell>
          <cell r="C627">
            <v>1</v>
          </cell>
          <cell r="E627">
            <v>0</v>
          </cell>
          <cell r="F627" t="str">
            <v>Co  90 độ PVC 90</v>
          </cell>
          <cell r="G627" t="str">
            <v>cái</v>
          </cell>
          <cell r="H627">
            <v>32</v>
          </cell>
          <cell r="I627">
            <v>35200</v>
          </cell>
          <cell r="K627">
            <v>0</v>
          </cell>
          <cell r="L627">
            <v>0</v>
          </cell>
          <cell r="M627">
            <v>1126400</v>
          </cell>
          <cell r="N627">
            <v>0</v>
          </cell>
          <cell r="O627">
            <v>0</v>
          </cell>
          <cell r="P627">
            <v>0</v>
          </cell>
          <cell r="S627">
            <v>0</v>
          </cell>
          <cell r="T627">
            <v>0</v>
          </cell>
        </row>
        <row r="628">
          <cell r="B628" t="str">
            <v>CUT90135</v>
          </cell>
          <cell r="C628">
            <v>1</v>
          </cell>
          <cell r="E628">
            <v>0</v>
          </cell>
          <cell r="F628" t="str">
            <v>Co 135 độ PVC 90</v>
          </cell>
          <cell r="G628" t="str">
            <v>cái</v>
          </cell>
          <cell r="H628">
            <v>16</v>
          </cell>
          <cell r="I628">
            <v>33900</v>
          </cell>
          <cell r="K628">
            <v>0</v>
          </cell>
          <cell r="L628">
            <v>0</v>
          </cell>
          <cell r="M628">
            <v>542400</v>
          </cell>
          <cell r="N628">
            <v>0</v>
          </cell>
          <cell r="O628">
            <v>0</v>
          </cell>
          <cell r="P628">
            <v>0</v>
          </cell>
          <cell r="S628">
            <v>0</v>
          </cell>
          <cell r="T628">
            <v>0</v>
          </cell>
        </row>
        <row r="629">
          <cell r="B629" t="str">
            <v>KVRT90</v>
          </cell>
          <cell r="C629">
            <v>1</v>
          </cell>
          <cell r="E629">
            <v>0</v>
          </cell>
          <cell r="F629" t="str">
            <v>Khâu ven răng trong D90</v>
          </cell>
          <cell r="G629" t="str">
            <v>cái</v>
          </cell>
          <cell r="H629">
            <v>16</v>
          </cell>
          <cell r="I629">
            <v>25800</v>
          </cell>
          <cell r="K629">
            <v>0</v>
          </cell>
          <cell r="L629">
            <v>0</v>
          </cell>
          <cell r="M629">
            <v>412800</v>
          </cell>
          <cell r="N629">
            <v>0</v>
          </cell>
          <cell r="O629">
            <v>0</v>
          </cell>
          <cell r="P629">
            <v>0</v>
          </cell>
          <cell r="S629">
            <v>0</v>
          </cell>
          <cell r="T629">
            <v>0</v>
          </cell>
        </row>
        <row r="630">
          <cell r="B630" t="str">
            <v>KVRN90</v>
          </cell>
          <cell r="C630">
            <v>1</v>
          </cell>
          <cell r="E630">
            <v>0</v>
          </cell>
          <cell r="F630" t="str">
            <v>Khâu ven răng ngoài D90</v>
          </cell>
          <cell r="G630" t="str">
            <v>cái</v>
          </cell>
          <cell r="H630">
            <v>16</v>
          </cell>
          <cell r="I630">
            <v>21500</v>
          </cell>
          <cell r="K630">
            <v>0</v>
          </cell>
          <cell r="L630">
            <v>0</v>
          </cell>
          <cell r="M630">
            <v>344000</v>
          </cell>
          <cell r="N630">
            <v>0</v>
          </cell>
          <cell r="O630">
            <v>0</v>
          </cell>
          <cell r="P630">
            <v>0</v>
          </cell>
          <cell r="S630">
            <v>0</v>
          </cell>
          <cell r="T630">
            <v>0</v>
          </cell>
        </row>
        <row r="631">
          <cell r="B631" t="str">
            <v>KEODAN</v>
          </cell>
          <cell r="C631">
            <v>1</v>
          </cell>
          <cell r="E631">
            <v>0</v>
          </cell>
          <cell r="F631" t="str">
            <v>Keo dán ống PVC (100gr)</v>
          </cell>
          <cell r="G631" t="str">
            <v>tuýp</v>
          </cell>
          <cell r="H631">
            <v>8</v>
          </cell>
          <cell r="I631">
            <v>11500</v>
          </cell>
          <cell r="K631">
            <v>0</v>
          </cell>
          <cell r="L631">
            <v>0</v>
          </cell>
          <cell r="M631">
            <v>92000</v>
          </cell>
          <cell r="N631">
            <v>0</v>
          </cell>
          <cell r="O631">
            <v>0</v>
          </cell>
          <cell r="P631">
            <v>0</v>
          </cell>
          <cell r="S631">
            <v>0</v>
          </cell>
          <cell r="T631">
            <v>0</v>
          </cell>
        </row>
        <row r="632">
          <cell r="B632" t="str">
            <v>KEOBIT</v>
          </cell>
          <cell r="C632">
            <v>1</v>
          </cell>
          <cell r="E632">
            <v>0</v>
          </cell>
          <cell r="F632" t="str">
            <v>Keo silicon bít miệng ống</v>
          </cell>
          <cell r="G632" t="str">
            <v>ống</v>
          </cell>
          <cell r="H632">
            <v>16</v>
          </cell>
          <cell r="I632">
            <v>45000</v>
          </cell>
          <cell r="K632">
            <v>0</v>
          </cell>
          <cell r="L632">
            <v>0</v>
          </cell>
          <cell r="M632">
            <v>720000</v>
          </cell>
          <cell r="N632">
            <v>0</v>
          </cell>
          <cell r="O632">
            <v>0</v>
          </cell>
          <cell r="P632">
            <v>0</v>
          </cell>
          <cell r="S632">
            <v>0</v>
          </cell>
          <cell r="T632">
            <v>0</v>
          </cell>
        </row>
        <row r="633">
          <cell r="B633" t="str">
            <v>KNGUNG120</v>
          </cell>
          <cell r="C633">
            <v>1</v>
          </cell>
          <cell r="E633">
            <v>0</v>
          </cell>
          <cell r="F633" t="str">
            <v>Kẹp ngừng cáp ABC4x120mm2</v>
          </cell>
          <cell r="G633" t="str">
            <v>cái</v>
          </cell>
          <cell r="H633">
            <v>16</v>
          </cell>
          <cell r="I633">
            <v>74000</v>
          </cell>
          <cell r="K633">
            <v>0</v>
          </cell>
          <cell r="L633">
            <v>0</v>
          </cell>
          <cell r="M633">
            <v>1184000</v>
          </cell>
          <cell r="N633">
            <v>0</v>
          </cell>
          <cell r="O633">
            <v>0</v>
          </cell>
          <cell r="P633">
            <v>0</v>
          </cell>
          <cell r="S633">
            <v>0</v>
          </cell>
          <cell r="T633">
            <v>0</v>
          </cell>
        </row>
        <row r="634">
          <cell r="B634" t="str">
            <v>BMOC16300</v>
          </cell>
          <cell r="C634">
            <v>1</v>
          </cell>
          <cell r="E634">
            <v>0</v>
          </cell>
          <cell r="F634" t="str">
            <v>Boulon móc 16x300+ long đền vuông D18-50x50x3/Zn</v>
          </cell>
          <cell r="G634" t="str">
            <v>bộ</v>
          </cell>
          <cell r="H634">
            <v>16</v>
          </cell>
          <cell r="I634">
            <v>41500</v>
          </cell>
          <cell r="K634">
            <v>0</v>
          </cell>
          <cell r="L634">
            <v>0</v>
          </cell>
          <cell r="M634">
            <v>664000</v>
          </cell>
          <cell r="N634">
            <v>0</v>
          </cell>
          <cell r="O634">
            <v>0</v>
          </cell>
          <cell r="P634">
            <v>0</v>
          </cell>
          <cell r="S634">
            <v>0.3</v>
          </cell>
          <cell r="T634">
            <v>4.8</v>
          </cell>
        </row>
        <row r="635">
          <cell r="B635" t="str">
            <v>ON70</v>
          </cell>
          <cell r="C635">
            <v>1</v>
          </cell>
          <cell r="E635">
            <v>0</v>
          </cell>
          <cell r="F635" t="str">
            <v>Ống nối dây AC cỡ 70mm2 (Không lõi thép)</v>
          </cell>
          <cell r="G635" t="str">
            <v>cái</v>
          </cell>
          <cell r="H635">
            <v>24</v>
          </cell>
          <cell r="I635">
            <v>40000</v>
          </cell>
          <cell r="K635">
            <v>0</v>
          </cell>
          <cell r="L635">
            <v>0</v>
          </cell>
          <cell r="M635">
            <v>960000</v>
          </cell>
          <cell r="N635">
            <v>0</v>
          </cell>
          <cell r="O635">
            <v>0</v>
          </cell>
          <cell r="P635">
            <v>0</v>
          </cell>
          <cell r="S635">
            <v>2</v>
          </cell>
          <cell r="T635">
            <v>48</v>
          </cell>
        </row>
        <row r="636">
          <cell r="B636" t="str">
            <v>OBCD</v>
          </cell>
          <cell r="C636">
            <v>1</v>
          </cell>
          <cell r="E636">
            <v>0</v>
          </cell>
          <cell r="F636" t="str">
            <v>Ống bọc cách điện D30</v>
          </cell>
          <cell r="G636" t="str">
            <v>mét</v>
          </cell>
          <cell r="H636">
            <v>24</v>
          </cell>
          <cell r="I636">
            <v>95000</v>
          </cell>
          <cell r="K636">
            <v>0</v>
          </cell>
          <cell r="L636">
            <v>0</v>
          </cell>
          <cell r="M636">
            <v>2280000</v>
          </cell>
          <cell r="N636">
            <v>0</v>
          </cell>
          <cell r="O636">
            <v>0</v>
          </cell>
          <cell r="P636">
            <v>0</v>
          </cell>
          <cell r="S636">
            <v>0</v>
          </cell>
          <cell r="T636">
            <v>0</v>
          </cell>
        </row>
        <row r="637">
          <cell r="B637" t="str">
            <v>BANGKEO</v>
          </cell>
          <cell r="C637">
            <v>1</v>
          </cell>
          <cell r="E637">
            <v>0</v>
          </cell>
          <cell r="F637" t="str">
            <v>Băng keo cách điện (Màu đen)</v>
          </cell>
          <cell r="G637" t="str">
            <v>cuộn</v>
          </cell>
          <cell r="H637">
            <v>8</v>
          </cell>
          <cell r="I637">
            <v>6500</v>
          </cell>
          <cell r="K637">
            <v>0</v>
          </cell>
          <cell r="L637">
            <v>0</v>
          </cell>
          <cell r="M637">
            <v>52000</v>
          </cell>
          <cell r="N637">
            <v>0</v>
          </cell>
          <cell r="O637">
            <v>0</v>
          </cell>
          <cell r="P637">
            <v>0</v>
          </cell>
          <cell r="S637">
            <v>0</v>
          </cell>
          <cell r="T637">
            <v>0</v>
          </cell>
        </row>
        <row r="638">
          <cell r="B638" t="str">
            <v>LPVC90CL</v>
          </cell>
          <cell r="C638">
            <v>1</v>
          </cell>
          <cell r="E638" t="str">
            <v>T4.8003</v>
          </cell>
          <cell r="F638" t="str">
            <v>Lắp ống nhựa PVC D90</v>
          </cell>
          <cell r="G638" t="str">
            <v>mét</v>
          </cell>
          <cell r="H638">
            <v>96</v>
          </cell>
          <cell r="I638">
            <v>0</v>
          </cell>
          <cell r="K638">
            <v>35541</v>
          </cell>
          <cell r="L638">
            <v>0</v>
          </cell>
          <cell r="M638">
            <v>0</v>
          </cell>
          <cell r="N638">
            <v>0</v>
          </cell>
          <cell r="O638">
            <v>3411936</v>
          </cell>
          <cell r="P638">
            <v>0</v>
          </cell>
          <cell r="S638">
            <v>0</v>
          </cell>
          <cell r="T638">
            <v>0</v>
          </cell>
        </row>
        <row r="639">
          <cell r="B639" t="str">
            <v>LCAPDONGTB95</v>
          </cell>
          <cell r="C639">
            <v>1</v>
          </cell>
          <cell r="E639" t="str">
            <v>T4.4201</v>
          </cell>
          <cell r="F639" t="str">
            <v>Lắp cáp đồng xuống thiết bị D ≤ 95mm2</v>
          </cell>
          <cell r="G639" t="str">
            <v>m</v>
          </cell>
          <cell r="H639">
            <v>460</v>
          </cell>
          <cell r="I639">
            <v>0</v>
          </cell>
          <cell r="K639">
            <v>11847</v>
          </cell>
          <cell r="L639">
            <v>0</v>
          </cell>
          <cell r="M639">
            <v>0</v>
          </cell>
          <cell r="N639">
            <v>0</v>
          </cell>
          <cell r="O639">
            <v>5449620</v>
          </cell>
          <cell r="P639">
            <v>0</v>
          </cell>
          <cell r="S639">
            <v>0</v>
          </cell>
          <cell r="T639">
            <v>0</v>
          </cell>
        </row>
        <row r="640">
          <cell r="B640" t="str">
            <v>BANG</v>
          </cell>
          <cell r="C640">
            <v>1</v>
          </cell>
          <cell r="D640">
            <v>8</v>
          </cell>
          <cell r="E640">
            <v>0</v>
          </cell>
          <cell r="F640" t="str">
            <v>Bảng tên trạm + bulon</v>
          </cell>
          <cell r="G640" t="str">
            <v>bộ</v>
          </cell>
          <cell r="H640">
            <v>8</v>
          </cell>
          <cell r="I640">
            <v>100000</v>
          </cell>
          <cell r="M640">
            <v>800000</v>
          </cell>
          <cell r="N640">
            <v>0</v>
          </cell>
          <cell r="O640">
            <v>0</v>
          </cell>
          <cell r="P640">
            <v>0</v>
          </cell>
          <cell r="S640">
            <v>0</v>
          </cell>
          <cell r="T640">
            <v>0</v>
          </cell>
        </row>
        <row r="641">
          <cell r="A641" t="str">
            <v>TR100</v>
          </cell>
          <cell r="C641" t="str">
            <v>X</v>
          </cell>
          <cell r="D641" t="str">
            <v>VII</v>
          </cell>
          <cell r="E641" t="str">
            <v>0 Trạm 1 pha 100kVA</v>
          </cell>
          <cell r="S641">
            <v>0</v>
          </cell>
          <cell r="T641">
            <v>0</v>
          </cell>
        </row>
        <row r="642">
          <cell r="A642" t="str">
            <v>TBTR100</v>
          </cell>
          <cell r="C642" t="str">
            <v>X</v>
          </cell>
          <cell r="F642" t="str">
            <v>A.PHẦN THIẾT BỊ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S642">
            <v>0</v>
          </cell>
          <cell r="T642">
            <v>0</v>
          </cell>
        </row>
        <row r="643">
          <cell r="A643" t="str">
            <v/>
          </cell>
          <cell r="B643" t="str">
            <v>TR251</v>
          </cell>
          <cell r="C643" t="str">
            <v>X</v>
          </cell>
          <cell r="E643" t="str">
            <v>T1.1431</v>
          </cell>
          <cell r="F643" t="str">
            <v>Máy biến áp AMORPHOUS 12,7/0,22-0,44kV 25kVA</v>
          </cell>
          <cell r="G643" t="str">
            <v>máy</v>
          </cell>
          <cell r="H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S643">
            <v>320</v>
          </cell>
          <cell r="T643">
            <v>0</v>
          </cell>
        </row>
        <row r="644">
          <cell r="A644" t="str">
            <v/>
          </cell>
          <cell r="B644" t="str">
            <v>FCO100</v>
          </cell>
          <cell r="C644" t="str">
            <v>X</v>
          </cell>
          <cell r="E644" t="str">
            <v>T2.3505</v>
          </cell>
          <cell r="F644" t="str">
            <v>FCO 27kV - 100A</v>
          </cell>
          <cell r="G644" t="str">
            <v>cái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S644">
            <v>1.5</v>
          </cell>
          <cell r="T644">
            <v>0</v>
          </cell>
        </row>
        <row r="645">
          <cell r="A645" t="str">
            <v/>
          </cell>
          <cell r="B645" t="str">
            <v>LA18</v>
          </cell>
          <cell r="C645" t="str">
            <v>X</v>
          </cell>
          <cell r="E645" t="str">
            <v>T2.5004</v>
          </cell>
          <cell r="F645" t="str">
            <v>LA 18kV 10kA</v>
          </cell>
          <cell r="G645" t="str">
            <v>cái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S645">
            <v>0.8</v>
          </cell>
          <cell r="T645">
            <v>0</v>
          </cell>
        </row>
        <row r="646">
          <cell r="A646" t="str">
            <v/>
          </cell>
          <cell r="B646" t="str">
            <v>ATM125</v>
          </cell>
          <cell r="C646" t="str">
            <v>X</v>
          </cell>
          <cell r="E646" t="str">
            <v>T2.8403</v>
          </cell>
          <cell r="F646" t="str">
            <v>MCCB 3 cực 400V - 125A - 30KA (80-125A)</v>
          </cell>
          <cell r="G646" t="str">
            <v>cái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S646">
            <v>2</v>
          </cell>
          <cell r="T646">
            <v>0</v>
          </cell>
        </row>
        <row r="647">
          <cell r="A647" t="str">
            <v/>
          </cell>
          <cell r="B647" t="str">
            <v>TI1005</v>
          </cell>
          <cell r="C647" t="str">
            <v>X</v>
          </cell>
          <cell r="E647">
            <v>0</v>
          </cell>
          <cell r="F647" t="str">
            <v>Biến dòng 600V - 100/5A</v>
          </cell>
          <cell r="G647" t="str">
            <v>cái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S647">
            <v>0</v>
          </cell>
          <cell r="T647">
            <v>0</v>
          </cell>
        </row>
        <row r="648">
          <cell r="A648" t="str">
            <v/>
          </cell>
          <cell r="B648" t="str">
            <v>DK1p80A</v>
          </cell>
          <cell r="C648" t="str">
            <v>X</v>
          </cell>
          <cell r="E648">
            <v>0</v>
          </cell>
          <cell r="F648" t="str">
            <v>Điện kế 1 pha 2 dây 220V-80A</v>
          </cell>
          <cell r="G648" t="str">
            <v>cái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S648">
            <v>0</v>
          </cell>
          <cell r="T648">
            <v>0</v>
          </cell>
        </row>
        <row r="649">
          <cell r="A649" t="str">
            <v>VLTR100</v>
          </cell>
          <cell r="C649" t="str">
            <v>X</v>
          </cell>
          <cell r="F649" t="str">
            <v>B. PHẦN VẬT LIỆU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S649">
            <v>0</v>
          </cell>
          <cell r="T649">
            <v>0</v>
          </cell>
        </row>
        <row r="650">
          <cell r="C650" t="str">
            <v>X</v>
          </cell>
          <cell r="D650">
            <v>0</v>
          </cell>
          <cell r="F650" t="str">
            <v>Vật liệu bảo vệ thiết bị</v>
          </cell>
          <cell r="G650" t="str">
            <v>Bộ</v>
          </cell>
          <cell r="H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S650">
            <v>0</v>
          </cell>
          <cell r="T650">
            <v>0</v>
          </cell>
        </row>
        <row r="651">
          <cell r="A651" t="str">
            <v/>
          </cell>
          <cell r="B651" t="str">
            <v>CHI3K</v>
          </cell>
          <cell r="C651" t="str">
            <v>X</v>
          </cell>
          <cell r="E651">
            <v>0</v>
          </cell>
          <cell r="F651" t="str">
            <v>Dây chảy 3K</v>
          </cell>
          <cell r="G651" t="str">
            <v>Sợi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S651">
            <v>0</v>
          </cell>
          <cell r="T651">
            <v>0</v>
          </cell>
        </row>
        <row r="652">
          <cell r="A652" t="str">
            <v/>
          </cell>
          <cell r="B652" t="str">
            <v>CHUPFCO</v>
          </cell>
          <cell r="C652" t="str">
            <v>X</v>
          </cell>
          <cell r="E652">
            <v>0</v>
          </cell>
          <cell r="F652" t="str">
            <v>Chụp đầu FCO (Trên + Dưới)</v>
          </cell>
          <cell r="G652" t="str">
            <v>bộ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S652">
            <v>0</v>
          </cell>
          <cell r="T652">
            <v>0</v>
          </cell>
        </row>
        <row r="653">
          <cell r="A653" t="str">
            <v/>
          </cell>
          <cell r="B653" t="str">
            <v>CHUPLA</v>
          </cell>
          <cell r="C653" t="str">
            <v>X</v>
          </cell>
          <cell r="E653">
            <v>0</v>
          </cell>
          <cell r="F653" t="str">
            <v>Chụp đầu LA</v>
          </cell>
          <cell r="G653" t="str">
            <v>cái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S653">
            <v>0</v>
          </cell>
          <cell r="T653">
            <v>0</v>
          </cell>
        </row>
        <row r="654">
          <cell r="A654" t="str">
            <v/>
          </cell>
          <cell r="B654" t="str">
            <v>CHUPMBA</v>
          </cell>
          <cell r="C654" t="str">
            <v>X</v>
          </cell>
          <cell r="E654">
            <v>0</v>
          </cell>
          <cell r="F654" t="str">
            <v>Chụp đầu cực MBA</v>
          </cell>
          <cell r="G654" t="str">
            <v>cái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S654">
            <v>0</v>
          </cell>
          <cell r="T654">
            <v>0</v>
          </cell>
        </row>
        <row r="655">
          <cell r="A655" t="str">
            <v/>
          </cell>
          <cell r="B655" t="str">
            <v>B16300</v>
          </cell>
          <cell r="C655" t="str">
            <v>X</v>
          </cell>
          <cell r="E655">
            <v>0</v>
          </cell>
          <cell r="F655" t="str">
            <v>Boulon 16x300+ 2 long đền vuông D18-50x50x3/Zn</v>
          </cell>
          <cell r="G655" t="str">
            <v>bộ</v>
          </cell>
          <cell r="H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S655">
            <v>0.25</v>
          </cell>
          <cell r="T655">
            <v>0</v>
          </cell>
        </row>
        <row r="656">
          <cell r="A656" t="str">
            <v/>
          </cell>
          <cell r="C656" t="str">
            <v>X</v>
          </cell>
          <cell r="D656">
            <v>0</v>
          </cell>
          <cell r="F656" t="str">
            <v>Đà Composite bắt LA, FCO</v>
          </cell>
          <cell r="G656" t="str">
            <v>Bộ</v>
          </cell>
          <cell r="H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S656">
            <v>0</v>
          </cell>
          <cell r="T656">
            <v>0</v>
          </cell>
        </row>
        <row r="657">
          <cell r="A657" t="str">
            <v/>
          </cell>
          <cell r="C657" t="str">
            <v>X</v>
          </cell>
          <cell r="F657" t="str">
            <v>Gồm có: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S657">
            <v>0</v>
          </cell>
          <cell r="T657">
            <v>0</v>
          </cell>
        </row>
        <row r="658">
          <cell r="A658" t="str">
            <v/>
          </cell>
          <cell r="B658" t="str">
            <v>COM800</v>
          </cell>
          <cell r="C658" t="str">
            <v>X</v>
          </cell>
          <cell r="E658">
            <v>0</v>
          </cell>
          <cell r="F658" t="str">
            <v>Đà hộp composite 110x80x5-800</v>
          </cell>
          <cell r="G658" t="str">
            <v>cái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S658">
            <v>3.2</v>
          </cell>
          <cell r="T658">
            <v>0</v>
          </cell>
        </row>
        <row r="659">
          <cell r="A659" t="str">
            <v/>
          </cell>
          <cell r="B659" t="str">
            <v>CCOM800</v>
          </cell>
          <cell r="C659" t="str">
            <v>X</v>
          </cell>
          <cell r="E659">
            <v>0</v>
          </cell>
          <cell r="F659" t="str">
            <v>Thanh chống 10x40x720</v>
          </cell>
          <cell r="G659" t="str">
            <v>cái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S659">
            <v>0.5</v>
          </cell>
          <cell r="T659">
            <v>0</v>
          </cell>
        </row>
        <row r="660">
          <cell r="A660" t="str">
            <v/>
          </cell>
          <cell r="B660" t="str">
            <v>BATLI</v>
          </cell>
          <cell r="C660" t="str">
            <v>X</v>
          </cell>
          <cell r="E660">
            <v>0</v>
          </cell>
          <cell r="F660" t="str">
            <v>Bass LI bắt FCO, LA</v>
          </cell>
          <cell r="G660" t="str">
            <v>Bộ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S660">
            <v>0.4</v>
          </cell>
          <cell r="T660">
            <v>0</v>
          </cell>
        </row>
        <row r="661">
          <cell r="A661" t="str">
            <v/>
          </cell>
          <cell r="B661" t="str">
            <v>B16400V</v>
          </cell>
          <cell r="C661" t="str">
            <v>X</v>
          </cell>
          <cell r="E661">
            <v>0</v>
          </cell>
          <cell r="F661" t="str">
            <v>Boulon 16x400VRS + 4 long đền vuông D18-50x50x3/Zn</v>
          </cell>
          <cell r="G661" t="str">
            <v>bộ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S661">
            <v>0.39999999999999997</v>
          </cell>
          <cell r="T661">
            <v>0</v>
          </cell>
        </row>
        <row r="662">
          <cell r="A662" t="str">
            <v/>
          </cell>
          <cell r="B662" t="str">
            <v>B16300</v>
          </cell>
          <cell r="C662" t="str">
            <v>X</v>
          </cell>
          <cell r="E662">
            <v>0</v>
          </cell>
          <cell r="F662" t="str">
            <v>Boulon 16x300+ 2 long đền vuông D18-50x50x3/Zn</v>
          </cell>
          <cell r="G662" t="str">
            <v>bộ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S662">
            <v>0.25</v>
          </cell>
          <cell r="T662">
            <v>0</v>
          </cell>
        </row>
        <row r="663">
          <cell r="A663" t="str">
            <v/>
          </cell>
          <cell r="B663" t="str">
            <v>B14120</v>
          </cell>
          <cell r="C663" t="str">
            <v>X</v>
          </cell>
          <cell r="E663">
            <v>0</v>
          </cell>
          <cell r="F663" t="str">
            <v>Boulon 14x120+ 2 long đền vuông D16-50x50x3/Zn</v>
          </cell>
          <cell r="G663" t="str">
            <v>bộ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S663">
            <v>0.2</v>
          </cell>
          <cell r="T663">
            <v>0</v>
          </cell>
        </row>
        <row r="664">
          <cell r="A664" t="str">
            <v/>
          </cell>
          <cell r="B664" t="str">
            <v>LCOM800K</v>
          </cell>
          <cell r="C664" t="str">
            <v>X</v>
          </cell>
          <cell r="E664" t="str">
            <v>D2.6011</v>
          </cell>
          <cell r="F664" t="str">
            <v>Lắp đà composite 800mm kép</v>
          </cell>
          <cell r="G664" t="str">
            <v>bộ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S664">
            <v>0</v>
          </cell>
          <cell r="T664">
            <v>0</v>
          </cell>
        </row>
        <row r="665">
          <cell r="A665" t="str">
            <v/>
          </cell>
          <cell r="C665" t="str">
            <v>X</v>
          </cell>
          <cell r="D665">
            <v>0</v>
          </cell>
          <cell r="F665" t="str">
            <v>Bộ tiếp địa Trạm 1 pha</v>
          </cell>
          <cell r="G665" t="str">
            <v>Bộ</v>
          </cell>
          <cell r="H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S665">
            <v>0</v>
          </cell>
          <cell r="T665">
            <v>0</v>
          </cell>
        </row>
        <row r="666">
          <cell r="A666" t="str">
            <v/>
          </cell>
          <cell r="C666" t="str">
            <v>X</v>
          </cell>
          <cell r="F666" t="str">
            <v>Gồm có: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S666">
            <v>0</v>
          </cell>
          <cell r="T666">
            <v>0</v>
          </cell>
        </row>
        <row r="667">
          <cell r="A667" t="str">
            <v/>
          </cell>
          <cell r="B667" t="str">
            <v>M25</v>
          </cell>
          <cell r="C667" t="str">
            <v>X</v>
          </cell>
          <cell r="E667">
            <v>0</v>
          </cell>
          <cell r="F667" t="str">
            <v>Cáp đồng trần M25mm2</v>
          </cell>
          <cell r="G667" t="str">
            <v>kg</v>
          </cell>
          <cell r="H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S667">
            <v>1</v>
          </cell>
          <cell r="T667">
            <v>0</v>
          </cell>
        </row>
        <row r="668">
          <cell r="A668" t="str">
            <v/>
          </cell>
          <cell r="B668" t="str">
            <v>CTD</v>
          </cell>
          <cell r="C668" t="str">
            <v>X</v>
          </cell>
          <cell r="E668">
            <v>0</v>
          </cell>
          <cell r="F668" t="str">
            <v>Cọc tiếp đất φ16 - 2,4m mạ Cu 16 micrômét</v>
          </cell>
          <cell r="G668" t="str">
            <v>cọc</v>
          </cell>
          <cell r="H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S668">
            <v>5.3</v>
          </cell>
          <cell r="T668">
            <v>0</v>
          </cell>
        </row>
        <row r="669">
          <cell r="A669" t="str">
            <v/>
          </cell>
          <cell r="B669" t="str">
            <v>KC</v>
          </cell>
          <cell r="C669" t="str">
            <v>X</v>
          </cell>
          <cell r="E669">
            <v>0</v>
          </cell>
          <cell r="F669" t="str">
            <v>Kẹp cọc tiếp địa Cu loại lớn</v>
          </cell>
          <cell r="G669" t="str">
            <v>bộ</v>
          </cell>
          <cell r="H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S669">
            <v>0.05</v>
          </cell>
          <cell r="T669">
            <v>0</v>
          </cell>
        </row>
        <row r="670">
          <cell r="A670" t="str">
            <v/>
          </cell>
          <cell r="B670" t="str">
            <v>OXC38</v>
          </cell>
          <cell r="C670" t="str">
            <v>X</v>
          </cell>
          <cell r="E670">
            <v>0</v>
          </cell>
          <cell r="F670" t="str">
            <v xml:space="preserve">Ốc xiết cáp cỡ 38mm2 </v>
          </cell>
          <cell r="G670" t="str">
            <v>cái</v>
          </cell>
          <cell r="H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S670">
            <v>0</v>
          </cell>
          <cell r="T670">
            <v>0</v>
          </cell>
        </row>
        <row r="671">
          <cell r="A671" t="str">
            <v/>
          </cell>
          <cell r="B671" t="str">
            <v>KTDTBA</v>
          </cell>
          <cell r="C671" t="str">
            <v>X</v>
          </cell>
          <cell r="E671" t="str">
            <v>T4.7001</v>
          </cell>
          <cell r="F671" t="str">
            <v>Kéo dây tiếp địa trong TBA</v>
          </cell>
          <cell r="G671" t="str">
            <v>mét</v>
          </cell>
          <cell r="H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S671">
            <v>0</v>
          </cell>
          <cell r="T671">
            <v>0</v>
          </cell>
        </row>
        <row r="672">
          <cell r="A672" t="str">
            <v/>
          </cell>
          <cell r="B672" t="str">
            <v>DCTDTBA</v>
          </cell>
          <cell r="C672" t="str">
            <v>X</v>
          </cell>
          <cell r="E672" t="str">
            <v>D2.8103</v>
          </cell>
          <cell r="F672" t="str">
            <v>Đóng cọc tiếp địa trong TBA (đất cấp 3)</v>
          </cell>
          <cell r="G672" t="str">
            <v>cọc</v>
          </cell>
          <cell r="H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S672">
            <v>0</v>
          </cell>
          <cell r="T672">
            <v>0</v>
          </cell>
        </row>
        <row r="673">
          <cell r="A673" t="str">
            <v/>
          </cell>
          <cell r="B673" t="str">
            <v>DTD3</v>
          </cell>
          <cell r="C673" t="str">
            <v>X</v>
          </cell>
          <cell r="E673" t="str">
            <v>AB.11513</v>
          </cell>
          <cell r="F673" t="str">
            <v>Đào rãnh tiếp địa đất cấp 3</v>
          </cell>
          <cell r="G673" t="str">
            <v>m3</v>
          </cell>
          <cell r="H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S673">
            <v>0</v>
          </cell>
          <cell r="T673">
            <v>0</v>
          </cell>
        </row>
        <row r="674">
          <cell r="A674" t="str">
            <v/>
          </cell>
          <cell r="B674" t="str">
            <v>DATD3</v>
          </cell>
          <cell r="C674" t="str">
            <v>X</v>
          </cell>
          <cell r="E674" t="str">
            <v>AB.13111</v>
          </cell>
          <cell r="F674" t="str">
            <v>Đắp đất rãnh tiếp địa (K=0,85)</v>
          </cell>
          <cell r="G674" t="str">
            <v>m3</v>
          </cell>
          <cell r="H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S674">
            <v>0</v>
          </cell>
          <cell r="T674">
            <v>0</v>
          </cell>
        </row>
        <row r="675">
          <cell r="A675" t="str">
            <v/>
          </cell>
          <cell r="C675" t="str">
            <v>X</v>
          </cell>
          <cell r="D675">
            <v>0</v>
          </cell>
          <cell r="F675" t="str">
            <v>Tủ điện trạm treo 1 pha</v>
          </cell>
          <cell r="G675" t="str">
            <v>Bộ</v>
          </cell>
          <cell r="H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S675">
            <v>0</v>
          </cell>
          <cell r="T675">
            <v>0</v>
          </cell>
        </row>
        <row r="676">
          <cell r="A676" t="str">
            <v/>
          </cell>
          <cell r="C676" t="str">
            <v>X</v>
          </cell>
          <cell r="F676" t="str">
            <v>Gồm có: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S676">
            <v>0</v>
          </cell>
          <cell r="T676">
            <v>0</v>
          </cell>
        </row>
        <row r="677">
          <cell r="A677" t="str">
            <v/>
          </cell>
          <cell r="B677" t="str">
            <v>TUAP1</v>
          </cell>
          <cell r="C677" t="str">
            <v>X</v>
          </cell>
          <cell r="E677" t="str">
            <v>T5.1001</v>
          </cell>
          <cell r="F677" t="str">
            <v>Tủ trạm treo + khóa + boulon + Bakelit + Collier (1 pha)</v>
          </cell>
          <cell r="G677" t="str">
            <v>cái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S677">
            <v>45</v>
          </cell>
          <cell r="T677">
            <v>0</v>
          </cell>
        </row>
        <row r="678">
          <cell r="C678" t="str">
            <v>X</v>
          </cell>
          <cell r="D678">
            <v>0</v>
          </cell>
          <cell r="F678" t="str">
            <v>Bộ dây dẫn trung thế trạm 1 pha</v>
          </cell>
          <cell r="G678" t="str">
            <v>Bộ</v>
          </cell>
          <cell r="H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S678">
            <v>0</v>
          </cell>
          <cell r="T678">
            <v>0</v>
          </cell>
        </row>
        <row r="679">
          <cell r="C679" t="str">
            <v>X</v>
          </cell>
          <cell r="F679" t="str">
            <v>Gồm có: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S679">
            <v>0</v>
          </cell>
          <cell r="T679">
            <v>0</v>
          </cell>
        </row>
        <row r="680">
          <cell r="B680" t="str">
            <v>CXV25</v>
          </cell>
          <cell r="C680" t="str">
            <v>X</v>
          </cell>
          <cell r="E680">
            <v>0</v>
          </cell>
          <cell r="F680" t="str">
            <v>Cáp 24KV C/XLPE/PVC 25mm2</v>
          </cell>
          <cell r="G680" t="str">
            <v>mét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S680">
            <v>0.75</v>
          </cell>
          <cell r="T680">
            <v>0</v>
          </cell>
        </row>
        <row r="681">
          <cell r="B681" t="str">
            <v>KQ4</v>
          </cell>
          <cell r="C681" t="str">
            <v>X</v>
          </cell>
          <cell r="E681">
            <v>0</v>
          </cell>
          <cell r="F681" t="str">
            <v>Kẹp quai 4/0 (quai đồng 8mm)</v>
          </cell>
          <cell r="G681" t="str">
            <v>cái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S681">
            <v>0.3</v>
          </cell>
          <cell r="T681">
            <v>0</v>
          </cell>
        </row>
        <row r="682">
          <cell r="B682" t="str">
            <v>CKQ</v>
          </cell>
          <cell r="C682" t="str">
            <v>X</v>
          </cell>
          <cell r="E682">
            <v>0</v>
          </cell>
          <cell r="F682" t="str">
            <v>Chụp cách điện kẹp quai</v>
          </cell>
          <cell r="G682" t="str">
            <v>cái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S682">
            <v>0.2</v>
          </cell>
          <cell r="T682">
            <v>0</v>
          </cell>
        </row>
        <row r="683">
          <cell r="B683" t="str">
            <v>HL2</v>
          </cell>
          <cell r="C683" t="str">
            <v>X</v>
          </cell>
          <cell r="E683">
            <v>0</v>
          </cell>
          <cell r="F683" t="str">
            <v>Kẹp hotline 2/0</v>
          </cell>
          <cell r="G683" t="str">
            <v>cái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S683">
            <v>0.1</v>
          </cell>
          <cell r="T683">
            <v>0</v>
          </cell>
        </row>
        <row r="684">
          <cell r="B684" t="str">
            <v>LCAPDONGTB95</v>
          </cell>
          <cell r="C684" t="str">
            <v>X</v>
          </cell>
          <cell r="E684" t="str">
            <v>T4.4201</v>
          </cell>
          <cell r="F684" t="str">
            <v>Lắp cáp đồng xuống thiết bị D ≤ 95mm2</v>
          </cell>
          <cell r="G684" t="str">
            <v>m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S684">
            <v>0</v>
          </cell>
          <cell r="T684">
            <v>0</v>
          </cell>
        </row>
        <row r="685">
          <cell r="C685" t="str">
            <v>X</v>
          </cell>
          <cell r="D685">
            <v>0</v>
          </cell>
          <cell r="F685" t="str">
            <v>Bộ dây dẫn hạ thế lộ xuống</v>
          </cell>
          <cell r="G685" t="str">
            <v>Bộ</v>
          </cell>
          <cell r="H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S685">
            <v>0</v>
          </cell>
          <cell r="T685">
            <v>0</v>
          </cell>
        </row>
        <row r="686">
          <cell r="C686" t="str">
            <v>X</v>
          </cell>
          <cell r="F686" t="str">
            <v>Gồm có: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S686">
            <v>0</v>
          </cell>
          <cell r="T686">
            <v>0</v>
          </cell>
        </row>
        <row r="687">
          <cell r="B687" t="str">
            <v>CV70</v>
          </cell>
          <cell r="C687" t="str">
            <v>X</v>
          </cell>
          <cell r="E687">
            <v>0</v>
          </cell>
          <cell r="F687" t="str">
            <v>Cáp đồng bọc CV70</v>
          </cell>
          <cell r="G687" t="str">
            <v>mét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S687">
            <v>0.73899999999999999</v>
          </cell>
          <cell r="T687">
            <v>0</v>
          </cell>
        </row>
        <row r="688">
          <cell r="B688" t="str">
            <v>CV50</v>
          </cell>
          <cell r="C688" t="str">
            <v>X</v>
          </cell>
          <cell r="E688">
            <v>0</v>
          </cell>
          <cell r="F688" t="str">
            <v>Cáp đồng bọc CV50</v>
          </cell>
          <cell r="G688" t="str">
            <v>mét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S688">
            <v>0.53400000000000003</v>
          </cell>
          <cell r="T688">
            <v>0</v>
          </cell>
        </row>
        <row r="689">
          <cell r="B689" t="str">
            <v>CVV4X4</v>
          </cell>
          <cell r="C689" t="str">
            <v>X</v>
          </cell>
          <cell r="E689">
            <v>0</v>
          </cell>
          <cell r="F689" t="str">
            <v>Cáp điều khiển CVV 4x4,0mm2</v>
          </cell>
          <cell r="G689" t="str">
            <v>mét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S689">
            <v>3.024</v>
          </cell>
          <cell r="T689">
            <v>0</v>
          </cell>
        </row>
        <row r="690">
          <cell r="B690" t="str">
            <v>COS70</v>
          </cell>
          <cell r="C690" t="str">
            <v>X</v>
          </cell>
          <cell r="E690">
            <v>0</v>
          </cell>
          <cell r="F690" t="str">
            <v>Đầu cosse ép Cu 70mm2</v>
          </cell>
          <cell r="G690" t="str">
            <v>cái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S690">
            <v>0.2</v>
          </cell>
          <cell r="T690">
            <v>0</v>
          </cell>
        </row>
        <row r="691">
          <cell r="B691" t="str">
            <v>COS50</v>
          </cell>
          <cell r="C691" t="str">
            <v>X</v>
          </cell>
          <cell r="E691">
            <v>0</v>
          </cell>
          <cell r="F691" t="str">
            <v>Đầu cosse ép Cu 50mm2</v>
          </cell>
          <cell r="G691" t="str">
            <v>cái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S691">
            <v>0.1</v>
          </cell>
          <cell r="T691">
            <v>0</v>
          </cell>
        </row>
        <row r="692">
          <cell r="B692" t="str">
            <v>CHCOS70</v>
          </cell>
          <cell r="C692" t="str">
            <v>X</v>
          </cell>
          <cell r="E692">
            <v>0</v>
          </cell>
          <cell r="F692" t="str">
            <v>Chụp đầu cosse  70mm2</v>
          </cell>
          <cell r="G692" t="str">
            <v>cái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S692">
            <v>0</v>
          </cell>
          <cell r="T692">
            <v>0</v>
          </cell>
        </row>
        <row r="693">
          <cell r="B693" t="str">
            <v>CHCOS50</v>
          </cell>
          <cell r="C693" t="str">
            <v>X</v>
          </cell>
          <cell r="E693">
            <v>0</v>
          </cell>
          <cell r="F693" t="str">
            <v>Chụp đầu cosse  50mm2</v>
          </cell>
          <cell r="G693" t="str">
            <v>cái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S693">
            <v>0</v>
          </cell>
          <cell r="T693">
            <v>0</v>
          </cell>
        </row>
        <row r="694">
          <cell r="B694" t="str">
            <v>PVC90</v>
          </cell>
          <cell r="C694" t="str">
            <v>X</v>
          </cell>
          <cell r="E694">
            <v>0</v>
          </cell>
          <cell r="F694" t="str">
            <v xml:space="preserve">Ống PVC D90x3,8mm </v>
          </cell>
          <cell r="G694" t="str">
            <v>m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S694">
            <v>2</v>
          </cell>
          <cell r="T694">
            <v>0</v>
          </cell>
        </row>
        <row r="695">
          <cell r="B695" t="str">
            <v>CD90</v>
          </cell>
          <cell r="C695" t="str">
            <v>X</v>
          </cell>
          <cell r="E695">
            <v>0</v>
          </cell>
          <cell r="F695" t="str">
            <v>Cổ dê kẹp ống PVC φ 90 (có giá nới)</v>
          </cell>
          <cell r="G695" t="str">
            <v>bộ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S695">
            <v>1.5</v>
          </cell>
          <cell r="T695">
            <v>0</v>
          </cell>
        </row>
        <row r="696">
          <cell r="B696" t="str">
            <v>CD90</v>
          </cell>
          <cell r="C696" t="str">
            <v>X</v>
          </cell>
          <cell r="E696">
            <v>0</v>
          </cell>
          <cell r="F696" t="str">
            <v>Cổ dê kẹp ống PVC φ 90 (có giá nới)</v>
          </cell>
          <cell r="G696" t="str">
            <v>bộ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S696">
            <v>1.5</v>
          </cell>
          <cell r="T696">
            <v>0</v>
          </cell>
        </row>
        <row r="697">
          <cell r="B697" t="str">
            <v>CD90</v>
          </cell>
          <cell r="C697" t="str">
            <v>X</v>
          </cell>
          <cell r="E697">
            <v>0</v>
          </cell>
          <cell r="F697" t="str">
            <v>Cổ dê kẹp ống PVC φ 90 (có giá nới)</v>
          </cell>
          <cell r="G697" t="str">
            <v>bộ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S697">
            <v>1.5</v>
          </cell>
          <cell r="T697">
            <v>0</v>
          </cell>
        </row>
        <row r="698">
          <cell r="B698" t="str">
            <v>CUT90T</v>
          </cell>
          <cell r="C698" t="str">
            <v>X</v>
          </cell>
          <cell r="E698">
            <v>0</v>
          </cell>
          <cell r="F698" t="str">
            <v>Co  90 độ PVC 90</v>
          </cell>
          <cell r="G698" t="str">
            <v>cái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S698">
            <v>0</v>
          </cell>
          <cell r="T698">
            <v>0</v>
          </cell>
        </row>
        <row r="699">
          <cell r="B699" t="str">
            <v>NG11490</v>
          </cell>
          <cell r="C699" t="str">
            <v>X</v>
          </cell>
          <cell r="E699">
            <v>0</v>
          </cell>
          <cell r="F699" t="str">
            <v>Nối giảm PVC 114-90</v>
          </cell>
          <cell r="G699" t="str">
            <v>cái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S699">
            <v>0</v>
          </cell>
          <cell r="T699">
            <v>0</v>
          </cell>
        </row>
        <row r="700">
          <cell r="B700" t="str">
            <v>CUT90135</v>
          </cell>
          <cell r="C700" t="str">
            <v>X</v>
          </cell>
          <cell r="E700">
            <v>0</v>
          </cell>
          <cell r="F700" t="str">
            <v>Co 135 độ PVC 90</v>
          </cell>
          <cell r="G700" t="str">
            <v>cái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S700">
            <v>0</v>
          </cell>
          <cell r="T700">
            <v>0</v>
          </cell>
        </row>
        <row r="701">
          <cell r="B701" t="str">
            <v>KEODAN</v>
          </cell>
          <cell r="C701" t="str">
            <v>X</v>
          </cell>
          <cell r="E701">
            <v>0</v>
          </cell>
          <cell r="F701" t="str">
            <v>Keo dán ống PVC (100gr)</v>
          </cell>
          <cell r="G701" t="str">
            <v>tuýp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S701">
            <v>0</v>
          </cell>
          <cell r="T701">
            <v>0</v>
          </cell>
        </row>
        <row r="702">
          <cell r="B702" t="str">
            <v>KEOBIT</v>
          </cell>
          <cell r="C702" t="str">
            <v>X</v>
          </cell>
          <cell r="E702">
            <v>0</v>
          </cell>
          <cell r="F702" t="str">
            <v>Keo silicon bít miệng ống</v>
          </cell>
          <cell r="G702" t="str">
            <v>ống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S702">
            <v>0</v>
          </cell>
          <cell r="T702">
            <v>0</v>
          </cell>
        </row>
        <row r="703">
          <cell r="B703" t="str">
            <v>BANGKEO</v>
          </cell>
          <cell r="C703" t="str">
            <v>X</v>
          </cell>
          <cell r="E703">
            <v>0</v>
          </cell>
          <cell r="F703" t="str">
            <v>Băng keo cách điện (Màu đen)</v>
          </cell>
          <cell r="G703" t="str">
            <v>cuộn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S703">
            <v>0</v>
          </cell>
          <cell r="T703">
            <v>0</v>
          </cell>
        </row>
        <row r="704">
          <cell r="B704" t="str">
            <v>LPVC90CL</v>
          </cell>
          <cell r="C704" t="str">
            <v>X</v>
          </cell>
          <cell r="E704" t="str">
            <v>T4.8003</v>
          </cell>
          <cell r="F704" t="str">
            <v>Lắp ống nhựa PVC D90</v>
          </cell>
          <cell r="G704" t="str">
            <v>mét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S704">
            <v>0</v>
          </cell>
          <cell r="T704">
            <v>0</v>
          </cell>
        </row>
        <row r="705">
          <cell r="B705" t="str">
            <v>LCAPDONGTB95</v>
          </cell>
          <cell r="C705" t="str">
            <v>X</v>
          </cell>
          <cell r="E705" t="str">
            <v>T4.4201</v>
          </cell>
          <cell r="F705" t="str">
            <v>Lắp cáp đồng xuống thiết bị D ≤ 95mm2</v>
          </cell>
          <cell r="G705" t="str">
            <v>m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S705">
            <v>0</v>
          </cell>
          <cell r="T705">
            <v>0</v>
          </cell>
        </row>
        <row r="706">
          <cell r="C706" t="str">
            <v>X</v>
          </cell>
          <cell r="D706">
            <v>0</v>
          </cell>
          <cell r="F706" t="str">
            <v>Bộ dây dẫn hạ thế lộ lên</v>
          </cell>
          <cell r="G706" t="str">
            <v>Bộ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S706">
            <v>0</v>
          </cell>
          <cell r="T706">
            <v>0</v>
          </cell>
        </row>
        <row r="707">
          <cell r="C707" t="str">
            <v>X</v>
          </cell>
          <cell r="F707" t="str">
            <v>Gồm có: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S707">
            <v>0</v>
          </cell>
          <cell r="T707">
            <v>0</v>
          </cell>
        </row>
        <row r="708">
          <cell r="B708" t="str">
            <v>CV70</v>
          </cell>
          <cell r="C708" t="str">
            <v>X</v>
          </cell>
          <cell r="E708">
            <v>0</v>
          </cell>
          <cell r="F708" t="str">
            <v>Cáp đồng bọc CV70</v>
          </cell>
          <cell r="G708" t="str">
            <v>mét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S708">
            <v>0.73899999999999999</v>
          </cell>
          <cell r="T708">
            <v>0</v>
          </cell>
        </row>
        <row r="709">
          <cell r="B709" t="str">
            <v>CV50</v>
          </cell>
          <cell r="C709" t="str">
            <v>X</v>
          </cell>
          <cell r="E709">
            <v>0</v>
          </cell>
          <cell r="F709" t="str">
            <v>Cáp đồng bọc CV50</v>
          </cell>
          <cell r="G709" t="str">
            <v>mét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S709">
            <v>0.53400000000000003</v>
          </cell>
          <cell r="T709">
            <v>0</v>
          </cell>
        </row>
        <row r="710">
          <cell r="B710" t="str">
            <v>COS70</v>
          </cell>
          <cell r="C710" t="str">
            <v>X</v>
          </cell>
          <cell r="E710">
            <v>0</v>
          </cell>
          <cell r="F710" t="str">
            <v>Đầu cosse ép Cu 70mm2</v>
          </cell>
          <cell r="G710" t="str">
            <v>cái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S710">
            <v>0.2</v>
          </cell>
          <cell r="T710">
            <v>0</v>
          </cell>
        </row>
        <row r="711">
          <cell r="B711" t="str">
            <v>COS50</v>
          </cell>
          <cell r="C711" t="str">
            <v>X</v>
          </cell>
          <cell r="E711">
            <v>0</v>
          </cell>
          <cell r="F711" t="str">
            <v>Đầu cosse ép Cu 50mm2</v>
          </cell>
          <cell r="G711" t="str">
            <v>cái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S711">
            <v>0.1</v>
          </cell>
          <cell r="T711">
            <v>0</v>
          </cell>
        </row>
        <row r="712">
          <cell r="B712" t="str">
            <v>CHCOS70</v>
          </cell>
          <cell r="C712" t="str">
            <v>X</v>
          </cell>
          <cell r="E712">
            <v>0</v>
          </cell>
          <cell r="F712" t="str">
            <v>Chụp đầu cosse  70mm2</v>
          </cell>
          <cell r="G712" t="str">
            <v>cái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S712">
            <v>0</v>
          </cell>
          <cell r="T712">
            <v>0</v>
          </cell>
        </row>
        <row r="713">
          <cell r="B713" t="str">
            <v>CHCOS50</v>
          </cell>
          <cell r="C713" t="str">
            <v>X</v>
          </cell>
          <cell r="E713">
            <v>0</v>
          </cell>
          <cell r="F713" t="str">
            <v>Chụp đầu cosse  50mm2</v>
          </cell>
          <cell r="G713" t="str">
            <v>cái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S713">
            <v>0</v>
          </cell>
          <cell r="T713">
            <v>0</v>
          </cell>
        </row>
        <row r="714">
          <cell r="B714" t="str">
            <v>PVC90</v>
          </cell>
          <cell r="C714" t="str">
            <v>X</v>
          </cell>
          <cell r="E714">
            <v>0</v>
          </cell>
          <cell r="F714" t="str">
            <v xml:space="preserve">Ống PVC D90x3,8mm </v>
          </cell>
          <cell r="G714" t="str">
            <v>m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S714">
            <v>2</v>
          </cell>
          <cell r="T714">
            <v>0</v>
          </cell>
        </row>
        <row r="715">
          <cell r="B715" t="str">
            <v>CD90</v>
          </cell>
          <cell r="C715" t="str">
            <v>X</v>
          </cell>
          <cell r="E715">
            <v>0</v>
          </cell>
          <cell r="F715" t="str">
            <v>Cổ dê kẹp ống PVC φ 90 (có giá nới)</v>
          </cell>
          <cell r="G715" t="str">
            <v>bộ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S715">
            <v>1.5</v>
          </cell>
          <cell r="T715">
            <v>0</v>
          </cell>
        </row>
        <row r="716">
          <cell r="B716" t="str">
            <v>CD90</v>
          </cell>
          <cell r="C716" t="str">
            <v>X</v>
          </cell>
          <cell r="E716">
            <v>0</v>
          </cell>
          <cell r="F716" t="str">
            <v>Cổ dê kẹp ống PVC φ 90 (có giá nới)</v>
          </cell>
          <cell r="G716" t="str">
            <v>bộ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S716">
            <v>1.5</v>
          </cell>
          <cell r="T716">
            <v>0</v>
          </cell>
        </row>
        <row r="717">
          <cell r="B717" t="str">
            <v>CD90</v>
          </cell>
          <cell r="C717" t="str">
            <v>X</v>
          </cell>
          <cell r="E717">
            <v>0</v>
          </cell>
          <cell r="F717" t="str">
            <v>Cổ dê kẹp ống PVC φ 90 (có giá nới)</v>
          </cell>
          <cell r="G717" t="str">
            <v>bộ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S717">
            <v>1.5</v>
          </cell>
          <cell r="T717">
            <v>0</v>
          </cell>
        </row>
        <row r="718">
          <cell r="B718" t="str">
            <v>CUT90T</v>
          </cell>
          <cell r="C718" t="str">
            <v>X</v>
          </cell>
          <cell r="E718">
            <v>0</v>
          </cell>
          <cell r="F718" t="str">
            <v>Co  90 độ PVC 90</v>
          </cell>
          <cell r="G718" t="str">
            <v>cái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S718">
            <v>0</v>
          </cell>
          <cell r="T718">
            <v>0</v>
          </cell>
        </row>
        <row r="719">
          <cell r="B719" t="str">
            <v>CUT90135</v>
          </cell>
          <cell r="C719" t="str">
            <v>X</v>
          </cell>
          <cell r="E719">
            <v>0</v>
          </cell>
          <cell r="F719" t="str">
            <v>Co 135 độ PVC 90</v>
          </cell>
          <cell r="G719" t="str">
            <v>cái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S719">
            <v>0</v>
          </cell>
          <cell r="T719">
            <v>0</v>
          </cell>
        </row>
        <row r="720">
          <cell r="B720" t="str">
            <v>KEODAN</v>
          </cell>
          <cell r="C720" t="str">
            <v>X</v>
          </cell>
          <cell r="E720">
            <v>0</v>
          </cell>
          <cell r="F720" t="str">
            <v>Keo dán ống PVC (100gr)</v>
          </cell>
          <cell r="G720" t="str">
            <v>tuýp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S720">
            <v>0</v>
          </cell>
          <cell r="T720">
            <v>0</v>
          </cell>
        </row>
        <row r="721">
          <cell r="B721" t="str">
            <v>KEOBIT</v>
          </cell>
          <cell r="C721" t="str">
            <v>X</v>
          </cell>
          <cell r="E721">
            <v>0</v>
          </cell>
          <cell r="F721" t="str">
            <v>Keo silicon bít miệng ống</v>
          </cell>
          <cell r="G721" t="str">
            <v>ống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S721">
            <v>0</v>
          </cell>
          <cell r="T721">
            <v>0</v>
          </cell>
        </row>
        <row r="722">
          <cell r="B722" t="str">
            <v>BANGKEO</v>
          </cell>
          <cell r="C722" t="str">
            <v>X</v>
          </cell>
          <cell r="E722">
            <v>0</v>
          </cell>
          <cell r="F722" t="str">
            <v>Băng keo cách điện (Màu đen)</v>
          </cell>
          <cell r="G722" t="str">
            <v>cuộn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S722">
            <v>0</v>
          </cell>
          <cell r="T722">
            <v>0</v>
          </cell>
        </row>
        <row r="723">
          <cell r="B723" t="str">
            <v>LPVC90CL</v>
          </cell>
          <cell r="C723" t="str">
            <v>X</v>
          </cell>
          <cell r="E723" t="str">
            <v>T4.8003</v>
          </cell>
          <cell r="F723" t="str">
            <v>Lắp ống nhựa PVC D90</v>
          </cell>
          <cell r="G723" t="str">
            <v>mét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S723">
            <v>0</v>
          </cell>
          <cell r="T723">
            <v>0</v>
          </cell>
        </row>
        <row r="724">
          <cell r="B724" t="str">
            <v>LCAPDONGTB95</v>
          </cell>
          <cell r="C724" t="str">
            <v>X</v>
          </cell>
          <cell r="E724" t="str">
            <v>T4.4201</v>
          </cell>
          <cell r="F724" t="str">
            <v>Lắp cáp đồng xuống thiết bị D ≤ 95mm2</v>
          </cell>
          <cell r="G724" t="str">
            <v>m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S724">
            <v>0</v>
          </cell>
          <cell r="T724">
            <v>0</v>
          </cell>
        </row>
        <row r="725">
          <cell r="B725" t="str">
            <v>BANG</v>
          </cell>
          <cell r="C725" t="str">
            <v>X</v>
          </cell>
          <cell r="D725">
            <v>0</v>
          </cell>
          <cell r="E725">
            <v>0</v>
          </cell>
          <cell r="F725" t="str">
            <v>Bảng tên trạm + bulon</v>
          </cell>
          <cell r="G725" t="str">
            <v>bộ</v>
          </cell>
          <cell r="H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S725">
            <v>0</v>
          </cell>
          <cell r="T725">
            <v>0</v>
          </cell>
        </row>
        <row r="726">
          <cell r="A726" t="str">
            <v>TR3X25</v>
          </cell>
          <cell r="C726" t="str">
            <v>X</v>
          </cell>
          <cell r="D726" t="str">
            <v>VIII</v>
          </cell>
          <cell r="E726" t="str">
            <v>0 Trạm 3 pha 3x25kVA</v>
          </cell>
          <cell r="S726">
            <v>0</v>
          </cell>
          <cell r="T726">
            <v>0</v>
          </cell>
        </row>
        <row r="727">
          <cell r="A727" t="str">
            <v>TBTR3X25</v>
          </cell>
          <cell r="C727" t="str">
            <v>X</v>
          </cell>
          <cell r="F727" t="str">
            <v>A.PHẦN THIẾT BỊ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S727">
            <v>0</v>
          </cell>
          <cell r="T727">
            <v>0</v>
          </cell>
        </row>
        <row r="728">
          <cell r="A728" t="str">
            <v/>
          </cell>
          <cell r="B728" t="str">
            <v>TR251</v>
          </cell>
          <cell r="C728" t="str">
            <v>X</v>
          </cell>
          <cell r="E728" t="str">
            <v>T1.1431</v>
          </cell>
          <cell r="F728" t="str">
            <v>Máy biến áp AMORPHOUS 12,7/0,22-0,44kV 25kVA</v>
          </cell>
          <cell r="G728" t="str">
            <v>máy</v>
          </cell>
          <cell r="H728">
            <v>0</v>
          </cell>
          <cell r="I728">
            <v>0</v>
          </cell>
          <cell r="K728">
            <v>647230</v>
          </cell>
          <cell r="L728">
            <v>360605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S728">
            <v>320</v>
          </cell>
          <cell r="T728">
            <v>0</v>
          </cell>
        </row>
        <row r="729">
          <cell r="A729" t="str">
            <v/>
          </cell>
          <cell r="B729" t="str">
            <v>FCO100</v>
          </cell>
          <cell r="C729" t="str">
            <v>X</v>
          </cell>
          <cell r="E729" t="str">
            <v>T2.3505</v>
          </cell>
          <cell r="F729" t="str">
            <v>FCO 27kV - 100A</v>
          </cell>
          <cell r="G729" t="str">
            <v>cái</v>
          </cell>
          <cell r="H729">
            <v>0</v>
          </cell>
          <cell r="I729">
            <v>1020000</v>
          </cell>
          <cell r="K729">
            <v>189552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S729">
            <v>1.5</v>
          </cell>
          <cell r="T729">
            <v>0</v>
          </cell>
        </row>
        <row r="730">
          <cell r="A730" t="str">
            <v/>
          </cell>
          <cell r="B730" t="str">
            <v>LA18</v>
          </cell>
          <cell r="C730" t="str">
            <v>X</v>
          </cell>
          <cell r="E730" t="str">
            <v>T2.5004</v>
          </cell>
          <cell r="F730" t="str">
            <v>LA 18kV 10kA</v>
          </cell>
          <cell r="G730" t="str">
            <v>cái</v>
          </cell>
          <cell r="H730">
            <v>0</v>
          </cell>
          <cell r="I730">
            <v>910000</v>
          </cell>
          <cell r="K730">
            <v>71082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S730">
            <v>0.8</v>
          </cell>
          <cell r="T730">
            <v>0</v>
          </cell>
        </row>
        <row r="731">
          <cell r="A731" t="str">
            <v/>
          </cell>
          <cell r="B731" t="str">
            <v>ATM200</v>
          </cell>
          <cell r="C731" t="str">
            <v>X</v>
          </cell>
          <cell r="F731" t="str">
            <v>MCCB 3 cực 400V - 200A - 35KA (125-200A)</v>
          </cell>
          <cell r="G731" t="str">
            <v>cái</v>
          </cell>
          <cell r="H731">
            <v>0</v>
          </cell>
          <cell r="I731">
            <v>2590000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S731">
            <v>2</v>
          </cell>
          <cell r="T731">
            <v>0</v>
          </cell>
        </row>
        <row r="732">
          <cell r="A732" t="str">
            <v/>
          </cell>
          <cell r="B732" t="str">
            <v>ATM125</v>
          </cell>
          <cell r="C732" t="str">
            <v>X</v>
          </cell>
          <cell r="F732" t="str">
            <v>MCCB 3 cực 400V - 125A - 30KA (80-125A) (Phân đoạn)</v>
          </cell>
          <cell r="G732" t="str">
            <v>cái</v>
          </cell>
          <cell r="H732">
            <v>0</v>
          </cell>
          <cell r="I732">
            <v>2575000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S732">
            <v>2</v>
          </cell>
          <cell r="T732">
            <v>0</v>
          </cell>
        </row>
        <row r="733">
          <cell r="A733" t="str">
            <v/>
          </cell>
          <cell r="B733" t="str">
            <v>TI1005</v>
          </cell>
          <cell r="C733" t="str">
            <v>X</v>
          </cell>
          <cell r="E733">
            <v>0</v>
          </cell>
          <cell r="F733" t="str">
            <v>Biến dòng 600V - 100/5A</v>
          </cell>
          <cell r="G733" t="str">
            <v>cái</v>
          </cell>
          <cell r="H733">
            <v>0</v>
          </cell>
          <cell r="I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S733">
            <v>0</v>
          </cell>
          <cell r="T733">
            <v>0</v>
          </cell>
        </row>
        <row r="734">
          <cell r="A734" t="str">
            <v/>
          </cell>
          <cell r="B734" t="str">
            <v>DK3p5A</v>
          </cell>
          <cell r="C734" t="str">
            <v>X</v>
          </cell>
          <cell r="E734">
            <v>0</v>
          </cell>
          <cell r="F734" t="str">
            <v>Điện kế 3 pha 4 dây 220/380V-5A</v>
          </cell>
          <cell r="G734" t="str">
            <v>cái</v>
          </cell>
          <cell r="H734">
            <v>0</v>
          </cell>
          <cell r="I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S734">
            <v>1.5</v>
          </cell>
          <cell r="T734">
            <v>0</v>
          </cell>
        </row>
        <row r="735">
          <cell r="A735" t="str">
            <v>VLTR3X25</v>
          </cell>
          <cell r="C735" t="str">
            <v>X</v>
          </cell>
          <cell r="F735" t="str">
            <v>B. PHẦN VẬT LIỆU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S735">
            <v>0</v>
          </cell>
          <cell r="T735">
            <v>0</v>
          </cell>
        </row>
        <row r="736">
          <cell r="C736" t="str">
            <v>X</v>
          </cell>
          <cell r="D736">
            <v>0</v>
          </cell>
          <cell r="F736" t="str">
            <v>Vật liệu bảo vệ thiết bị</v>
          </cell>
          <cell r="G736" t="str">
            <v>Bộ</v>
          </cell>
          <cell r="H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S736">
            <v>0</v>
          </cell>
          <cell r="T736">
            <v>0</v>
          </cell>
        </row>
        <row r="737">
          <cell r="A737" t="str">
            <v/>
          </cell>
          <cell r="B737" t="str">
            <v>CHI3K</v>
          </cell>
          <cell r="C737" t="str">
            <v>X</v>
          </cell>
          <cell r="E737">
            <v>0</v>
          </cell>
          <cell r="F737" t="str">
            <v>Dây chảy 3K</v>
          </cell>
          <cell r="G737" t="str">
            <v>Sợi</v>
          </cell>
          <cell r="H737">
            <v>0</v>
          </cell>
          <cell r="I737">
            <v>84000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S737">
            <v>0</v>
          </cell>
          <cell r="T737">
            <v>0</v>
          </cell>
        </row>
        <row r="738">
          <cell r="A738" t="str">
            <v/>
          </cell>
          <cell r="B738" t="str">
            <v>CHUPFCO</v>
          </cell>
          <cell r="C738" t="str">
            <v>X</v>
          </cell>
          <cell r="E738">
            <v>0</v>
          </cell>
          <cell r="F738" t="str">
            <v>Chụp đầu FCO (Trên + Dưới)</v>
          </cell>
          <cell r="G738" t="str">
            <v>bộ</v>
          </cell>
          <cell r="H738">
            <v>0</v>
          </cell>
          <cell r="I738">
            <v>190000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S738">
            <v>0</v>
          </cell>
          <cell r="T738">
            <v>0</v>
          </cell>
        </row>
        <row r="739">
          <cell r="A739" t="str">
            <v/>
          </cell>
          <cell r="B739" t="str">
            <v>CHUPLA</v>
          </cell>
          <cell r="C739" t="str">
            <v>X</v>
          </cell>
          <cell r="E739">
            <v>0</v>
          </cell>
          <cell r="F739" t="str">
            <v>Chụp đầu LA</v>
          </cell>
          <cell r="G739" t="str">
            <v>cái</v>
          </cell>
          <cell r="H739">
            <v>0</v>
          </cell>
          <cell r="I739">
            <v>32000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S739">
            <v>0</v>
          </cell>
          <cell r="T739">
            <v>0</v>
          </cell>
        </row>
        <row r="740">
          <cell r="A740" t="str">
            <v/>
          </cell>
          <cell r="B740" t="str">
            <v>CHUPMBA</v>
          </cell>
          <cell r="C740" t="str">
            <v>X</v>
          </cell>
          <cell r="E740">
            <v>0</v>
          </cell>
          <cell r="F740" t="str">
            <v>Chụp đầu cực MBA</v>
          </cell>
          <cell r="G740" t="str">
            <v>cái</v>
          </cell>
          <cell r="H740">
            <v>0</v>
          </cell>
          <cell r="I740">
            <v>52000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S740">
            <v>0</v>
          </cell>
          <cell r="T740">
            <v>0</v>
          </cell>
        </row>
        <row r="741">
          <cell r="A741" t="str">
            <v/>
          </cell>
          <cell r="C741" t="str">
            <v>X</v>
          </cell>
          <cell r="D741">
            <v>0</v>
          </cell>
          <cell r="F741" t="str">
            <v>Trụ BTLT 12m trồng đôn</v>
          </cell>
          <cell r="G741" t="str">
            <v>Bộ</v>
          </cell>
          <cell r="H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S741">
            <v>0</v>
          </cell>
          <cell r="T741">
            <v>0</v>
          </cell>
        </row>
        <row r="742">
          <cell r="A742" t="str">
            <v/>
          </cell>
          <cell r="C742" t="str">
            <v>X</v>
          </cell>
          <cell r="F742" t="str">
            <v>Gồm có: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S742">
            <v>0</v>
          </cell>
          <cell r="T742">
            <v>0</v>
          </cell>
        </row>
        <row r="743">
          <cell r="A743" t="str">
            <v/>
          </cell>
          <cell r="B743" t="str">
            <v>T12</v>
          </cell>
          <cell r="C743" t="str">
            <v>X</v>
          </cell>
          <cell r="E743">
            <v>0</v>
          </cell>
          <cell r="F743" t="str">
            <v>Trụ BTLT 12m F540 (hệ số K=2 dự ứng lực)</v>
          </cell>
          <cell r="G743" t="str">
            <v>trụ</v>
          </cell>
          <cell r="H743">
            <v>0</v>
          </cell>
          <cell r="I743">
            <v>4427273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S743">
            <v>1250</v>
          </cell>
          <cell r="T743">
            <v>0</v>
          </cell>
        </row>
        <row r="744">
          <cell r="A744" t="str">
            <v/>
          </cell>
          <cell r="B744" t="str">
            <v>C12TBA</v>
          </cell>
          <cell r="C744" t="str">
            <v>X</v>
          </cell>
          <cell r="E744" t="str">
            <v>T4.9103</v>
          </cell>
          <cell r="F744" t="str">
            <v>Dựng trụ BTLT 12m trong TBA</v>
          </cell>
          <cell r="G744" t="str">
            <v>trụ</v>
          </cell>
          <cell r="H744">
            <v>0</v>
          </cell>
          <cell r="I744">
            <v>0</v>
          </cell>
          <cell r="K744">
            <v>837772</v>
          </cell>
          <cell r="L744">
            <v>310336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S744">
            <v>0</v>
          </cell>
          <cell r="T744">
            <v>0</v>
          </cell>
        </row>
        <row r="745">
          <cell r="A745" t="str">
            <v/>
          </cell>
          <cell r="C745" t="str">
            <v>X</v>
          </cell>
          <cell r="D745">
            <v>0</v>
          </cell>
          <cell r="F745" t="str">
            <v>Móng bê tông đơn trụ 12m</v>
          </cell>
          <cell r="G745" t="str">
            <v>Bộ</v>
          </cell>
          <cell r="H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S745">
            <v>0</v>
          </cell>
          <cell r="T745">
            <v>0</v>
          </cell>
        </row>
        <row r="746">
          <cell r="A746" t="str">
            <v/>
          </cell>
          <cell r="C746" t="str">
            <v>X</v>
          </cell>
          <cell r="F746" t="str">
            <v>Gồm có: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S746">
            <v>0</v>
          </cell>
          <cell r="T746">
            <v>0</v>
          </cell>
        </row>
        <row r="747">
          <cell r="A747" t="str">
            <v/>
          </cell>
          <cell r="B747" t="str">
            <v>XM</v>
          </cell>
          <cell r="C747" t="str">
            <v>X</v>
          </cell>
          <cell r="E747">
            <v>0</v>
          </cell>
          <cell r="F747" t="str">
            <v>Xi măng</v>
          </cell>
          <cell r="G747" t="str">
            <v>kg</v>
          </cell>
          <cell r="H747">
            <v>0</v>
          </cell>
          <cell r="I747">
            <v>1740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S747">
            <v>1</v>
          </cell>
          <cell r="T747">
            <v>0</v>
          </cell>
        </row>
        <row r="748">
          <cell r="A748" t="str">
            <v/>
          </cell>
          <cell r="B748" t="str">
            <v>CV</v>
          </cell>
          <cell r="C748" t="str">
            <v>X</v>
          </cell>
          <cell r="E748">
            <v>0</v>
          </cell>
          <cell r="F748" t="str">
            <v>Cát vàng</v>
          </cell>
          <cell r="G748" t="str">
            <v>m3</v>
          </cell>
          <cell r="H748">
            <v>0</v>
          </cell>
          <cell r="I748">
            <v>512000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S748">
            <v>1500</v>
          </cell>
          <cell r="T748">
            <v>0</v>
          </cell>
        </row>
        <row r="749">
          <cell r="A749" t="str">
            <v/>
          </cell>
          <cell r="B749" t="str">
            <v>D1X2</v>
          </cell>
          <cell r="C749" t="str">
            <v>X</v>
          </cell>
          <cell r="E749">
            <v>0</v>
          </cell>
          <cell r="F749" t="str">
            <v>Đá 1x2</v>
          </cell>
          <cell r="G749" t="str">
            <v>m3</v>
          </cell>
          <cell r="H749">
            <v>0</v>
          </cell>
          <cell r="I749">
            <v>335000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S749">
            <v>1500</v>
          </cell>
          <cell r="T749">
            <v>0</v>
          </cell>
        </row>
        <row r="750">
          <cell r="A750" t="str">
            <v/>
          </cell>
          <cell r="B750" t="str">
            <v>MDD3</v>
          </cell>
          <cell r="C750" t="str">
            <v>X</v>
          </cell>
          <cell r="E750" t="str">
            <v>AB.11423</v>
          </cell>
          <cell r="F750" t="str">
            <v>Đào hố móng đất cấp 3 sâu &gt;1m (ĐC hệ số 0,934)</v>
          </cell>
          <cell r="G750" t="str">
            <v>m3</v>
          </cell>
          <cell r="H750">
            <v>0</v>
          </cell>
          <cell r="I750">
            <v>0</v>
          </cell>
          <cell r="K750">
            <v>448328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S750">
            <v>0</v>
          </cell>
          <cell r="T750">
            <v>0</v>
          </cell>
        </row>
        <row r="751">
          <cell r="A751" t="str">
            <v/>
          </cell>
          <cell r="B751" t="str">
            <v>MDAP3</v>
          </cell>
          <cell r="C751" t="str">
            <v>X</v>
          </cell>
          <cell r="E751" t="str">
            <v>AB.13113</v>
          </cell>
          <cell r="F751" t="str">
            <v>Đắp đất hố móng (K=0,95) (ĐC hệ số 0,934)</v>
          </cell>
          <cell r="G751" t="str">
            <v>m3</v>
          </cell>
          <cell r="H751">
            <v>0</v>
          </cell>
          <cell r="I751">
            <v>0</v>
          </cell>
          <cell r="K751">
            <v>134116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S751">
            <v>0</v>
          </cell>
          <cell r="T751">
            <v>0</v>
          </cell>
        </row>
        <row r="752">
          <cell r="A752" t="str">
            <v/>
          </cell>
          <cell r="B752" t="str">
            <v>DBT15012</v>
          </cell>
          <cell r="C752" t="str">
            <v>X</v>
          </cell>
          <cell r="E752" t="str">
            <v>AF.11210</v>
          </cell>
          <cell r="F752" t="str">
            <v>Đổ bê tông mác M150  (ĐC hệ số 0,934)</v>
          </cell>
          <cell r="G752" t="str">
            <v>m3</v>
          </cell>
          <cell r="H752">
            <v>0</v>
          </cell>
          <cell r="I752">
            <v>0</v>
          </cell>
          <cell r="K752">
            <v>314213</v>
          </cell>
          <cell r="L752">
            <v>25982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S752">
            <v>0</v>
          </cell>
          <cell r="T752">
            <v>0</v>
          </cell>
        </row>
        <row r="753">
          <cell r="A753" t="str">
            <v/>
          </cell>
          <cell r="C753" t="str">
            <v>X</v>
          </cell>
          <cell r="D753">
            <v>0</v>
          </cell>
          <cell r="F753" t="str">
            <v>Bộ đà 1,66m đơn đỡ dây trung thế</v>
          </cell>
          <cell r="G753" t="str">
            <v>Bộ</v>
          </cell>
          <cell r="H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S753">
            <v>0</v>
          </cell>
          <cell r="T753">
            <v>0</v>
          </cell>
        </row>
        <row r="754">
          <cell r="A754" t="str">
            <v/>
          </cell>
          <cell r="C754" t="str">
            <v>X</v>
          </cell>
          <cell r="F754" t="str">
            <v>Gồm có: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S754">
            <v>0</v>
          </cell>
          <cell r="T754">
            <v>0</v>
          </cell>
        </row>
        <row r="755">
          <cell r="A755" t="str">
            <v/>
          </cell>
          <cell r="B755" t="str">
            <v>D1660</v>
          </cell>
          <cell r="C755" t="str">
            <v>X</v>
          </cell>
          <cell r="E755">
            <v>0</v>
          </cell>
          <cell r="F755" t="str">
            <v>Đà sắt L75x75x8-1660 - 2 ốp</v>
          </cell>
          <cell r="G755" t="str">
            <v>cái</v>
          </cell>
          <cell r="H755">
            <v>0</v>
          </cell>
          <cell r="I755">
            <v>334000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S755">
            <v>23</v>
          </cell>
          <cell r="T755">
            <v>0</v>
          </cell>
        </row>
        <row r="756">
          <cell r="A756" t="str">
            <v/>
          </cell>
          <cell r="B756" t="str">
            <v>C810</v>
          </cell>
          <cell r="C756" t="str">
            <v>X</v>
          </cell>
          <cell r="E756">
            <v>0</v>
          </cell>
          <cell r="F756" t="str">
            <v>Thanh chống L50x50x5-810</v>
          </cell>
          <cell r="G756" t="str">
            <v>cái</v>
          </cell>
          <cell r="H756">
            <v>0</v>
          </cell>
          <cell r="I756">
            <v>70000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S756">
            <v>3.5</v>
          </cell>
          <cell r="T756">
            <v>0</v>
          </cell>
        </row>
        <row r="757">
          <cell r="A757" t="str">
            <v/>
          </cell>
          <cell r="B757" t="str">
            <v>B1650</v>
          </cell>
          <cell r="C757" t="str">
            <v>X</v>
          </cell>
          <cell r="E757">
            <v>0</v>
          </cell>
          <cell r="F757" t="str">
            <v>Boulon 16x50+ 2 long đền vuông D18-50x50x3/Zn</v>
          </cell>
          <cell r="G757" t="str">
            <v>bộ</v>
          </cell>
          <cell r="H757">
            <v>0</v>
          </cell>
          <cell r="I757">
            <v>17000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S757">
            <v>0.25</v>
          </cell>
          <cell r="T757">
            <v>0</v>
          </cell>
        </row>
        <row r="758">
          <cell r="A758" t="str">
            <v/>
          </cell>
          <cell r="B758" t="str">
            <v>B16250</v>
          </cell>
          <cell r="C758" t="str">
            <v>X</v>
          </cell>
          <cell r="E758">
            <v>0</v>
          </cell>
          <cell r="F758" t="str">
            <v>Boulon 16x250+ 2 long đền vuông D18-50x50x3/Zn</v>
          </cell>
          <cell r="G758" t="str">
            <v>bộ</v>
          </cell>
          <cell r="H758">
            <v>0</v>
          </cell>
          <cell r="I758">
            <v>28000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S758">
            <v>0.23</v>
          </cell>
          <cell r="T758">
            <v>0</v>
          </cell>
        </row>
        <row r="759">
          <cell r="A759" t="str">
            <v/>
          </cell>
          <cell r="B759" t="str">
            <v>B16300</v>
          </cell>
          <cell r="C759" t="str">
            <v>X</v>
          </cell>
          <cell r="E759">
            <v>0</v>
          </cell>
          <cell r="F759" t="str">
            <v>Boulon 16x300+ 2 long đền vuông D18-50x50x3/Zn</v>
          </cell>
          <cell r="G759" t="str">
            <v>bộ</v>
          </cell>
          <cell r="H759">
            <v>0</v>
          </cell>
          <cell r="I759">
            <v>30000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S759">
            <v>0.25</v>
          </cell>
          <cell r="T759">
            <v>0</v>
          </cell>
        </row>
        <row r="760">
          <cell r="A760" t="str">
            <v/>
          </cell>
          <cell r="B760" t="str">
            <v>SD</v>
          </cell>
          <cell r="C760" t="str">
            <v>X</v>
          </cell>
          <cell r="E760" t="str">
            <v>D3.1115</v>
          </cell>
          <cell r="F760" t="str">
            <v>Sứ đứng 24KV, đường rò 540mm (bọc chì)</v>
          </cell>
          <cell r="G760" t="str">
            <v>cái</v>
          </cell>
          <cell r="H760">
            <v>0</v>
          </cell>
          <cell r="I760">
            <v>185000</v>
          </cell>
          <cell r="K760">
            <v>49616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S760">
            <v>4</v>
          </cell>
          <cell r="T760">
            <v>0</v>
          </cell>
        </row>
        <row r="761">
          <cell r="A761" t="str">
            <v/>
          </cell>
          <cell r="B761" t="str">
            <v>CSD</v>
          </cell>
          <cell r="C761" t="str">
            <v>X</v>
          </cell>
          <cell r="E761">
            <v>0</v>
          </cell>
          <cell r="F761" t="str">
            <v>Chân sứ đứng 24kV bọc chì</v>
          </cell>
          <cell r="G761" t="str">
            <v>cái</v>
          </cell>
          <cell r="H761">
            <v>0</v>
          </cell>
          <cell r="I761">
            <v>68000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S761">
            <v>3</v>
          </cell>
          <cell r="T761">
            <v>0</v>
          </cell>
        </row>
        <row r="762">
          <cell r="A762" t="str">
            <v/>
          </cell>
          <cell r="B762" t="str">
            <v>CSDI</v>
          </cell>
          <cell r="C762" t="str">
            <v>X</v>
          </cell>
          <cell r="E762">
            <v>0</v>
          </cell>
          <cell r="F762" t="str">
            <v xml:space="preserve">Chân sứ đỉnh thẳng dài 870 dày 4mm bọc chì </v>
          </cell>
          <cell r="G762" t="str">
            <v>cái</v>
          </cell>
          <cell r="H762">
            <v>0</v>
          </cell>
          <cell r="I762">
            <v>130000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S762">
            <v>5</v>
          </cell>
          <cell r="T762">
            <v>0</v>
          </cell>
        </row>
        <row r="763">
          <cell r="A763" t="str">
            <v/>
          </cell>
          <cell r="B763" t="str">
            <v>LSDTBA</v>
          </cell>
          <cell r="C763" t="str">
            <v>X</v>
          </cell>
          <cell r="E763" t="str">
            <v>T4.2201</v>
          </cell>
          <cell r="F763" t="str">
            <v>Lắp sứ đứng 24KV trong TBA</v>
          </cell>
          <cell r="G763" t="str">
            <v>bộ</v>
          </cell>
          <cell r="H763">
            <v>0</v>
          </cell>
          <cell r="I763">
            <v>0</v>
          </cell>
          <cell r="K763">
            <v>54496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S763">
            <v>0</v>
          </cell>
          <cell r="T763">
            <v>0</v>
          </cell>
        </row>
        <row r="764">
          <cell r="A764" t="str">
            <v/>
          </cell>
          <cell r="B764" t="str">
            <v>LX1660D</v>
          </cell>
          <cell r="C764" t="str">
            <v>X</v>
          </cell>
          <cell r="E764" t="str">
            <v>D2.6021c</v>
          </cell>
          <cell r="F764" t="str">
            <v>Lắp đặt xà thép L75x75x8x1660 đơn cột đỡ (26,5504 kg/bộ)</v>
          </cell>
          <cell r="G764" t="str">
            <v>bộ</v>
          </cell>
          <cell r="H764">
            <v>0</v>
          </cell>
          <cell r="I764">
            <v>0</v>
          </cell>
          <cell r="K764">
            <v>286074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S764">
            <v>0</v>
          </cell>
          <cell r="T764">
            <v>0</v>
          </cell>
        </row>
        <row r="765">
          <cell r="A765" t="str">
            <v/>
          </cell>
          <cell r="C765" t="str">
            <v>X</v>
          </cell>
          <cell r="D765">
            <v>0</v>
          </cell>
          <cell r="F765" t="str">
            <v>Đà Composite bắt LA, FCO</v>
          </cell>
          <cell r="G765" t="str">
            <v>Bộ</v>
          </cell>
          <cell r="H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S765">
            <v>0</v>
          </cell>
          <cell r="T765">
            <v>0</v>
          </cell>
        </row>
        <row r="766">
          <cell r="A766" t="str">
            <v/>
          </cell>
          <cell r="C766" t="str">
            <v>X</v>
          </cell>
          <cell r="F766" t="str">
            <v>Gồm có: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S766">
            <v>0</v>
          </cell>
          <cell r="T766">
            <v>0</v>
          </cell>
        </row>
        <row r="767">
          <cell r="A767" t="str">
            <v/>
          </cell>
          <cell r="B767" t="str">
            <v>COM2400</v>
          </cell>
          <cell r="C767" t="str">
            <v>X</v>
          </cell>
          <cell r="E767">
            <v>0</v>
          </cell>
          <cell r="F767" t="str">
            <v>Đà hộp composite 110x80x5-2400</v>
          </cell>
          <cell r="G767" t="str">
            <v>cái</v>
          </cell>
          <cell r="H767">
            <v>0</v>
          </cell>
          <cell r="I767">
            <v>1100000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S767">
            <v>9.6</v>
          </cell>
          <cell r="T767">
            <v>0</v>
          </cell>
        </row>
        <row r="768">
          <cell r="A768" t="str">
            <v/>
          </cell>
          <cell r="B768" t="str">
            <v>CCOM2400</v>
          </cell>
          <cell r="C768" t="str">
            <v>X</v>
          </cell>
          <cell r="E768">
            <v>0</v>
          </cell>
          <cell r="F768" t="str">
            <v>Thanh chống Composite dẹp 10x40x920</v>
          </cell>
          <cell r="G768" t="str">
            <v>cái</v>
          </cell>
          <cell r="H768">
            <v>0</v>
          </cell>
          <cell r="I768">
            <v>132000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S768">
            <v>0.7</v>
          </cell>
          <cell r="T768">
            <v>0</v>
          </cell>
        </row>
        <row r="769">
          <cell r="A769" t="str">
            <v/>
          </cell>
          <cell r="B769" t="str">
            <v>BATLI</v>
          </cell>
          <cell r="C769" t="str">
            <v>X</v>
          </cell>
          <cell r="E769">
            <v>0</v>
          </cell>
          <cell r="F769" t="str">
            <v>Bass LI bắt FCO, LA</v>
          </cell>
          <cell r="G769" t="str">
            <v>Bộ</v>
          </cell>
          <cell r="H769">
            <v>0</v>
          </cell>
          <cell r="I769">
            <v>45000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S769">
            <v>0.4</v>
          </cell>
          <cell r="T769">
            <v>0</v>
          </cell>
        </row>
        <row r="770">
          <cell r="A770" t="str">
            <v/>
          </cell>
          <cell r="B770" t="str">
            <v>B16400V</v>
          </cell>
          <cell r="C770" t="str">
            <v>X</v>
          </cell>
          <cell r="E770">
            <v>0</v>
          </cell>
          <cell r="F770" t="str">
            <v>Boulon 16x400VRS + 4 long đền vuông D18-50x50x3/Zn</v>
          </cell>
          <cell r="G770" t="str">
            <v>bộ</v>
          </cell>
          <cell r="H770">
            <v>0</v>
          </cell>
          <cell r="I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S770">
            <v>0.39999999999999997</v>
          </cell>
          <cell r="T770">
            <v>0</v>
          </cell>
        </row>
        <row r="771">
          <cell r="A771" t="str">
            <v/>
          </cell>
          <cell r="B771" t="str">
            <v>B16300</v>
          </cell>
          <cell r="C771" t="str">
            <v>X</v>
          </cell>
          <cell r="E771">
            <v>0</v>
          </cell>
          <cell r="F771" t="str">
            <v>Boulon 16x300+ 2 long đền vuông D18-50x50x3/Zn</v>
          </cell>
          <cell r="G771" t="str">
            <v>bộ</v>
          </cell>
          <cell r="H771">
            <v>0</v>
          </cell>
          <cell r="I771">
            <v>30000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S771">
            <v>0.25</v>
          </cell>
          <cell r="T771">
            <v>0</v>
          </cell>
        </row>
        <row r="772">
          <cell r="A772" t="str">
            <v/>
          </cell>
          <cell r="B772" t="str">
            <v>B14120</v>
          </cell>
          <cell r="C772" t="str">
            <v>X</v>
          </cell>
          <cell r="E772">
            <v>0</v>
          </cell>
          <cell r="F772" t="str">
            <v>Boulon 14x120+ 2 long đền vuông D16-50x50x3/Zn</v>
          </cell>
          <cell r="G772" t="str">
            <v>bộ</v>
          </cell>
          <cell r="H772">
            <v>0</v>
          </cell>
          <cell r="I772">
            <v>20000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S772">
            <v>0.2</v>
          </cell>
          <cell r="T772">
            <v>0</v>
          </cell>
        </row>
        <row r="773">
          <cell r="A773" t="str">
            <v/>
          </cell>
          <cell r="B773" t="str">
            <v>LCOM2400K</v>
          </cell>
          <cell r="C773" t="str">
            <v>X</v>
          </cell>
          <cell r="E773" t="str">
            <v>D2.6011</v>
          </cell>
          <cell r="F773" t="str">
            <v>Lắp đà composite 2400mm kép</v>
          </cell>
          <cell r="G773" t="str">
            <v>bộ</v>
          </cell>
          <cell r="H773">
            <v>0</v>
          </cell>
          <cell r="I773">
            <v>0</v>
          </cell>
          <cell r="K773">
            <v>167950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S773">
            <v>0</v>
          </cell>
          <cell r="T773">
            <v>0</v>
          </cell>
        </row>
        <row r="774">
          <cell r="A774" t="str">
            <v/>
          </cell>
          <cell r="C774" t="str">
            <v>X</v>
          </cell>
          <cell r="D774">
            <v>0</v>
          </cell>
          <cell r="F774" t="str">
            <v>Giá chùm treo 3 MBT</v>
          </cell>
          <cell r="G774" t="str">
            <v>Bộ</v>
          </cell>
          <cell r="H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S774">
            <v>0</v>
          </cell>
          <cell r="T774">
            <v>0</v>
          </cell>
        </row>
        <row r="775">
          <cell r="A775" t="str">
            <v/>
          </cell>
          <cell r="C775" t="str">
            <v>X</v>
          </cell>
          <cell r="F775" t="str">
            <v>Gồm có: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S775">
            <v>0</v>
          </cell>
          <cell r="T775">
            <v>0</v>
          </cell>
        </row>
        <row r="776">
          <cell r="A776" t="str">
            <v/>
          </cell>
          <cell r="B776" t="str">
            <v>GTMBA50</v>
          </cell>
          <cell r="C776" t="str">
            <v>X</v>
          </cell>
          <cell r="E776" t="str">
            <v>T4.9302</v>
          </cell>
          <cell r="F776" t="str">
            <v>Giá chùm treo máy biến áp 3x50</v>
          </cell>
          <cell r="G776" t="str">
            <v>Bộ</v>
          </cell>
          <cell r="H776">
            <v>0</v>
          </cell>
          <cell r="I776">
            <v>2524500</v>
          </cell>
          <cell r="K776">
            <v>103615.056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S776">
            <v>38</v>
          </cell>
          <cell r="T776">
            <v>0</v>
          </cell>
        </row>
        <row r="777">
          <cell r="A777" t="str">
            <v/>
          </cell>
          <cell r="B777" t="str">
            <v>B16350</v>
          </cell>
          <cell r="C777" t="str">
            <v>X</v>
          </cell>
          <cell r="E777">
            <v>0</v>
          </cell>
          <cell r="F777" t="str">
            <v>Boulon 16x350+ 2 long đền vuông D18-50x50x3/Zn</v>
          </cell>
          <cell r="G777" t="str">
            <v>bộ</v>
          </cell>
          <cell r="H777">
            <v>0</v>
          </cell>
          <cell r="I777">
            <v>32500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S777">
            <v>0.3</v>
          </cell>
          <cell r="T777">
            <v>0</v>
          </cell>
        </row>
        <row r="778">
          <cell r="A778" t="str">
            <v/>
          </cell>
          <cell r="B778" t="str">
            <v>B1650</v>
          </cell>
          <cell r="C778" t="str">
            <v>X</v>
          </cell>
          <cell r="E778">
            <v>0</v>
          </cell>
          <cell r="F778" t="str">
            <v>Boulon 16x50+ 2 long đền vuông D18-50x50x3/Zn</v>
          </cell>
          <cell r="G778" t="str">
            <v>bộ</v>
          </cell>
          <cell r="H778">
            <v>0</v>
          </cell>
          <cell r="I778">
            <v>17000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S778">
            <v>0.25</v>
          </cell>
          <cell r="T778">
            <v>0</v>
          </cell>
        </row>
        <row r="779">
          <cell r="A779" t="str">
            <v/>
          </cell>
          <cell r="C779" t="str">
            <v>X</v>
          </cell>
          <cell r="D779">
            <v>0</v>
          </cell>
          <cell r="F779" t="str">
            <v>Bộ tiếp địa Trạm 3 pha</v>
          </cell>
          <cell r="G779" t="str">
            <v>Bộ</v>
          </cell>
          <cell r="H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S779">
            <v>0</v>
          </cell>
          <cell r="T779">
            <v>0</v>
          </cell>
        </row>
        <row r="780">
          <cell r="A780" t="str">
            <v/>
          </cell>
          <cell r="C780" t="str">
            <v>X</v>
          </cell>
          <cell r="F780" t="str">
            <v>Gồm có: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S780">
            <v>0</v>
          </cell>
          <cell r="T780">
            <v>0</v>
          </cell>
        </row>
        <row r="781">
          <cell r="A781" t="str">
            <v/>
          </cell>
          <cell r="B781" t="str">
            <v>M25</v>
          </cell>
          <cell r="C781" t="str">
            <v>X</v>
          </cell>
          <cell r="E781">
            <v>0</v>
          </cell>
          <cell r="F781" t="str">
            <v>Cáp đồng trần M25mm2 (52 mét/trạm)</v>
          </cell>
          <cell r="G781" t="str">
            <v>kg</v>
          </cell>
          <cell r="H781">
            <v>0</v>
          </cell>
          <cell r="I781">
            <v>191630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S781">
            <v>1</v>
          </cell>
          <cell r="T781">
            <v>0</v>
          </cell>
        </row>
        <row r="782">
          <cell r="A782" t="str">
            <v/>
          </cell>
          <cell r="B782" t="str">
            <v>CTD</v>
          </cell>
          <cell r="C782" t="str">
            <v>X</v>
          </cell>
          <cell r="E782">
            <v>0</v>
          </cell>
          <cell r="F782" t="str">
            <v>Cọc tiếp đất φ16 - 2,4m mạ Cu 16 micrômét</v>
          </cell>
          <cell r="G782" t="str">
            <v>cọc</v>
          </cell>
          <cell r="H782">
            <v>0</v>
          </cell>
          <cell r="I782">
            <v>130000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S782">
            <v>5.3</v>
          </cell>
          <cell r="T782">
            <v>0</v>
          </cell>
        </row>
        <row r="783">
          <cell r="A783" t="str">
            <v/>
          </cell>
          <cell r="B783" t="str">
            <v>KC</v>
          </cell>
          <cell r="C783" t="str">
            <v>X</v>
          </cell>
          <cell r="E783">
            <v>0</v>
          </cell>
          <cell r="F783" t="str">
            <v>Kẹp cọc tiếp địa Cu loại lớn</v>
          </cell>
          <cell r="G783" t="str">
            <v>bộ</v>
          </cell>
          <cell r="H783">
            <v>0</v>
          </cell>
          <cell r="I783">
            <v>25000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S783">
            <v>0.05</v>
          </cell>
          <cell r="T783">
            <v>0</v>
          </cell>
        </row>
        <row r="784">
          <cell r="A784" t="str">
            <v/>
          </cell>
          <cell r="B784" t="str">
            <v>OXC38</v>
          </cell>
          <cell r="C784" t="str">
            <v>X</v>
          </cell>
          <cell r="E784">
            <v>0</v>
          </cell>
          <cell r="F784" t="str">
            <v xml:space="preserve">Ốc xiết cáp cỡ 38mm2 </v>
          </cell>
          <cell r="G784" t="str">
            <v>cái</v>
          </cell>
          <cell r="H784">
            <v>0</v>
          </cell>
          <cell r="I784">
            <v>17000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S784">
            <v>0</v>
          </cell>
          <cell r="T784">
            <v>0</v>
          </cell>
        </row>
        <row r="785">
          <cell r="A785" t="str">
            <v/>
          </cell>
          <cell r="B785" t="str">
            <v>KTDTBA</v>
          </cell>
          <cell r="C785" t="str">
            <v>X</v>
          </cell>
          <cell r="E785" t="str">
            <v>T4.7001</v>
          </cell>
          <cell r="F785" t="str">
            <v>Kéo dây tiếp địa trong TBA</v>
          </cell>
          <cell r="G785" t="str">
            <v>mét</v>
          </cell>
          <cell r="H785">
            <v>0</v>
          </cell>
          <cell r="I785">
            <v>0</v>
          </cell>
          <cell r="K785">
            <v>6871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S785">
            <v>0</v>
          </cell>
          <cell r="T785">
            <v>0</v>
          </cell>
        </row>
        <row r="786">
          <cell r="A786" t="str">
            <v/>
          </cell>
          <cell r="B786" t="str">
            <v>DCTDTBA</v>
          </cell>
          <cell r="C786" t="str">
            <v>X</v>
          </cell>
          <cell r="E786" t="str">
            <v>D2.8103</v>
          </cell>
          <cell r="F786" t="str">
            <v>Đóng cọc tiếp địa trong TBA (đất cấp 3)</v>
          </cell>
          <cell r="G786" t="str">
            <v>cọc</v>
          </cell>
          <cell r="H786">
            <v>0</v>
          </cell>
          <cell r="I786">
            <v>0</v>
          </cell>
          <cell r="K786">
            <v>76928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S786">
            <v>0</v>
          </cell>
          <cell r="T786">
            <v>0</v>
          </cell>
        </row>
        <row r="787">
          <cell r="A787" t="str">
            <v/>
          </cell>
          <cell r="B787" t="str">
            <v>DTD3</v>
          </cell>
          <cell r="C787" t="str">
            <v>X</v>
          </cell>
          <cell r="E787" t="str">
            <v>AB.11513</v>
          </cell>
          <cell r="F787" t="str">
            <v>Đào rãnh tiếp địa đất cấp 3 (ĐC hệ số 0,934)</v>
          </cell>
          <cell r="G787" t="str">
            <v>m3</v>
          </cell>
          <cell r="H787">
            <v>0</v>
          </cell>
          <cell r="I787">
            <v>0</v>
          </cell>
          <cell r="K787">
            <v>258651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S787">
            <v>0</v>
          </cell>
          <cell r="T787">
            <v>0</v>
          </cell>
        </row>
        <row r="788">
          <cell r="A788" t="str">
            <v/>
          </cell>
          <cell r="B788" t="str">
            <v>DATD3</v>
          </cell>
          <cell r="C788" t="str">
            <v>X</v>
          </cell>
          <cell r="E788" t="str">
            <v>AB.13111</v>
          </cell>
          <cell r="F788" t="str">
            <v>Đắp đất rãnh tiếp địa (K=0,85) (ĐC hệ số 0,934)</v>
          </cell>
          <cell r="G788" t="str">
            <v>m3</v>
          </cell>
          <cell r="H788">
            <v>0</v>
          </cell>
          <cell r="I788">
            <v>0</v>
          </cell>
          <cell r="K788">
            <v>107292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S788">
            <v>0</v>
          </cell>
          <cell r="T788">
            <v>0</v>
          </cell>
        </row>
        <row r="789">
          <cell r="A789" t="str">
            <v/>
          </cell>
          <cell r="C789" t="str">
            <v>X</v>
          </cell>
          <cell r="D789">
            <v>0</v>
          </cell>
          <cell r="F789" t="str">
            <v>Tủ điện trạm treo 1 pha</v>
          </cell>
          <cell r="G789" t="str">
            <v>Bộ</v>
          </cell>
          <cell r="H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S789">
            <v>0</v>
          </cell>
          <cell r="T789">
            <v>0</v>
          </cell>
        </row>
        <row r="790">
          <cell r="A790" t="str">
            <v/>
          </cell>
          <cell r="C790" t="str">
            <v>X</v>
          </cell>
          <cell r="F790" t="str">
            <v>Gồm có: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S790">
            <v>0</v>
          </cell>
          <cell r="T790">
            <v>0</v>
          </cell>
        </row>
        <row r="791">
          <cell r="A791" t="str">
            <v/>
          </cell>
          <cell r="B791" t="str">
            <v>TUAP3</v>
          </cell>
          <cell r="C791" t="str">
            <v>X</v>
          </cell>
          <cell r="E791" t="str">
            <v>T5.1002</v>
          </cell>
          <cell r="F791" t="str">
            <v>Tủ trạm treo + khóa + boulon + Bakelit + Collier (3 pha)</v>
          </cell>
          <cell r="G791" t="str">
            <v>cái</v>
          </cell>
          <cell r="H791">
            <v>0</v>
          </cell>
          <cell r="I791">
            <v>3484174</v>
          </cell>
          <cell r="K791">
            <v>966199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S791">
            <v>45</v>
          </cell>
          <cell r="T791">
            <v>0</v>
          </cell>
        </row>
        <row r="792">
          <cell r="C792" t="str">
            <v>X</v>
          </cell>
          <cell r="D792">
            <v>0</v>
          </cell>
          <cell r="F792" t="str">
            <v>Bộ dây dẫn trung thế trạm 1 pha</v>
          </cell>
          <cell r="G792" t="str">
            <v>Bộ</v>
          </cell>
          <cell r="H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S792">
            <v>0</v>
          </cell>
          <cell r="T792">
            <v>0</v>
          </cell>
        </row>
        <row r="793">
          <cell r="C793" t="str">
            <v>X</v>
          </cell>
          <cell r="F793" t="str">
            <v>Gồm có: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S793">
            <v>0</v>
          </cell>
          <cell r="T793">
            <v>0</v>
          </cell>
        </row>
        <row r="794">
          <cell r="B794" t="str">
            <v>CXV25</v>
          </cell>
          <cell r="C794" t="str">
            <v>X</v>
          </cell>
          <cell r="E794">
            <v>0</v>
          </cell>
          <cell r="F794" t="str">
            <v>Cáp 24KV C/XLPE/PVC 25mm2</v>
          </cell>
          <cell r="G794" t="str">
            <v>mét</v>
          </cell>
          <cell r="H794">
            <v>0</v>
          </cell>
          <cell r="I794">
            <v>69890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S794">
            <v>0.75</v>
          </cell>
          <cell r="T794">
            <v>0</v>
          </cell>
        </row>
        <row r="795">
          <cell r="B795" t="str">
            <v>KQ4</v>
          </cell>
          <cell r="C795" t="str">
            <v>X</v>
          </cell>
          <cell r="F795" t="str">
            <v>Kẹp quai 4/0 (quai đồng 8mm)</v>
          </cell>
          <cell r="G795" t="str">
            <v>cái</v>
          </cell>
          <cell r="H795">
            <v>0</v>
          </cell>
          <cell r="I795">
            <v>63000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S795">
            <v>0.3</v>
          </cell>
          <cell r="T795">
            <v>0</v>
          </cell>
        </row>
        <row r="796">
          <cell r="B796" t="str">
            <v>CKQ</v>
          </cell>
          <cell r="C796" t="str">
            <v>X</v>
          </cell>
          <cell r="F796" t="str">
            <v>Chụp cách điện kẹp quai</v>
          </cell>
          <cell r="G796" t="str">
            <v>cái</v>
          </cell>
          <cell r="H796">
            <v>0</v>
          </cell>
          <cell r="I796">
            <v>122000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S796">
            <v>0.2</v>
          </cell>
          <cell r="T796">
            <v>0</v>
          </cell>
        </row>
        <row r="797">
          <cell r="B797" t="str">
            <v>HL2</v>
          </cell>
          <cell r="C797" t="str">
            <v>X</v>
          </cell>
          <cell r="F797" t="str">
            <v>Kẹp hotline 2/0</v>
          </cell>
          <cell r="G797" t="str">
            <v>cái</v>
          </cell>
          <cell r="H797">
            <v>0</v>
          </cell>
          <cell r="I797">
            <v>68000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S797">
            <v>0.1</v>
          </cell>
          <cell r="T797">
            <v>0</v>
          </cell>
        </row>
        <row r="798">
          <cell r="B798" t="str">
            <v>LCAPDONGTB95</v>
          </cell>
          <cell r="C798" t="str">
            <v>X</v>
          </cell>
          <cell r="E798" t="str">
            <v>T4.4201</v>
          </cell>
          <cell r="F798" t="str">
            <v>Lắp cáp đồng xuống thiết bị D ≤ 95mm2</v>
          </cell>
          <cell r="G798" t="str">
            <v>m</v>
          </cell>
          <cell r="H798">
            <v>0</v>
          </cell>
          <cell r="I798">
            <v>0</v>
          </cell>
          <cell r="K798">
            <v>11847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S798">
            <v>0</v>
          </cell>
          <cell r="T798">
            <v>0</v>
          </cell>
        </row>
        <row r="799">
          <cell r="C799" t="str">
            <v>X</v>
          </cell>
          <cell r="D799">
            <v>0</v>
          </cell>
          <cell r="F799" t="str">
            <v>Bộ dây dẫn hạ thế lộ xuống</v>
          </cell>
          <cell r="G799" t="str">
            <v>Bộ</v>
          </cell>
          <cell r="H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S799">
            <v>0</v>
          </cell>
          <cell r="T799">
            <v>0</v>
          </cell>
        </row>
        <row r="800">
          <cell r="C800" t="str">
            <v>X</v>
          </cell>
          <cell r="F800" t="str">
            <v>Gồm có: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S800">
            <v>0</v>
          </cell>
          <cell r="T800">
            <v>0</v>
          </cell>
        </row>
        <row r="801">
          <cell r="B801" t="str">
            <v>CV95</v>
          </cell>
          <cell r="C801" t="str">
            <v>X</v>
          </cell>
          <cell r="E801">
            <v>0</v>
          </cell>
          <cell r="F801" t="str">
            <v>Cáp đồng bọc CV95</v>
          </cell>
          <cell r="G801" t="str">
            <v>mét</v>
          </cell>
          <cell r="H801">
            <v>0</v>
          </cell>
          <cell r="I801">
            <v>170620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S801">
            <v>1.008</v>
          </cell>
          <cell r="T801">
            <v>0</v>
          </cell>
        </row>
        <row r="802">
          <cell r="B802" t="str">
            <v>CV70</v>
          </cell>
          <cell r="C802" t="str">
            <v>X</v>
          </cell>
          <cell r="E802">
            <v>0</v>
          </cell>
          <cell r="F802" t="str">
            <v>Cáp đồng bọc CV70</v>
          </cell>
          <cell r="G802" t="str">
            <v>mét</v>
          </cell>
          <cell r="H802">
            <v>0</v>
          </cell>
          <cell r="I802">
            <v>124570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S802">
            <v>0.73899999999999999</v>
          </cell>
          <cell r="T802">
            <v>0</v>
          </cell>
        </row>
        <row r="803">
          <cell r="B803" t="str">
            <v>CVV4X4</v>
          </cell>
          <cell r="C803" t="str">
            <v>X</v>
          </cell>
          <cell r="E803">
            <v>0</v>
          </cell>
          <cell r="F803" t="str">
            <v>Cáp điều khiển CVV 4x4,0mm2</v>
          </cell>
          <cell r="G803" t="str">
            <v>mét</v>
          </cell>
          <cell r="H803">
            <v>0</v>
          </cell>
          <cell r="I803">
            <v>56700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S803">
            <v>3.024</v>
          </cell>
          <cell r="T803">
            <v>0</v>
          </cell>
        </row>
        <row r="804">
          <cell r="B804" t="str">
            <v>COS95</v>
          </cell>
          <cell r="C804" t="str">
            <v>X</v>
          </cell>
          <cell r="F804" t="str">
            <v>Đầu cosse ép Cu 95mm2</v>
          </cell>
          <cell r="G804" t="str">
            <v>cái</v>
          </cell>
          <cell r="H804">
            <v>0</v>
          </cell>
          <cell r="I804">
            <v>47500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S804">
            <v>0.2</v>
          </cell>
          <cell r="T804">
            <v>0</v>
          </cell>
        </row>
        <row r="805">
          <cell r="B805" t="str">
            <v>COS70</v>
          </cell>
          <cell r="C805" t="str">
            <v>X</v>
          </cell>
          <cell r="F805" t="str">
            <v>Đầu cosse ép Cu 70mm2</v>
          </cell>
          <cell r="G805" t="str">
            <v>cái</v>
          </cell>
          <cell r="H805">
            <v>0</v>
          </cell>
          <cell r="I805">
            <v>34500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S805">
            <v>0.2</v>
          </cell>
          <cell r="T805">
            <v>0</v>
          </cell>
        </row>
        <row r="806">
          <cell r="B806" t="str">
            <v>CHCOS95</v>
          </cell>
          <cell r="C806" t="str">
            <v>X</v>
          </cell>
          <cell r="E806">
            <v>0</v>
          </cell>
          <cell r="F806" t="str">
            <v>Chụp đầu cosse  95mm2</v>
          </cell>
          <cell r="G806" t="str">
            <v>cái</v>
          </cell>
          <cell r="H806">
            <v>0</v>
          </cell>
          <cell r="I806">
            <v>3300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S806">
            <v>0</v>
          </cell>
          <cell r="T806">
            <v>0</v>
          </cell>
        </row>
        <row r="807">
          <cell r="B807" t="str">
            <v>CHCOS70</v>
          </cell>
          <cell r="C807" t="str">
            <v>X</v>
          </cell>
          <cell r="E807">
            <v>0</v>
          </cell>
          <cell r="F807" t="str">
            <v>Chụp đầu cosse  70mm2</v>
          </cell>
          <cell r="G807" t="str">
            <v>cái</v>
          </cell>
          <cell r="H807">
            <v>0</v>
          </cell>
          <cell r="I807">
            <v>2300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S807">
            <v>0</v>
          </cell>
          <cell r="T807">
            <v>0</v>
          </cell>
        </row>
        <row r="808">
          <cell r="B808" t="str">
            <v>PVC90</v>
          </cell>
          <cell r="C808" t="str">
            <v>X</v>
          </cell>
          <cell r="E808">
            <v>0</v>
          </cell>
          <cell r="F808" t="str">
            <v xml:space="preserve">Ống PVC D90x3,8mm </v>
          </cell>
          <cell r="G808" t="str">
            <v>m</v>
          </cell>
          <cell r="H808">
            <v>0</v>
          </cell>
          <cell r="I808">
            <v>63200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S808">
            <v>2</v>
          </cell>
          <cell r="T808">
            <v>0</v>
          </cell>
        </row>
        <row r="809">
          <cell r="B809" t="str">
            <v>CD90</v>
          </cell>
          <cell r="C809" t="str">
            <v>X</v>
          </cell>
          <cell r="E809">
            <v>0</v>
          </cell>
          <cell r="F809" t="str">
            <v>Cổ dê kẹp ống PVC φ 90 (có giá nới) (CD-230)</v>
          </cell>
          <cell r="G809" t="str">
            <v>bộ</v>
          </cell>
          <cell r="H809">
            <v>0</v>
          </cell>
          <cell r="I809">
            <v>74000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S809">
            <v>1.5</v>
          </cell>
          <cell r="T809">
            <v>0</v>
          </cell>
        </row>
        <row r="810">
          <cell r="B810" t="str">
            <v>CD90</v>
          </cell>
          <cell r="C810" t="str">
            <v>X</v>
          </cell>
          <cell r="E810">
            <v>0</v>
          </cell>
          <cell r="F810" t="str">
            <v>Cổ dê kẹp ống PVC φ 90 (có giá nới) (CD-250)</v>
          </cell>
          <cell r="G810" t="str">
            <v>bộ</v>
          </cell>
          <cell r="H810">
            <v>0</v>
          </cell>
          <cell r="I810">
            <v>74000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S810">
            <v>1.5</v>
          </cell>
          <cell r="T810">
            <v>0</v>
          </cell>
        </row>
        <row r="811">
          <cell r="B811" t="str">
            <v>CD90</v>
          </cell>
          <cell r="C811" t="str">
            <v>X</v>
          </cell>
          <cell r="E811">
            <v>0</v>
          </cell>
          <cell r="F811" t="str">
            <v>Cổ dê kẹp ống PVC φ 90 (có giá nới) (CD-280)</v>
          </cell>
          <cell r="G811" t="str">
            <v>bộ</v>
          </cell>
          <cell r="H811">
            <v>0</v>
          </cell>
          <cell r="I811">
            <v>74000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S811">
            <v>1.5</v>
          </cell>
          <cell r="T811">
            <v>0</v>
          </cell>
        </row>
        <row r="812">
          <cell r="B812" t="str">
            <v>CUT90TD</v>
          </cell>
          <cell r="C812" t="str">
            <v>X</v>
          </cell>
          <cell r="E812">
            <v>0</v>
          </cell>
          <cell r="F812" t="str">
            <v>Co  90 độ PVC 90 (Loại dày)</v>
          </cell>
          <cell r="G812" t="str">
            <v>cái</v>
          </cell>
          <cell r="H812">
            <v>0</v>
          </cell>
          <cell r="I812">
            <v>45400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S812">
            <v>0</v>
          </cell>
          <cell r="T812">
            <v>0</v>
          </cell>
        </row>
        <row r="813">
          <cell r="B813" t="str">
            <v>NG11490</v>
          </cell>
          <cell r="C813" t="str">
            <v>X</v>
          </cell>
          <cell r="E813">
            <v>0</v>
          </cell>
          <cell r="F813" t="str">
            <v>Nối giảm PVC 114-90</v>
          </cell>
          <cell r="G813" t="str">
            <v>cái</v>
          </cell>
          <cell r="H813">
            <v>0</v>
          </cell>
          <cell r="I813">
            <v>52800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S813">
            <v>0</v>
          </cell>
          <cell r="T813">
            <v>0</v>
          </cell>
        </row>
        <row r="814">
          <cell r="B814" t="str">
            <v>CUT90135</v>
          </cell>
          <cell r="C814" t="str">
            <v>X</v>
          </cell>
          <cell r="E814">
            <v>0</v>
          </cell>
          <cell r="F814" t="str">
            <v>Co 135 độ PVC 90</v>
          </cell>
          <cell r="G814" t="str">
            <v>cái</v>
          </cell>
          <cell r="H814">
            <v>0</v>
          </cell>
          <cell r="I814">
            <v>33900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S814">
            <v>0</v>
          </cell>
          <cell r="T814">
            <v>0</v>
          </cell>
        </row>
        <row r="815">
          <cell r="B815" t="str">
            <v>KEODAN</v>
          </cell>
          <cell r="C815" t="str">
            <v>X</v>
          </cell>
          <cell r="E815">
            <v>0</v>
          </cell>
          <cell r="F815" t="str">
            <v>Keo dán ống PVC (100gr)</v>
          </cell>
          <cell r="G815" t="str">
            <v>tuýp</v>
          </cell>
          <cell r="H815">
            <v>0</v>
          </cell>
          <cell r="I815">
            <v>11500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S815">
            <v>0</v>
          </cell>
          <cell r="T815">
            <v>0</v>
          </cell>
        </row>
        <row r="816">
          <cell r="B816" t="str">
            <v>KEOBIT</v>
          </cell>
          <cell r="C816" t="str">
            <v>X</v>
          </cell>
          <cell r="E816">
            <v>0</v>
          </cell>
          <cell r="F816" t="str">
            <v>Keo silicon bít miệng ống</v>
          </cell>
          <cell r="G816" t="str">
            <v>ống</v>
          </cell>
          <cell r="I816">
            <v>45000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S816">
            <v>0</v>
          </cell>
          <cell r="T816">
            <v>0</v>
          </cell>
        </row>
        <row r="817">
          <cell r="B817" t="str">
            <v>BANGKEO</v>
          </cell>
          <cell r="C817" t="str">
            <v>X</v>
          </cell>
          <cell r="E817">
            <v>0</v>
          </cell>
          <cell r="F817" t="str">
            <v>Băng keo cách điện (Màu đen)</v>
          </cell>
          <cell r="G817" t="str">
            <v>cuộn</v>
          </cell>
          <cell r="H817">
            <v>0</v>
          </cell>
          <cell r="I817">
            <v>6500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S817">
            <v>0</v>
          </cell>
          <cell r="T817">
            <v>0</v>
          </cell>
        </row>
        <row r="818">
          <cell r="B818" t="str">
            <v>BANGKEOV</v>
          </cell>
          <cell r="C818" t="str">
            <v>X</v>
          </cell>
          <cell r="E818">
            <v>0</v>
          </cell>
          <cell r="F818" t="str">
            <v>Băng keo cách điện (Màu vàng)</v>
          </cell>
          <cell r="G818" t="str">
            <v>cuộn</v>
          </cell>
          <cell r="H818">
            <v>0</v>
          </cell>
          <cell r="I818">
            <v>6500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S818">
            <v>0</v>
          </cell>
          <cell r="T818">
            <v>0</v>
          </cell>
        </row>
        <row r="819">
          <cell r="B819" t="str">
            <v>BANGKEOX</v>
          </cell>
          <cell r="C819" t="str">
            <v>X</v>
          </cell>
          <cell r="E819">
            <v>0</v>
          </cell>
          <cell r="F819" t="str">
            <v>Băng keo cách điện (Màu xanh)</v>
          </cell>
          <cell r="G819" t="str">
            <v>cuộn</v>
          </cell>
          <cell r="H819">
            <v>0</v>
          </cell>
          <cell r="I819">
            <v>6500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S819">
            <v>0</v>
          </cell>
          <cell r="T819">
            <v>0</v>
          </cell>
        </row>
        <row r="820">
          <cell r="B820" t="str">
            <v>BANGKEOD</v>
          </cell>
          <cell r="C820" t="str">
            <v>X</v>
          </cell>
          <cell r="E820">
            <v>0</v>
          </cell>
          <cell r="F820" t="str">
            <v>Băng keo cách điện (Màu đỏ)</v>
          </cell>
          <cell r="G820" t="str">
            <v>cuộn</v>
          </cell>
          <cell r="H820">
            <v>0</v>
          </cell>
          <cell r="I820">
            <v>6500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S820">
            <v>0</v>
          </cell>
          <cell r="T820">
            <v>0</v>
          </cell>
        </row>
        <row r="821">
          <cell r="B821" t="str">
            <v>LPVC90CL</v>
          </cell>
          <cell r="C821" t="str">
            <v>X</v>
          </cell>
          <cell r="E821" t="str">
            <v>T4.8003</v>
          </cell>
          <cell r="F821" t="str">
            <v>Lắp ống nhựa PVC D90</v>
          </cell>
          <cell r="G821" t="str">
            <v>mét</v>
          </cell>
          <cell r="H821">
            <v>0</v>
          </cell>
          <cell r="I821">
            <v>0</v>
          </cell>
          <cell r="K821">
            <v>35541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S821">
            <v>0</v>
          </cell>
          <cell r="T821">
            <v>0</v>
          </cell>
        </row>
        <row r="822">
          <cell r="B822" t="str">
            <v>LCAPDONGTB95</v>
          </cell>
          <cell r="C822" t="str">
            <v>X</v>
          </cell>
          <cell r="E822" t="str">
            <v>T4.4201</v>
          </cell>
          <cell r="F822" t="str">
            <v>Lắp cáp đồng xuống thiết bị D ≤ 95mm2</v>
          </cell>
          <cell r="G822" t="str">
            <v>m</v>
          </cell>
          <cell r="H822">
            <v>0</v>
          </cell>
          <cell r="I822">
            <v>0</v>
          </cell>
          <cell r="K822">
            <v>11847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S822">
            <v>0</v>
          </cell>
          <cell r="T822">
            <v>0</v>
          </cell>
        </row>
        <row r="823">
          <cell r="C823" t="str">
            <v>X</v>
          </cell>
          <cell r="D823">
            <v>0</v>
          </cell>
          <cell r="F823" t="str">
            <v>Bộ dây dẫn hạ thế lộ lên</v>
          </cell>
          <cell r="G823" t="str">
            <v>Bộ</v>
          </cell>
          <cell r="H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S823">
            <v>0</v>
          </cell>
          <cell r="T823">
            <v>0</v>
          </cell>
        </row>
        <row r="824">
          <cell r="C824" t="str">
            <v>X</v>
          </cell>
          <cell r="F824" t="str">
            <v>Gồm có: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S824">
            <v>0</v>
          </cell>
          <cell r="T824">
            <v>0</v>
          </cell>
        </row>
        <row r="825">
          <cell r="B825" t="str">
            <v>CV70</v>
          </cell>
          <cell r="C825" t="str">
            <v>X</v>
          </cell>
          <cell r="E825">
            <v>0</v>
          </cell>
          <cell r="F825" t="str">
            <v>Cáp đồng bọc CV70</v>
          </cell>
          <cell r="G825" t="str">
            <v>mét</v>
          </cell>
          <cell r="H825">
            <v>0</v>
          </cell>
          <cell r="I825">
            <v>124570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S825">
            <v>0.73899999999999999</v>
          </cell>
          <cell r="T825">
            <v>0</v>
          </cell>
        </row>
        <row r="826">
          <cell r="B826" t="str">
            <v>CV50</v>
          </cell>
          <cell r="C826" t="str">
            <v>X</v>
          </cell>
          <cell r="E826">
            <v>0</v>
          </cell>
          <cell r="F826" t="str">
            <v>Cáp đồng bọc CV50</v>
          </cell>
          <cell r="G826" t="str">
            <v>mét</v>
          </cell>
          <cell r="H826">
            <v>0</v>
          </cell>
          <cell r="I826">
            <v>90810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S826">
            <v>0.53400000000000003</v>
          </cell>
          <cell r="T826">
            <v>0</v>
          </cell>
        </row>
        <row r="827">
          <cell r="B827" t="str">
            <v>CV70</v>
          </cell>
          <cell r="C827" t="str">
            <v>X</v>
          </cell>
          <cell r="E827">
            <v>0</v>
          </cell>
          <cell r="F827" t="str">
            <v>Cáp đồng bọc CV70 (Bắt CB phân đoạn)</v>
          </cell>
          <cell r="G827" t="str">
            <v>mét</v>
          </cell>
          <cell r="H827">
            <v>0</v>
          </cell>
          <cell r="I827">
            <v>124570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S827">
            <v>0.73899999999999999</v>
          </cell>
          <cell r="T827">
            <v>0</v>
          </cell>
        </row>
        <row r="828">
          <cell r="B828" t="str">
            <v>COS70</v>
          </cell>
          <cell r="C828" t="str">
            <v>X</v>
          </cell>
          <cell r="F828" t="str">
            <v>Đầu cosse ép Cu 70mm2</v>
          </cell>
          <cell r="G828" t="str">
            <v>cái</v>
          </cell>
          <cell r="H828">
            <v>0</v>
          </cell>
          <cell r="I828">
            <v>34500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S828">
            <v>0.2</v>
          </cell>
          <cell r="T828">
            <v>0</v>
          </cell>
        </row>
        <row r="829">
          <cell r="B829" t="str">
            <v>COS50</v>
          </cell>
          <cell r="C829" t="str">
            <v>X</v>
          </cell>
          <cell r="F829" t="str">
            <v>Đầu cosse ép Cu 50mm2</v>
          </cell>
          <cell r="G829" t="str">
            <v>cái</v>
          </cell>
          <cell r="H829">
            <v>0</v>
          </cell>
          <cell r="I829">
            <v>24000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S829">
            <v>0.1</v>
          </cell>
          <cell r="T829">
            <v>0</v>
          </cell>
        </row>
        <row r="830">
          <cell r="B830" t="str">
            <v>CHCOS70</v>
          </cell>
          <cell r="C830" t="str">
            <v>X</v>
          </cell>
          <cell r="E830">
            <v>0</v>
          </cell>
          <cell r="F830" t="str">
            <v>Chụp đầu cosse  70mm2</v>
          </cell>
          <cell r="G830" t="str">
            <v>cái</v>
          </cell>
          <cell r="H830">
            <v>0</v>
          </cell>
          <cell r="I830">
            <v>2300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S830">
            <v>0</v>
          </cell>
          <cell r="T830">
            <v>0</v>
          </cell>
        </row>
        <row r="831">
          <cell r="B831" t="str">
            <v>CHCOS50</v>
          </cell>
          <cell r="C831" t="str">
            <v>X</v>
          </cell>
          <cell r="E831">
            <v>0</v>
          </cell>
          <cell r="F831" t="str">
            <v>Chụp đầu cosse  50mm2</v>
          </cell>
          <cell r="G831" t="str">
            <v>cái</v>
          </cell>
          <cell r="H831">
            <v>0</v>
          </cell>
          <cell r="I831">
            <v>1300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S831">
            <v>0</v>
          </cell>
          <cell r="T831">
            <v>0</v>
          </cell>
        </row>
        <row r="832">
          <cell r="B832" t="str">
            <v>PVC90</v>
          </cell>
          <cell r="C832" t="str">
            <v>X</v>
          </cell>
          <cell r="E832">
            <v>0</v>
          </cell>
          <cell r="F832" t="str">
            <v xml:space="preserve">Ống PVC D90x3,8mm </v>
          </cell>
          <cell r="G832" t="str">
            <v>m</v>
          </cell>
          <cell r="H832">
            <v>0</v>
          </cell>
          <cell r="I832">
            <v>63200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S832">
            <v>2</v>
          </cell>
          <cell r="T832">
            <v>0</v>
          </cell>
        </row>
        <row r="833">
          <cell r="B833" t="str">
            <v>CD90</v>
          </cell>
          <cell r="C833" t="str">
            <v>X</v>
          </cell>
          <cell r="E833">
            <v>0</v>
          </cell>
          <cell r="F833" t="str">
            <v>Cổ dê kẹp ống PVC φ 90 (có giá nới) (CD-230)</v>
          </cell>
          <cell r="G833" t="str">
            <v>bộ</v>
          </cell>
          <cell r="H833">
            <v>0</v>
          </cell>
          <cell r="I833">
            <v>74000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S833">
            <v>1.5</v>
          </cell>
          <cell r="T833">
            <v>0</v>
          </cell>
        </row>
        <row r="834">
          <cell r="B834" t="str">
            <v>CD90</v>
          </cell>
          <cell r="C834" t="str">
            <v>X</v>
          </cell>
          <cell r="E834">
            <v>0</v>
          </cell>
          <cell r="F834" t="str">
            <v>Cổ dê kẹp ống PVC φ 90 (có giá nới) (CD-280)</v>
          </cell>
          <cell r="G834" t="str">
            <v>bộ</v>
          </cell>
          <cell r="H834">
            <v>0</v>
          </cell>
          <cell r="I834">
            <v>74000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S834">
            <v>1.5</v>
          </cell>
          <cell r="T834">
            <v>0</v>
          </cell>
        </row>
        <row r="835">
          <cell r="B835" t="str">
            <v>CD90</v>
          </cell>
          <cell r="C835" t="str">
            <v>X</v>
          </cell>
          <cell r="E835">
            <v>0</v>
          </cell>
          <cell r="F835" t="str">
            <v>Cổ dê kẹp ống PVC φ 90 (có giá nới) (CD-320)</v>
          </cell>
          <cell r="G835" t="str">
            <v>bộ</v>
          </cell>
          <cell r="H835">
            <v>0</v>
          </cell>
          <cell r="I835">
            <v>74000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S835">
            <v>1.5</v>
          </cell>
          <cell r="T835">
            <v>0</v>
          </cell>
        </row>
        <row r="836">
          <cell r="B836" t="str">
            <v>CUT90T</v>
          </cell>
          <cell r="C836" t="str">
            <v>X</v>
          </cell>
          <cell r="E836">
            <v>0</v>
          </cell>
          <cell r="F836" t="str">
            <v>Co  90 độ PVC 90</v>
          </cell>
          <cell r="G836" t="str">
            <v>cái</v>
          </cell>
          <cell r="H836">
            <v>0</v>
          </cell>
          <cell r="I836">
            <v>35200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S836">
            <v>0</v>
          </cell>
          <cell r="T836">
            <v>0</v>
          </cell>
        </row>
        <row r="837">
          <cell r="B837" t="str">
            <v>CUT90TD</v>
          </cell>
          <cell r="C837" t="str">
            <v>X</v>
          </cell>
          <cell r="E837">
            <v>0</v>
          </cell>
          <cell r="F837" t="str">
            <v>Co  90 độ PVC 90 (Loại dày)</v>
          </cell>
          <cell r="G837" t="str">
            <v>cái</v>
          </cell>
          <cell r="H837">
            <v>0</v>
          </cell>
          <cell r="I837">
            <v>45400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S837">
            <v>0</v>
          </cell>
          <cell r="T837">
            <v>0</v>
          </cell>
        </row>
        <row r="838">
          <cell r="B838" t="str">
            <v>CUT90135</v>
          </cell>
          <cell r="C838" t="str">
            <v>X</v>
          </cell>
          <cell r="E838">
            <v>0</v>
          </cell>
          <cell r="F838" t="str">
            <v>Co 135 độ PVC 90</v>
          </cell>
          <cell r="G838" t="str">
            <v>cái</v>
          </cell>
          <cell r="H838">
            <v>0</v>
          </cell>
          <cell r="I838">
            <v>33900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S838">
            <v>0</v>
          </cell>
          <cell r="T838">
            <v>0</v>
          </cell>
        </row>
        <row r="839">
          <cell r="B839" t="str">
            <v>KEODAN</v>
          </cell>
          <cell r="C839" t="str">
            <v>X</v>
          </cell>
          <cell r="E839">
            <v>0</v>
          </cell>
          <cell r="F839" t="str">
            <v>Keo dán ống PVC (100gr)</v>
          </cell>
          <cell r="G839" t="str">
            <v>tuýp</v>
          </cell>
          <cell r="H839">
            <v>0</v>
          </cell>
          <cell r="I839">
            <v>11500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S839">
            <v>0</v>
          </cell>
          <cell r="T839">
            <v>0</v>
          </cell>
        </row>
        <row r="840">
          <cell r="B840" t="str">
            <v>KEOBIT</v>
          </cell>
          <cell r="C840" t="str">
            <v>X</v>
          </cell>
          <cell r="E840">
            <v>0</v>
          </cell>
          <cell r="F840" t="str">
            <v>Keo silicon bít miệng ống</v>
          </cell>
          <cell r="G840" t="str">
            <v>ống</v>
          </cell>
          <cell r="I840">
            <v>45000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S840">
            <v>0</v>
          </cell>
          <cell r="T840">
            <v>0</v>
          </cell>
        </row>
        <row r="841">
          <cell r="B841" t="str">
            <v>BANGKEO</v>
          </cell>
          <cell r="C841" t="str">
            <v>X</v>
          </cell>
          <cell r="E841">
            <v>0</v>
          </cell>
          <cell r="F841" t="str">
            <v>Băng keo cách điện (Màu đen)</v>
          </cell>
          <cell r="G841" t="str">
            <v>cuộn</v>
          </cell>
          <cell r="H841">
            <v>0</v>
          </cell>
          <cell r="I841">
            <v>6500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S841">
            <v>0</v>
          </cell>
          <cell r="T841">
            <v>0</v>
          </cell>
        </row>
        <row r="842">
          <cell r="B842" t="str">
            <v>BANGKEOV</v>
          </cell>
          <cell r="C842" t="str">
            <v>X</v>
          </cell>
          <cell r="E842">
            <v>0</v>
          </cell>
          <cell r="F842" t="str">
            <v>Băng keo cách điện (Màu vàng)</v>
          </cell>
          <cell r="G842" t="str">
            <v>cuộn</v>
          </cell>
          <cell r="H842">
            <v>0</v>
          </cell>
          <cell r="I842">
            <v>6500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S842">
            <v>0</v>
          </cell>
          <cell r="T842">
            <v>0</v>
          </cell>
        </row>
        <row r="843">
          <cell r="B843" t="str">
            <v>BANGKEOX</v>
          </cell>
          <cell r="C843" t="str">
            <v>X</v>
          </cell>
          <cell r="E843">
            <v>0</v>
          </cell>
          <cell r="F843" t="str">
            <v>Băng keo cách điện (Màu xanh)</v>
          </cell>
          <cell r="G843" t="str">
            <v>cuộn</v>
          </cell>
          <cell r="H843">
            <v>0</v>
          </cell>
          <cell r="I843">
            <v>6500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S843">
            <v>0</v>
          </cell>
          <cell r="T843">
            <v>0</v>
          </cell>
        </row>
        <row r="844">
          <cell r="B844" t="str">
            <v>BANGKEOD</v>
          </cell>
          <cell r="C844" t="str">
            <v>X</v>
          </cell>
          <cell r="E844">
            <v>0</v>
          </cell>
          <cell r="F844" t="str">
            <v>Băng keo cách điện (Màu đỏ)</v>
          </cell>
          <cell r="G844" t="str">
            <v>cuộn</v>
          </cell>
          <cell r="H844">
            <v>0</v>
          </cell>
          <cell r="I844">
            <v>6500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S844">
            <v>0</v>
          </cell>
          <cell r="T844">
            <v>0</v>
          </cell>
        </row>
        <row r="845">
          <cell r="B845" t="str">
            <v>LPVC90CL</v>
          </cell>
          <cell r="C845" t="str">
            <v>X</v>
          </cell>
          <cell r="E845" t="str">
            <v>T4.8003</v>
          </cell>
          <cell r="F845" t="str">
            <v>Lắp ống nhựa PVC D90</v>
          </cell>
          <cell r="G845" t="str">
            <v>mét</v>
          </cell>
          <cell r="H845">
            <v>0</v>
          </cell>
          <cell r="I845">
            <v>0</v>
          </cell>
          <cell r="K845">
            <v>35541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S845">
            <v>0</v>
          </cell>
          <cell r="T845">
            <v>0</v>
          </cell>
        </row>
        <row r="846">
          <cell r="B846" t="str">
            <v>LCAPDONGTB95</v>
          </cell>
          <cell r="C846" t="str">
            <v>X</v>
          </cell>
          <cell r="E846" t="str">
            <v>T4.4201</v>
          </cell>
          <cell r="F846" t="str">
            <v>Lắp cáp đồng xuống thiết bị D ≤ 95mm2</v>
          </cell>
          <cell r="G846" t="str">
            <v>m</v>
          </cell>
          <cell r="H846">
            <v>0</v>
          </cell>
          <cell r="I846">
            <v>0</v>
          </cell>
          <cell r="K846">
            <v>11847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S846">
            <v>0</v>
          </cell>
          <cell r="T846">
            <v>0</v>
          </cell>
        </row>
        <row r="847">
          <cell r="C847" t="str">
            <v>X</v>
          </cell>
          <cell r="D847">
            <v>0</v>
          </cell>
          <cell r="F847" t="str">
            <v>Phụ kiện dừng dây hạ thế vào trạm</v>
          </cell>
          <cell r="G847" t="str">
            <v>Bộ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S847">
            <v>0</v>
          </cell>
          <cell r="T847">
            <v>0</v>
          </cell>
        </row>
        <row r="848">
          <cell r="C848" t="str">
            <v>X</v>
          </cell>
          <cell r="F848" t="str">
            <v>Lưới hạ thế sau TBA Ấp Đồi B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S848">
            <v>0</v>
          </cell>
          <cell r="T848">
            <v>0</v>
          </cell>
        </row>
        <row r="849">
          <cell r="B849" t="str">
            <v>AC50</v>
          </cell>
          <cell r="C849" t="str">
            <v>X</v>
          </cell>
          <cell r="E849">
            <v>0</v>
          </cell>
          <cell r="F849" t="str">
            <v>Cáp nhôm lõi thép AC-50/8</v>
          </cell>
          <cell r="G849" t="str">
            <v>kg</v>
          </cell>
          <cell r="I849">
            <v>54400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S849">
            <v>1</v>
          </cell>
          <cell r="T849">
            <v>0</v>
          </cell>
        </row>
        <row r="850">
          <cell r="B850" t="str">
            <v>AV70</v>
          </cell>
          <cell r="C850" t="str">
            <v>X</v>
          </cell>
          <cell r="E850">
            <v>0</v>
          </cell>
          <cell r="F850" t="str">
            <v>Cáp nhôm bọc AV70</v>
          </cell>
          <cell r="G850" t="str">
            <v>mét</v>
          </cell>
          <cell r="I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S850">
            <v>0.308</v>
          </cell>
          <cell r="T850">
            <v>0</v>
          </cell>
        </row>
        <row r="851">
          <cell r="B851" t="str">
            <v>R4</v>
          </cell>
          <cell r="C851" t="str">
            <v>X</v>
          </cell>
          <cell r="E851">
            <v>0</v>
          </cell>
          <cell r="F851" t="str">
            <v>Rack 4 sứ</v>
          </cell>
          <cell r="G851" t="str">
            <v>cái</v>
          </cell>
          <cell r="I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S851">
            <v>3.5</v>
          </cell>
          <cell r="T851">
            <v>0</v>
          </cell>
        </row>
        <row r="852">
          <cell r="B852" t="str">
            <v>SOC</v>
          </cell>
          <cell r="C852" t="str">
            <v>X</v>
          </cell>
          <cell r="E852">
            <v>0</v>
          </cell>
          <cell r="F852" t="str">
            <v xml:space="preserve">Sứ ống chỉ </v>
          </cell>
          <cell r="G852" t="str">
            <v>cái</v>
          </cell>
          <cell r="I852">
            <v>16000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S852">
            <v>0.2</v>
          </cell>
          <cell r="T852">
            <v>0</v>
          </cell>
        </row>
        <row r="853">
          <cell r="B853" t="str">
            <v>B16350</v>
          </cell>
          <cell r="C853" t="str">
            <v>X</v>
          </cell>
          <cell r="E853">
            <v>0</v>
          </cell>
          <cell r="F853" t="str">
            <v>Boulon 16x350+ 2 long đền vuông D18-50x50x3/Zn</v>
          </cell>
          <cell r="G853" t="str">
            <v>bộ</v>
          </cell>
          <cell r="I853">
            <v>32500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S853">
            <v>0.3</v>
          </cell>
          <cell r="T853">
            <v>0</v>
          </cell>
        </row>
        <row r="854">
          <cell r="B854" t="str">
            <v>KU70</v>
          </cell>
          <cell r="C854" t="str">
            <v>X</v>
          </cell>
          <cell r="E854">
            <v>0</v>
          </cell>
          <cell r="F854" t="str">
            <v>Kẹp Ubolt cỡ dây 70</v>
          </cell>
          <cell r="G854" t="str">
            <v>cái</v>
          </cell>
          <cell r="I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S854">
            <v>0.7</v>
          </cell>
          <cell r="T854">
            <v>0</v>
          </cell>
        </row>
        <row r="855">
          <cell r="B855" t="str">
            <v>ON70</v>
          </cell>
          <cell r="C855" t="str">
            <v>X</v>
          </cell>
          <cell r="F855" t="str">
            <v>Ống nối dây AC cỡ 70mm2 (Không lõi thép)</v>
          </cell>
          <cell r="G855" t="str">
            <v>cái</v>
          </cell>
          <cell r="I855">
            <v>40000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S855">
            <v>2</v>
          </cell>
          <cell r="T855">
            <v>0</v>
          </cell>
        </row>
        <row r="856">
          <cell r="B856" t="str">
            <v>OBCD</v>
          </cell>
          <cell r="C856" t="str">
            <v>X</v>
          </cell>
          <cell r="E856">
            <v>0</v>
          </cell>
          <cell r="F856" t="str">
            <v>Ống bọc cách điện D30</v>
          </cell>
          <cell r="G856" t="str">
            <v>mét</v>
          </cell>
          <cell r="I856">
            <v>95000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S856">
            <v>0</v>
          </cell>
          <cell r="T856">
            <v>0</v>
          </cell>
        </row>
        <row r="857">
          <cell r="C857" t="str">
            <v>X</v>
          </cell>
          <cell r="F857" t="str">
            <v>Bộ Uclevis đỡ dây trung hòa trung thế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S857">
            <v>0</v>
          </cell>
          <cell r="T857">
            <v>0</v>
          </cell>
        </row>
        <row r="858">
          <cell r="B858" t="str">
            <v>R1</v>
          </cell>
          <cell r="C858" t="str">
            <v>X</v>
          </cell>
          <cell r="E858">
            <v>0</v>
          </cell>
          <cell r="F858" t="str">
            <v>Uclevis - 3mm (loại gân) 32</v>
          </cell>
          <cell r="G858" t="str">
            <v>cái</v>
          </cell>
          <cell r="I858">
            <v>18000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S858">
            <v>2.5</v>
          </cell>
          <cell r="T858">
            <v>0</v>
          </cell>
        </row>
        <row r="859">
          <cell r="B859" t="str">
            <v>SOC</v>
          </cell>
          <cell r="C859" t="str">
            <v>X</v>
          </cell>
          <cell r="E859">
            <v>0</v>
          </cell>
          <cell r="F859" t="str">
            <v xml:space="preserve">Sứ ống chỉ </v>
          </cell>
          <cell r="G859" t="str">
            <v>cái</v>
          </cell>
          <cell r="I859">
            <v>16000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S859">
            <v>0.2</v>
          </cell>
          <cell r="T859">
            <v>0</v>
          </cell>
        </row>
        <row r="860">
          <cell r="B860" t="str">
            <v>B16300</v>
          </cell>
          <cell r="C860" t="str">
            <v>X</v>
          </cell>
          <cell r="E860">
            <v>0</v>
          </cell>
          <cell r="F860" t="str">
            <v>Boulon 16x300+ 2 long đền vuông D18-50x50x3/Zn</v>
          </cell>
          <cell r="G860" t="str">
            <v>bộ</v>
          </cell>
          <cell r="I860">
            <v>30000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S860">
            <v>0.25</v>
          </cell>
          <cell r="T860">
            <v>0</v>
          </cell>
        </row>
        <row r="861">
          <cell r="B861" t="str">
            <v>BANG</v>
          </cell>
          <cell r="C861" t="str">
            <v>X</v>
          </cell>
          <cell r="D861">
            <v>0</v>
          </cell>
          <cell r="E861">
            <v>0</v>
          </cell>
          <cell r="F861" t="str">
            <v>Bảng tên trạm + bulon</v>
          </cell>
          <cell r="G861" t="str">
            <v>bộ</v>
          </cell>
          <cell r="H861">
            <v>0</v>
          </cell>
          <cell r="I861">
            <v>100000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S861">
            <v>0</v>
          </cell>
          <cell r="T861">
            <v>0</v>
          </cell>
        </row>
        <row r="862">
          <cell r="A862" t="str">
            <v>TR3X375</v>
          </cell>
          <cell r="C862" t="str">
            <v>X</v>
          </cell>
          <cell r="D862" t="str">
            <v>II</v>
          </cell>
          <cell r="E862" t="str">
            <v xml:space="preserve"> Trạm 3 pha 3x37,5kVA</v>
          </cell>
          <cell r="S862">
            <v>0</v>
          </cell>
          <cell r="T862">
            <v>0</v>
          </cell>
        </row>
        <row r="863">
          <cell r="A863" t="str">
            <v>TBTR3X375</v>
          </cell>
          <cell r="C863" t="str">
            <v>X</v>
          </cell>
          <cell r="F863" t="str">
            <v>A.PHẦN THIẾT BỊ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S863">
            <v>0</v>
          </cell>
          <cell r="T863">
            <v>0</v>
          </cell>
        </row>
        <row r="864">
          <cell r="A864" t="str">
            <v/>
          </cell>
          <cell r="B864" t="str">
            <v>TR371</v>
          </cell>
          <cell r="C864" t="str">
            <v>X</v>
          </cell>
          <cell r="E864" t="str">
            <v>T1.1432</v>
          </cell>
          <cell r="F864" t="str">
            <v>Máy biến áp AMORPHOUS 12,7/0,22-0,44kV 37,5kVA</v>
          </cell>
          <cell r="G864" t="str">
            <v>máy</v>
          </cell>
          <cell r="H864">
            <v>0</v>
          </cell>
          <cell r="I864">
            <v>0</v>
          </cell>
          <cell r="K864">
            <v>746585</v>
          </cell>
          <cell r="L864">
            <v>360605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S864">
            <v>355</v>
          </cell>
          <cell r="T864">
            <v>0</v>
          </cell>
        </row>
        <row r="865">
          <cell r="A865" t="str">
            <v/>
          </cell>
          <cell r="B865" t="str">
            <v>FCO100</v>
          </cell>
          <cell r="C865" t="str">
            <v>X</v>
          </cell>
          <cell r="E865" t="str">
            <v>T2.3505</v>
          </cell>
          <cell r="F865" t="str">
            <v>FCO 27kV - 100A</v>
          </cell>
          <cell r="G865" t="str">
            <v>cái</v>
          </cell>
          <cell r="H865">
            <v>0</v>
          </cell>
          <cell r="I865">
            <v>1020000</v>
          </cell>
          <cell r="K865">
            <v>189552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S865">
            <v>1.5</v>
          </cell>
          <cell r="T865">
            <v>0</v>
          </cell>
        </row>
        <row r="866">
          <cell r="A866" t="str">
            <v/>
          </cell>
          <cell r="B866" t="str">
            <v>LA18</v>
          </cell>
          <cell r="C866" t="str">
            <v>X</v>
          </cell>
          <cell r="E866" t="str">
            <v>T2.5004</v>
          </cell>
          <cell r="F866" t="str">
            <v>LA 18kV 10kA</v>
          </cell>
          <cell r="G866" t="str">
            <v>cái</v>
          </cell>
          <cell r="H866">
            <v>0</v>
          </cell>
          <cell r="I866">
            <v>910000</v>
          </cell>
          <cell r="K866">
            <v>71082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S866">
            <v>0.8</v>
          </cell>
          <cell r="T866">
            <v>0</v>
          </cell>
        </row>
        <row r="867">
          <cell r="A867" t="str">
            <v/>
          </cell>
          <cell r="B867" t="str">
            <v>ATM200</v>
          </cell>
          <cell r="C867" t="str">
            <v>X</v>
          </cell>
          <cell r="F867" t="str">
            <v>MCCB 3 cực 400V - 200A - 35KA (125-200A)</v>
          </cell>
          <cell r="G867" t="str">
            <v>cái</v>
          </cell>
          <cell r="H867">
            <v>0</v>
          </cell>
          <cell r="I867">
            <v>2590000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S867">
            <v>2</v>
          </cell>
          <cell r="T867">
            <v>0</v>
          </cell>
        </row>
        <row r="868">
          <cell r="A868" t="str">
            <v/>
          </cell>
          <cell r="B868" t="str">
            <v>TI1505</v>
          </cell>
          <cell r="C868" t="str">
            <v>X</v>
          </cell>
          <cell r="E868">
            <v>0</v>
          </cell>
          <cell r="F868" t="str">
            <v xml:space="preserve">Biến dòng 600V - 150/5A </v>
          </cell>
          <cell r="G868" t="str">
            <v>cái</v>
          </cell>
          <cell r="H868">
            <v>0</v>
          </cell>
          <cell r="I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S868">
            <v>0</v>
          </cell>
          <cell r="T868">
            <v>0</v>
          </cell>
        </row>
        <row r="869">
          <cell r="A869" t="str">
            <v/>
          </cell>
          <cell r="B869" t="str">
            <v>DK3p5A</v>
          </cell>
          <cell r="C869" t="str">
            <v>X</v>
          </cell>
          <cell r="E869">
            <v>0</v>
          </cell>
          <cell r="F869" t="str">
            <v>Điện kế 3 pha 4 dây 220/380V-5A</v>
          </cell>
          <cell r="G869" t="str">
            <v>cái</v>
          </cell>
          <cell r="H869">
            <v>0</v>
          </cell>
          <cell r="I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S869">
            <v>1.5</v>
          </cell>
          <cell r="T869">
            <v>0</v>
          </cell>
        </row>
        <row r="870">
          <cell r="A870" t="str">
            <v>VLTR3X375</v>
          </cell>
          <cell r="C870" t="str">
            <v>X</v>
          </cell>
          <cell r="F870" t="str">
            <v>B. PHẦN VẬT LIỆU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S870">
            <v>0</v>
          </cell>
          <cell r="T870">
            <v>0</v>
          </cell>
        </row>
        <row r="871">
          <cell r="C871" t="str">
            <v>X</v>
          </cell>
          <cell r="D871">
            <v>0</v>
          </cell>
          <cell r="F871" t="str">
            <v>Vật liệu bảo vệ thiết bị</v>
          </cell>
          <cell r="G871" t="str">
            <v>Bộ</v>
          </cell>
          <cell r="H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S871">
            <v>0</v>
          </cell>
          <cell r="T871">
            <v>0</v>
          </cell>
        </row>
        <row r="872">
          <cell r="A872" t="str">
            <v/>
          </cell>
          <cell r="B872" t="str">
            <v>CHI6K</v>
          </cell>
          <cell r="C872" t="str">
            <v>X</v>
          </cell>
          <cell r="E872">
            <v>0</v>
          </cell>
          <cell r="F872" t="str">
            <v>Dây chảy 6K</v>
          </cell>
          <cell r="G872" t="str">
            <v>Sợi</v>
          </cell>
          <cell r="H872">
            <v>0</v>
          </cell>
          <cell r="I872">
            <v>84000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S872">
            <v>0</v>
          </cell>
          <cell r="T872">
            <v>0</v>
          </cell>
        </row>
        <row r="873">
          <cell r="A873" t="str">
            <v/>
          </cell>
          <cell r="B873" t="str">
            <v>CHUPFCO</v>
          </cell>
          <cell r="C873" t="str">
            <v>X</v>
          </cell>
          <cell r="E873">
            <v>0</v>
          </cell>
          <cell r="F873" t="str">
            <v>Chụp đầu FCO (Trên + Dưới)</v>
          </cell>
          <cell r="G873" t="str">
            <v>bộ</v>
          </cell>
          <cell r="H873">
            <v>0</v>
          </cell>
          <cell r="I873">
            <v>190000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S873">
            <v>0</v>
          </cell>
          <cell r="T873">
            <v>0</v>
          </cell>
        </row>
        <row r="874">
          <cell r="A874" t="str">
            <v/>
          </cell>
          <cell r="B874" t="str">
            <v>CHUPLA</v>
          </cell>
          <cell r="C874" t="str">
            <v>X</v>
          </cell>
          <cell r="E874">
            <v>0</v>
          </cell>
          <cell r="F874" t="str">
            <v>Chụp đầu LA</v>
          </cell>
          <cell r="G874" t="str">
            <v>cái</v>
          </cell>
          <cell r="H874">
            <v>0</v>
          </cell>
          <cell r="I874">
            <v>32000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S874">
            <v>0</v>
          </cell>
          <cell r="T874">
            <v>0</v>
          </cell>
        </row>
        <row r="875">
          <cell r="A875" t="str">
            <v/>
          </cell>
          <cell r="B875" t="str">
            <v>CHUPMBA</v>
          </cell>
          <cell r="C875" t="str">
            <v>X</v>
          </cell>
          <cell r="E875">
            <v>0</v>
          </cell>
          <cell r="F875" t="str">
            <v>Chụp đầu cực MBA</v>
          </cell>
          <cell r="G875" t="str">
            <v>cái</v>
          </cell>
          <cell r="H875">
            <v>0</v>
          </cell>
          <cell r="I875">
            <v>52000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S875">
            <v>0</v>
          </cell>
          <cell r="T875">
            <v>0</v>
          </cell>
        </row>
        <row r="876">
          <cell r="A876" t="str">
            <v/>
          </cell>
          <cell r="C876" t="str">
            <v>X</v>
          </cell>
          <cell r="D876">
            <v>0</v>
          </cell>
          <cell r="F876" t="str">
            <v>Đà Composite bắt LA, FCO</v>
          </cell>
          <cell r="G876" t="str">
            <v>Bộ</v>
          </cell>
          <cell r="H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S876">
            <v>0</v>
          </cell>
          <cell r="T876">
            <v>0</v>
          </cell>
        </row>
        <row r="877">
          <cell r="A877" t="str">
            <v/>
          </cell>
          <cell r="C877" t="str">
            <v>X</v>
          </cell>
          <cell r="F877" t="str">
            <v>Gồm có: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S877">
            <v>0</v>
          </cell>
          <cell r="T877">
            <v>0</v>
          </cell>
        </row>
        <row r="878">
          <cell r="A878" t="str">
            <v/>
          </cell>
          <cell r="B878" t="str">
            <v>COM2400</v>
          </cell>
          <cell r="C878" t="str">
            <v>X</v>
          </cell>
          <cell r="E878">
            <v>0</v>
          </cell>
          <cell r="F878" t="str">
            <v>Đà hộp composite 110x80x5-2400</v>
          </cell>
          <cell r="G878" t="str">
            <v>cái</v>
          </cell>
          <cell r="H878">
            <v>0</v>
          </cell>
          <cell r="I878">
            <v>1100000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S878">
            <v>9.6</v>
          </cell>
          <cell r="T878">
            <v>0</v>
          </cell>
        </row>
        <row r="879">
          <cell r="A879" t="str">
            <v/>
          </cell>
          <cell r="B879" t="str">
            <v>CCOM2400</v>
          </cell>
          <cell r="C879" t="str">
            <v>X</v>
          </cell>
          <cell r="E879">
            <v>0</v>
          </cell>
          <cell r="F879" t="str">
            <v>Thanh chống Composite dẹp 10x40x920</v>
          </cell>
          <cell r="G879" t="str">
            <v>cái</v>
          </cell>
          <cell r="H879">
            <v>0</v>
          </cell>
          <cell r="I879">
            <v>132000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S879">
            <v>0.7</v>
          </cell>
          <cell r="T879">
            <v>0</v>
          </cell>
        </row>
        <row r="880">
          <cell r="A880" t="str">
            <v/>
          </cell>
          <cell r="B880" t="str">
            <v>BATLI</v>
          </cell>
          <cell r="C880" t="str">
            <v>X</v>
          </cell>
          <cell r="E880">
            <v>0</v>
          </cell>
          <cell r="F880" t="str">
            <v>Bass LI bắt FCO, LA</v>
          </cell>
          <cell r="G880" t="str">
            <v>Bộ</v>
          </cell>
          <cell r="H880">
            <v>0</v>
          </cell>
          <cell r="I880">
            <v>45000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S880">
            <v>0.4</v>
          </cell>
          <cell r="T880">
            <v>0</v>
          </cell>
        </row>
        <row r="881">
          <cell r="A881" t="str">
            <v/>
          </cell>
          <cell r="B881" t="str">
            <v>B16350</v>
          </cell>
          <cell r="C881" t="str">
            <v>X</v>
          </cell>
          <cell r="E881">
            <v>0</v>
          </cell>
          <cell r="F881" t="str">
            <v>Boulon 16x350+ 2 long đền vuông D18-50x50x3/Zn</v>
          </cell>
          <cell r="G881" t="str">
            <v>bộ</v>
          </cell>
          <cell r="H881">
            <v>0</v>
          </cell>
          <cell r="I881">
            <v>32500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S881">
            <v>0.3</v>
          </cell>
          <cell r="T881">
            <v>0</v>
          </cell>
        </row>
        <row r="882">
          <cell r="A882" t="str">
            <v/>
          </cell>
          <cell r="B882" t="str">
            <v>B16300</v>
          </cell>
          <cell r="C882" t="str">
            <v>X</v>
          </cell>
          <cell r="E882">
            <v>0</v>
          </cell>
          <cell r="F882" t="str">
            <v>Boulon 16x300+ 2 long đền vuông D18-50x50x3/Zn</v>
          </cell>
          <cell r="G882" t="str">
            <v>bộ</v>
          </cell>
          <cell r="H882">
            <v>0</v>
          </cell>
          <cell r="I882">
            <v>30000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S882">
            <v>0.25</v>
          </cell>
          <cell r="T882">
            <v>0</v>
          </cell>
        </row>
        <row r="883">
          <cell r="A883" t="str">
            <v/>
          </cell>
          <cell r="B883" t="str">
            <v>B14120</v>
          </cell>
          <cell r="C883" t="str">
            <v>X</v>
          </cell>
          <cell r="E883">
            <v>0</v>
          </cell>
          <cell r="F883" t="str">
            <v>Boulon 14x120+ 2 long đền vuông D16-50x50x3/Zn</v>
          </cell>
          <cell r="G883" t="str">
            <v>bộ</v>
          </cell>
          <cell r="H883">
            <v>0</v>
          </cell>
          <cell r="I883">
            <v>20000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S883">
            <v>0.2</v>
          </cell>
          <cell r="T883">
            <v>0</v>
          </cell>
        </row>
        <row r="884">
          <cell r="A884" t="str">
            <v/>
          </cell>
          <cell r="B884" t="str">
            <v>LCOM2400K</v>
          </cell>
          <cell r="C884" t="str">
            <v>X</v>
          </cell>
          <cell r="E884" t="str">
            <v>D2.6011</v>
          </cell>
          <cell r="F884" t="str">
            <v>Lắp đà composite 2400mm kép</v>
          </cell>
          <cell r="G884" t="str">
            <v>bộ</v>
          </cell>
          <cell r="H884">
            <v>0</v>
          </cell>
          <cell r="I884">
            <v>0</v>
          </cell>
          <cell r="K884">
            <v>167950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S884">
            <v>0</v>
          </cell>
          <cell r="T884">
            <v>0</v>
          </cell>
        </row>
        <row r="885">
          <cell r="A885" t="str">
            <v/>
          </cell>
          <cell r="C885" t="str">
            <v>X</v>
          </cell>
          <cell r="D885">
            <v>0</v>
          </cell>
          <cell r="F885" t="str">
            <v>Giá chùm treo 3 MBT</v>
          </cell>
          <cell r="G885" t="str">
            <v>Bộ</v>
          </cell>
          <cell r="H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S885">
            <v>0</v>
          </cell>
          <cell r="T885">
            <v>0</v>
          </cell>
        </row>
        <row r="886">
          <cell r="A886" t="str">
            <v/>
          </cell>
          <cell r="C886" t="str">
            <v>X</v>
          </cell>
          <cell r="F886" t="str">
            <v>Gồm có: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S886">
            <v>0</v>
          </cell>
          <cell r="T886">
            <v>0</v>
          </cell>
        </row>
        <row r="887">
          <cell r="A887" t="str">
            <v/>
          </cell>
          <cell r="B887" t="str">
            <v>GTMBA50</v>
          </cell>
          <cell r="C887" t="str">
            <v>X</v>
          </cell>
          <cell r="E887" t="str">
            <v>T4.9302</v>
          </cell>
          <cell r="F887" t="str">
            <v>Giá chùm treo máy biến áp 3x50</v>
          </cell>
          <cell r="G887" t="str">
            <v>Bộ</v>
          </cell>
          <cell r="H887">
            <v>0</v>
          </cell>
          <cell r="I887">
            <v>2524500</v>
          </cell>
          <cell r="K887">
            <v>103615.056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S887">
            <v>38</v>
          </cell>
          <cell r="T887">
            <v>0</v>
          </cell>
        </row>
        <row r="888">
          <cell r="A888" t="str">
            <v/>
          </cell>
          <cell r="B888" t="str">
            <v>B16350</v>
          </cell>
          <cell r="C888" t="str">
            <v>X</v>
          </cell>
          <cell r="E888">
            <v>0</v>
          </cell>
          <cell r="F888" t="str">
            <v>Boulon 16x350+ 2 long đền vuông D18-50x50x3/Zn</v>
          </cell>
          <cell r="G888" t="str">
            <v>bộ</v>
          </cell>
          <cell r="H888">
            <v>0</v>
          </cell>
          <cell r="I888">
            <v>32500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S888">
            <v>0.3</v>
          </cell>
          <cell r="T888">
            <v>0</v>
          </cell>
        </row>
        <row r="889">
          <cell r="A889" t="str">
            <v/>
          </cell>
          <cell r="B889" t="str">
            <v>B1650</v>
          </cell>
          <cell r="C889" t="str">
            <v>X</v>
          </cell>
          <cell r="E889">
            <v>0</v>
          </cell>
          <cell r="F889" t="str">
            <v>Boulon 16x50+ 2 long đền vuông D18-50x50x3/Zn</v>
          </cell>
          <cell r="G889" t="str">
            <v>bộ</v>
          </cell>
          <cell r="H889">
            <v>0</v>
          </cell>
          <cell r="I889">
            <v>17000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S889">
            <v>0.25</v>
          </cell>
          <cell r="T889">
            <v>0</v>
          </cell>
        </row>
        <row r="890">
          <cell r="A890" t="str">
            <v/>
          </cell>
          <cell r="C890" t="str">
            <v>X</v>
          </cell>
          <cell r="D890">
            <v>0</v>
          </cell>
          <cell r="F890" t="str">
            <v>Bộ tiếp địa Trạm 3 pha</v>
          </cell>
          <cell r="G890" t="str">
            <v>Bộ</v>
          </cell>
          <cell r="H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S890">
            <v>0</v>
          </cell>
          <cell r="T890">
            <v>0</v>
          </cell>
        </row>
        <row r="891">
          <cell r="A891" t="str">
            <v/>
          </cell>
          <cell r="C891" t="str">
            <v>X</v>
          </cell>
          <cell r="F891" t="str">
            <v>Gồm có: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S891">
            <v>0</v>
          </cell>
          <cell r="T891">
            <v>0</v>
          </cell>
        </row>
        <row r="892">
          <cell r="A892" t="str">
            <v/>
          </cell>
          <cell r="B892" t="str">
            <v>M25</v>
          </cell>
          <cell r="C892" t="str">
            <v>X</v>
          </cell>
          <cell r="E892">
            <v>0</v>
          </cell>
          <cell r="F892" t="str">
            <v>Cáp đồng trần M25mm2 (52 mét/trạm)</v>
          </cell>
          <cell r="G892" t="str">
            <v>kg</v>
          </cell>
          <cell r="H892">
            <v>0</v>
          </cell>
          <cell r="I892">
            <v>191630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S892">
            <v>1</v>
          </cell>
          <cell r="T892">
            <v>0</v>
          </cell>
        </row>
        <row r="893">
          <cell r="A893" t="str">
            <v/>
          </cell>
          <cell r="B893" t="str">
            <v>CTD</v>
          </cell>
          <cell r="C893" t="str">
            <v>X</v>
          </cell>
          <cell r="E893">
            <v>0</v>
          </cell>
          <cell r="F893" t="str">
            <v>Cọc tiếp đất φ16 - 2,4m mạ Cu 16 micrômét</v>
          </cell>
          <cell r="G893" t="str">
            <v>cọc</v>
          </cell>
          <cell r="H893">
            <v>0</v>
          </cell>
          <cell r="I893">
            <v>130000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S893">
            <v>5.3</v>
          </cell>
          <cell r="T893">
            <v>0</v>
          </cell>
        </row>
        <row r="894">
          <cell r="A894" t="str">
            <v/>
          </cell>
          <cell r="B894" t="str">
            <v>KC</v>
          </cell>
          <cell r="C894" t="str">
            <v>X</v>
          </cell>
          <cell r="E894">
            <v>0</v>
          </cell>
          <cell r="F894" t="str">
            <v>Kẹp cọc tiếp địa Cu loại lớn</v>
          </cell>
          <cell r="G894" t="str">
            <v>bộ</v>
          </cell>
          <cell r="H894">
            <v>0</v>
          </cell>
          <cell r="I894">
            <v>25000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S894">
            <v>0.05</v>
          </cell>
          <cell r="T894">
            <v>0</v>
          </cell>
        </row>
        <row r="895">
          <cell r="A895" t="str">
            <v/>
          </cell>
          <cell r="B895" t="str">
            <v>OXC38</v>
          </cell>
          <cell r="C895" t="str">
            <v>X</v>
          </cell>
          <cell r="E895">
            <v>0</v>
          </cell>
          <cell r="F895" t="str">
            <v xml:space="preserve">Ốc xiết cáp cỡ 38mm2 </v>
          </cell>
          <cell r="G895" t="str">
            <v>cái</v>
          </cell>
          <cell r="H895">
            <v>0</v>
          </cell>
          <cell r="I895">
            <v>17000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S895">
            <v>0</v>
          </cell>
          <cell r="T895">
            <v>0</v>
          </cell>
        </row>
        <row r="896">
          <cell r="A896" t="str">
            <v/>
          </cell>
          <cell r="B896" t="str">
            <v>KTDTBA</v>
          </cell>
          <cell r="C896" t="str">
            <v>X</v>
          </cell>
          <cell r="E896" t="str">
            <v>T4.7001</v>
          </cell>
          <cell r="F896" t="str">
            <v>Kéo dây tiếp địa trong TBA</v>
          </cell>
          <cell r="G896" t="str">
            <v>mét</v>
          </cell>
          <cell r="H896">
            <v>0</v>
          </cell>
          <cell r="I896">
            <v>0</v>
          </cell>
          <cell r="K896">
            <v>6871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S896">
            <v>0</v>
          </cell>
          <cell r="T896">
            <v>0</v>
          </cell>
        </row>
        <row r="897">
          <cell r="A897" t="str">
            <v/>
          </cell>
          <cell r="B897" t="str">
            <v>DCTDTBA</v>
          </cell>
          <cell r="C897" t="str">
            <v>X</v>
          </cell>
          <cell r="E897" t="str">
            <v>D2.8103</v>
          </cell>
          <cell r="F897" t="str">
            <v>Đóng cọc tiếp địa trong TBA (đất cấp 3)</v>
          </cell>
          <cell r="G897" t="str">
            <v>cọc</v>
          </cell>
          <cell r="H897">
            <v>0</v>
          </cell>
          <cell r="I897">
            <v>0</v>
          </cell>
          <cell r="K897">
            <v>76928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S897">
            <v>0</v>
          </cell>
          <cell r="T897">
            <v>0</v>
          </cell>
        </row>
        <row r="898">
          <cell r="A898" t="str">
            <v/>
          </cell>
          <cell r="B898" t="str">
            <v>DTD3</v>
          </cell>
          <cell r="C898" t="str">
            <v>X</v>
          </cell>
          <cell r="E898" t="str">
            <v>AB.11513</v>
          </cell>
          <cell r="F898" t="str">
            <v>Đào rãnh tiếp địa đất cấp 3 (ĐC hệ số 0,9)</v>
          </cell>
          <cell r="G898" t="str">
            <v>m3</v>
          </cell>
          <cell r="H898">
            <v>0</v>
          </cell>
          <cell r="I898">
            <v>0</v>
          </cell>
          <cell r="K898">
            <v>241580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S898">
            <v>0</v>
          </cell>
          <cell r="T898">
            <v>0</v>
          </cell>
        </row>
        <row r="899">
          <cell r="A899" t="str">
            <v/>
          </cell>
          <cell r="B899" t="str">
            <v>DATD3</v>
          </cell>
          <cell r="C899" t="str">
            <v>X</v>
          </cell>
          <cell r="E899" t="str">
            <v>AB.13111</v>
          </cell>
          <cell r="F899" t="str">
            <v>Đắp đất rãnh tiếp địa (K=0,85) (ĐC hệ số 0,9)</v>
          </cell>
          <cell r="G899" t="str">
            <v>m3</v>
          </cell>
          <cell r="H899">
            <v>0</v>
          </cell>
          <cell r="I899">
            <v>0</v>
          </cell>
          <cell r="K899">
            <v>100211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S899">
            <v>0</v>
          </cell>
          <cell r="T899">
            <v>0</v>
          </cell>
        </row>
        <row r="900">
          <cell r="A900" t="str">
            <v/>
          </cell>
          <cell r="C900" t="str">
            <v>X</v>
          </cell>
          <cell r="D900">
            <v>0</v>
          </cell>
          <cell r="F900" t="str">
            <v>Tủ điện trạm treo 1 pha</v>
          </cell>
          <cell r="G900" t="str">
            <v>Bộ</v>
          </cell>
          <cell r="H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S900">
            <v>0</v>
          </cell>
          <cell r="T900">
            <v>0</v>
          </cell>
        </row>
        <row r="901">
          <cell r="A901" t="str">
            <v/>
          </cell>
          <cell r="C901" t="str">
            <v>X</v>
          </cell>
          <cell r="F901" t="str">
            <v>Gồm có: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S901">
            <v>0</v>
          </cell>
          <cell r="T901">
            <v>0</v>
          </cell>
        </row>
        <row r="902">
          <cell r="A902" t="str">
            <v/>
          </cell>
          <cell r="B902" t="str">
            <v>TUAP3</v>
          </cell>
          <cell r="C902" t="str">
            <v>X</v>
          </cell>
          <cell r="E902" t="str">
            <v>T5.1002</v>
          </cell>
          <cell r="F902" t="str">
            <v>Tủ trạm treo + khóa + boulon + Bakelit + Collier (3 pha)</v>
          </cell>
          <cell r="G902" t="str">
            <v>cái</v>
          </cell>
          <cell r="H902">
            <v>0</v>
          </cell>
          <cell r="I902">
            <v>3484174</v>
          </cell>
          <cell r="K902">
            <v>966199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S902">
            <v>45</v>
          </cell>
          <cell r="T902">
            <v>0</v>
          </cell>
        </row>
        <row r="903">
          <cell r="C903" t="str">
            <v>X</v>
          </cell>
          <cell r="D903">
            <v>0</v>
          </cell>
          <cell r="F903" t="str">
            <v>Bộ dây dẫn trung thế trạm 1 pha</v>
          </cell>
          <cell r="G903" t="str">
            <v>Bộ</v>
          </cell>
          <cell r="H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S903">
            <v>0</v>
          </cell>
          <cell r="T903">
            <v>0</v>
          </cell>
        </row>
        <row r="904">
          <cell r="C904" t="str">
            <v>X</v>
          </cell>
          <cell r="F904" t="str">
            <v>Gồm có: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S904">
            <v>0</v>
          </cell>
          <cell r="T904">
            <v>0</v>
          </cell>
        </row>
        <row r="905">
          <cell r="B905" t="str">
            <v>CXV25</v>
          </cell>
          <cell r="C905" t="str">
            <v>X</v>
          </cell>
          <cell r="E905">
            <v>0</v>
          </cell>
          <cell r="F905" t="str">
            <v>Cáp 24KV C/XLPE/PVC 25mm2</v>
          </cell>
          <cell r="G905" t="str">
            <v>mét</v>
          </cell>
          <cell r="H905">
            <v>0</v>
          </cell>
          <cell r="I905">
            <v>69890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S905">
            <v>0.75</v>
          </cell>
          <cell r="T905">
            <v>0</v>
          </cell>
        </row>
        <row r="906">
          <cell r="B906" t="str">
            <v>KQ4</v>
          </cell>
          <cell r="C906" t="str">
            <v>X</v>
          </cell>
          <cell r="F906" t="str">
            <v>Kẹp quai 4/0 (quai đồng 8mm)</v>
          </cell>
          <cell r="G906" t="str">
            <v>cái</v>
          </cell>
          <cell r="H906">
            <v>0</v>
          </cell>
          <cell r="I906">
            <v>63000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S906">
            <v>0.3</v>
          </cell>
          <cell r="T906">
            <v>0</v>
          </cell>
        </row>
        <row r="907">
          <cell r="B907" t="str">
            <v>CKQ</v>
          </cell>
          <cell r="C907" t="str">
            <v>X</v>
          </cell>
          <cell r="F907" t="str">
            <v>Chụp cách điện kẹp quai</v>
          </cell>
          <cell r="G907" t="str">
            <v>cái</v>
          </cell>
          <cell r="H907">
            <v>0</v>
          </cell>
          <cell r="I907">
            <v>122000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S907">
            <v>0.2</v>
          </cell>
          <cell r="T907">
            <v>0</v>
          </cell>
        </row>
        <row r="908">
          <cell r="B908" t="str">
            <v>HL2</v>
          </cell>
          <cell r="C908" t="str">
            <v>X</v>
          </cell>
          <cell r="F908" t="str">
            <v>Kẹp hotline 2/0</v>
          </cell>
          <cell r="G908" t="str">
            <v>cái</v>
          </cell>
          <cell r="H908">
            <v>0</v>
          </cell>
          <cell r="I908">
            <v>68000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S908">
            <v>0.1</v>
          </cell>
          <cell r="T908">
            <v>0</v>
          </cell>
        </row>
        <row r="909">
          <cell r="B909" t="str">
            <v>LCAPDONGTB95</v>
          </cell>
          <cell r="C909" t="str">
            <v>X</v>
          </cell>
          <cell r="E909" t="str">
            <v>T4.4201</v>
          </cell>
          <cell r="F909" t="str">
            <v>Lắp cáp đồng xuống thiết bị D ≤ 95mm2</v>
          </cell>
          <cell r="G909" t="str">
            <v>m</v>
          </cell>
          <cell r="H909">
            <v>0</v>
          </cell>
          <cell r="I909">
            <v>0</v>
          </cell>
          <cell r="K909">
            <v>11847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S909">
            <v>0</v>
          </cell>
          <cell r="T909">
            <v>0</v>
          </cell>
        </row>
        <row r="910">
          <cell r="C910" t="str">
            <v>X</v>
          </cell>
          <cell r="D910">
            <v>0</v>
          </cell>
          <cell r="F910" t="str">
            <v>Bộ dây dẫn hạ thế lộ xuống</v>
          </cell>
          <cell r="G910" t="str">
            <v>Bộ</v>
          </cell>
          <cell r="H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S910">
            <v>0</v>
          </cell>
          <cell r="T910">
            <v>0</v>
          </cell>
        </row>
        <row r="911">
          <cell r="C911" t="str">
            <v>X</v>
          </cell>
          <cell r="F911" t="str">
            <v>Gồm có: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S911">
            <v>0</v>
          </cell>
          <cell r="T911">
            <v>0</v>
          </cell>
        </row>
        <row r="912">
          <cell r="B912" t="str">
            <v>CV95</v>
          </cell>
          <cell r="C912" t="str">
            <v>X</v>
          </cell>
          <cell r="E912">
            <v>0</v>
          </cell>
          <cell r="F912" t="str">
            <v>Cáp đồng bọc CV95</v>
          </cell>
          <cell r="G912" t="str">
            <v>mét</v>
          </cell>
          <cell r="H912">
            <v>0</v>
          </cell>
          <cell r="I912">
            <v>170620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S912">
            <v>1.008</v>
          </cell>
          <cell r="T912">
            <v>0</v>
          </cell>
        </row>
        <row r="913">
          <cell r="B913" t="str">
            <v>CV50</v>
          </cell>
          <cell r="C913" t="str">
            <v>X</v>
          </cell>
          <cell r="E913">
            <v>0</v>
          </cell>
          <cell r="F913" t="str">
            <v>Cáp đồng bọc CV50</v>
          </cell>
          <cell r="G913" t="str">
            <v>mét</v>
          </cell>
          <cell r="H913">
            <v>0</v>
          </cell>
          <cell r="I913">
            <v>90810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S913">
            <v>0.53400000000000003</v>
          </cell>
          <cell r="T913">
            <v>0</v>
          </cell>
        </row>
        <row r="914">
          <cell r="B914" t="str">
            <v>CVV4X4</v>
          </cell>
          <cell r="C914" t="str">
            <v>X</v>
          </cell>
          <cell r="E914">
            <v>0</v>
          </cell>
          <cell r="F914" t="str">
            <v>Cáp điều khiển CVV 4x4,0mm2</v>
          </cell>
          <cell r="G914" t="str">
            <v>mét</v>
          </cell>
          <cell r="H914">
            <v>0</v>
          </cell>
          <cell r="I914">
            <v>56700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S914">
            <v>3.024</v>
          </cell>
          <cell r="T914">
            <v>0</v>
          </cell>
        </row>
        <row r="915">
          <cell r="B915" t="str">
            <v>COS95</v>
          </cell>
          <cell r="C915" t="str">
            <v>X</v>
          </cell>
          <cell r="F915" t="str">
            <v>Đầu cosse ép Cu 95mm2</v>
          </cell>
          <cell r="G915" t="str">
            <v>cái</v>
          </cell>
          <cell r="H915">
            <v>0</v>
          </cell>
          <cell r="I915">
            <v>47500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S915">
            <v>0.2</v>
          </cell>
          <cell r="T915">
            <v>0</v>
          </cell>
        </row>
        <row r="916">
          <cell r="B916" t="str">
            <v>COS50</v>
          </cell>
          <cell r="C916" t="str">
            <v>X</v>
          </cell>
          <cell r="F916" t="str">
            <v>Đầu cosse ép Cu 50mm2</v>
          </cell>
          <cell r="G916" t="str">
            <v>cái</v>
          </cell>
          <cell r="H916">
            <v>0</v>
          </cell>
          <cell r="I916">
            <v>24000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S916">
            <v>0.1</v>
          </cell>
          <cell r="T916">
            <v>0</v>
          </cell>
        </row>
        <row r="917">
          <cell r="B917" t="str">
            <v>CHCOS95</v>
          </cell>
          <cell r="C917" t="str">
            <v>X</v>
          </cell>
          <cell r="E917">
            <v>0</v>
          </cell>
          <cell r="F917" t="str">
            <v>Chụp đầu cosse  95mm2</v>
          </cell>
          <cell r="G917" t="str">
            <v>cái</v>
          </cell>
          <cell r="H917">
            <v>0</v>
          </cell>
          <cell r="I917">
            <v>3300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S917">
            <v>0</v>
          </cell>
          <cell r="T917">
            <v>0</v>
          </cell>
        </row>
        <row r="918">
          <cell r="B918" t="str">
            <v>CHCOS50</v>
          </cell>
          <cell r="C918" t="str">
            <v>X</v>
          </cell>
          <cell r="E918">
            <v>0</v>
          </cell>
          <cell r="F918" t="str">
            <v>Chụp đầu cosse  50mm2</v>
          </cell>
          <cell r="G918" t="str">
            <v>cái</v>
          </cell>
          <cell r="H918">
            <v>0</v>
          </cell>
          <cell r="I918">
            <v>1300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S918">
            <v>0</v>
          </cell>
          <cell r="T918">
            <v>0</v>
          </cell>
        </row>
        <row r="919">
          <cell r="B919" t="str">
            <v>PVC90</v>
          </cell>
          <cell r="C919" t="str">
            <v>X</v>
          </cell>
          <cell r="E919">
            <v>0</v>
          </cell>
          <cell r="F919" t="str">
            <v xml:space="preserve">Ống PVC D90x3,8mm </v>
          </cell>
          <cell r="G919" t="str">
            <v>m</v>
          </cell>
          <cell r="H919">
            <v>0</v>
          </cell>
          <cell r="I919">
            <v>63200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S919">
            <v>2</v>
          </cell>
          <cell r="T919">
            <v>0</v>
          </cell>
        </row>
        <row r="920">
          <cell r="B920" t="str">
            <v>CD90</v>
          </cell>
          <cell r="C920" t="str">
            <v>X</v>
          </cell>
          <cell r="E920">
            <v>0</v>
          </cell>
          <cell r="F920" t="str">
            <v>Cổ dê kẹp ống PVC φ 90 (có giá nới) (CD-230)</v>
          </cell>
          <cell r="G920" t="str">
            <v>bộ</v>
          </cell>
          <cell r="H920">
            <v>0</v>
          </cell>
          <cell r="I920">
            <v>74000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S920">
            <v>1.5</v>
          </cell>
          <cell r="T920">
            <v>0</v>
          </cell>
        </row>
        <row r="921">
          <cell r="B921" t="str">
            <v>CD90</v>
          </cell>
          <cell r="C921" t="str">
            <v>X</v>
          </cell>
          <cell r="E921">
            <v>0</v>
          </cell>
          <cell r="F921" t="str">
            <v>Cổ dê kẹp ống PVC φ 90 (có giá nới) (CD-250)</v>
          </cell>
          <cell r="G921" t="str">
            <v>bộ</v>
          </cell>
          <cell r="H921">
            <v>0</v>
          </cell>
          <cell r="I921">
            <v>74000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S921">
            <v>1.5</v>
          </cell>
          <cell r="T921">
            <v>0</v>
          </cell>
        </row>
        <row r="922">
          <cell r="B922" t="str">
            <v>CD90</v>
          </cell>
          <cell r="C922" t="str">
            <v>X</v>
          </cell>
          <cell r="E922">
            <v>0</v>
          </cell>
          <cell r="F922" t="str">
            <v>Cổ dê kẹp ống PVC φ 90 (có giá nới) (CD-280)</v>
          </cell>
          <cell r="G922" t="str">
            <v>bộ</v>
          </cell>
          <cell r="H922">
            <v>0</v>
          </cell>
          <cell r="I922">
            <v>74000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S922">
            <v>1.5</v>
          </cell>
          <cell r="T922">
            <v>0</v>
          </cell>
        </row>
        <row r="923">
          <cell r="B923" t="str">
            <v>CUT90TD</v>
          </cell>
          <cell r="C923" t="str">
            <v>X</v>
          </cell>
          <cell r="E923">
            <v>0</v>
          </cell>
          <cell r="F923" t="str">
            <v>Co  90 độ PVC 90 (Loại dày)</v>
          </cell>
          <cell r="G923" t="str">
            <v>cái</v>
          </cell>
          <cell r="H923">
            <v>0</v>
          </cell>
          <cell r="I923">
            <v>45400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S923">
            <v>0</v>
          </cell>
          <cell r="T923">
            <v>0</v>
          </cell>
        </row>
        <row r="924">
          <cell r="B924" t="str">
            <v>NG11490</v>
          </cell>
          <cell r="C924" t="str">
            <v>X</v>
          </cell>
          <cell r="E924">
            <v>0</v>
          </cell>
          <cell r="F924" t="str">
            <v>Nối giảm PVC 114-90</v>
          </cell>
          <cell r="G924" t="str">
            <v>cái</v>
          </cell>
          <cell r="H924">
            <v>0</v>
          </cell>
          <cell r="I924">
            <v>52800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S924">
            <v>0</v>
          </cell>
          <cell r="T924">
            <v>0</v>
          </cell>
        </row>
        <row r="925">
          <cell r="B925" t="str">
            <v>CUT90135</v>
          </cell>
          <cell r="C925" t="str">
            <v>X</v>
          </cell>
          <cell r="E925">
            <v>0</v>
          </cell>
          <cell r="F925" t="str">
            <v>Co 135 độ PVC 90</v>
          </cell>
          <cell r="G925" t="str">
            <v>cái</v>
          </cell>
          <cell r="H925">
            <v>0</v>
          </cell>
          <cell r="I925">
            <v>33900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S925">
            <v>0</v>
          </cell>
          <cell r="T925">
            <v>0</v>
          </cell>
        </row>
        <row r="926">
          <cell r="B926" t="str">
            <v>KEODAN</v>
          </cell>
          <cell r="C926" t="str">
            <v>X</v>
          </cell>
          <cell r="E926">
            <v>0</v>
          </cell>
          <cell r="F926" t="str">
            <v>Keo dán ống PVC (100gr)</v>
          </cell>
          <cell r="G926" t="str">
            <v>tuýp</v>
          </cell>
          <cell r="I926">
            <v>11500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S926">
            <v>0</v>
          </cell>
          <cell r="T926">
            <v>0</v>
          </cell>
        </row>
        <row r="927">
          <cell r="B927" t="str">
            <v>KEOBIT</v>
          </cell>
          <cell r="C927" t="str">
            <v>X</v>
          </cell>
          <cell r="E927">
            <v>0</v>
          </cell>
          <cell r="F927" t="str">
            <v>Keo silicon bít miệng ống</v>
          </cell>
          <cell r="G927" t="str">
            <v>ống</v>
          </cell>
          <cell r="I927">
            <v>45000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S927">
            <v>0</v>
          </cell>
          <cell r="T927">
            <v>0</v>
          </cell>
        </row>
        <row r="928">
          <cell r="B928" t="str">
            <v>BANGKEO</v>
          </cell>
          <cell r="C928" t="str">
            <v>X</v>
          </cell>
          <cell r="E928">
            <v>0</v>
          </cell>
          <cell r="F928" t="str">
            <v>Băng keo cách điện (Màu đen)</v>
          </cell>
          <cell r="G928" t="str">
            <v>cuộn</v>
          </cell>
          <cell r="H928">
            <v>0</v>
          </cell>
          <cell r="I928">
            <v>6500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S928">
            <v>0</v>
          </cell>
          <cell r="T928">
            <v>0</v>
          </cell>
        </row>
        <row r="929">
          <cell r="B929" t="str">
            <v>BANGKEOV</v>
          </cell>
          <cell r="C929" t="str">
            <v>X</v>
          </cell>
          <cell r="E929">
            <v>0</v>
          </cell>
          <cell r="F929" t="str">
            <v>Băng keo cách điện (Màu vàng)</v>
          </cell>
          <cell r="G929" t="str">
            <v>cuộn</v>
          </cell>
          <cell r="I929">
            <v>6500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S929">
            <v>0</v>
          </cell>
          <cell r="T929">
            <v>0</v>
          </cell>
        </row>
        <row r="930">
          <cell r="B930" t="str">
            <v>BANGKEOX</v>
          </cell>
          <cell r="C930" t="str">
            <v>X</v>
          </cell>
          <cell r="E930">
            <v>0</v>
          </cell>
          <cell r="F930" t="str">
            <v>Băng keo cách điện (Màu xanh)</v>
          </cell>
          <cell r="G930" t="str">
            <v>cuộn</v>
          </cell>
          <cell r="I930">
            <v>6500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S930">
            <v>0</v>
          </cell>
          <cell r="T930">
            <v>0</v>
          </cell>
        </row>
        <row r="931">
          <cell r="B931" t="str">
            <v>BANGKEOD</v>
          </cell>
          <cell r="C931" t="str">
            <v>X</v>
          </cell>
          <cell r="E931">
            <v>0</v>
          </cell>
          <cell r="F931" t="str">
            <v>Băng keo cách điện (Màu đỏ)</v>
          </cell>
          <cell r="G931" t="str">
            <v>cuộn</v>
          </cell>
          <cell r="I931">
            <v>6500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S931">
            <v>0</v>
          </cell>
          <cell r="T931">
            <v>0</v>
          </cell>
        </row>
        <row r="932">
          <cell r="B932" t="str">
            <v>LPVC90CL</v>
          </cell>
          <cell r="C932" t="str">
            <v>X</v>
          </cell>
          <cell r="E932" t="str">
            <v>T4.8003</v>
          </cell>
          <cell r="F932" t="str">
            <v>Lắp ống nhựa PVC D90</v>
          </cell>
          <cell r="G932" t="str">
            <v>mét</v>
          </cell>
          <cell r="H932">
            <v>0</v>
          </cell>
          <cell r="I932">
            <v>0</v>
          </cell>
          <cell r="K932">
            <v>35541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S932">
            <v>0</v>
          </cell>
          <cell r="T932">
            <v>0</v>
          </cell>
        </row>
        <row r="933">
          <cell r="B933" t="str">
            <v>LCAPDONGTB95</v>
          </cell>
          <cell r="C933" t="str">
            <v>X</v>
          </cell>
          <cell r="E933" t="str">
            <v>T4.4201</v>
          </cell>
          <cell r="F933" t="str">
            <v>Lắp cáp đồng xuống thiết bị D ≤ 95mm2</v>
          </cell>
          <cell r="G933" t="str">
            <v>m</v>
          </cell>
          <cell r="H933">
            <v>0</v>
          </cell>
          <cell r="I933">
            <v>0</v>
          </cell>
          <cell r="K933">
            <v>11847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S933">
            <v>0</v>
          </cell>
          <cell r="T933">
            <v>0</v>
          </cell>
        </row>
        <row r="934">
          <cell r="B934" t="str">
            <v>LCAPDONGTB150</v>
          </cell>
          <cell r="C934" t="str">
            <v>X</v>
          </cell>
          <cell r="E934" t="str">
            <v>T4.4202</v>
          </cell>
          <cell r="F934" t="str">
            <v>Lắp cáp đồng xuống thiết bị D ≤ 150mm2</v>
          </cell>
          <cell r="G934" t="str">
            <v>m</v>
          </cell>
          <cell r="H934">
            <v>0</v>
          </cell>
          <cell r="I934">
            <v>0</v>
          </cell>
          <cell r="K934">
            <v>28433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S934">
            <v>0</v>
          </cell>
          <cell r="T934">
            <v>0</v>
          </cell>
        </row>
        <row r="935">
          <cell r="C935" t="str">
            <v>X</v>
          </cell>
          <cell r="D935">
            <v>0</v>
          </cell>
          <cell r="F935" t="str">
            <v>Bộ dây dẫn hạ thế lộ lên</v>
          </cell>
          <cell r="G935" t="str">
            <v>Bộ</v>
          </cell>
          <cell r="H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S935">
            <v>0</v>
          </cell>
          <cell r="T935">
            <v>0</v>
          </cell>
        </row>
        <row r="936">
          <cell r="C936" t="str">
            <v>X</v>
          </cell>
          <cell r="F936" t="str">
            <v>Gồm có: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S936">
            <v>0</v>
          </cell>
          <cell r="T936">
            <v>0</v>
          </cell>
        </row>
        <row r="937">
          <cell r="B937" t="str">
            <v>CV70</v>
          </cell>
          <cell r="C937" t="str">
            <v>X</v>
          </cell>
          <cell r="E937">
            <v>0</v>
          </cell>
          <cell r="F937" t="str">
            <v>Cáp đồng bọc CV70</v>
          </cell>
          <cell r="G937" t="str">
            <v>mét</v>
          </cell>
          <cell r="H937">
            <v>0</v>
          </cell>
          <cell r="I937">
            <v>124570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S937">
            <v>0.73899999999999999</v>
          </cell>
          <cell r="T937">
            <v>0</v>
          </cell>
        </row>
        <row r="938">
          <cell r="B938" t="str">
            <v>CV50</v>
          </cell>
          <cell r="C938" t="str">
            <v>X</v>
          </cell>
          <cell r="E938">
            <v>0</v>
          </cell>
          <cell r="F938" t="str">
            <v>Cáp đồng bọc CV50</v>
          </cell>
          <cell r="G938" t="str">
            <v>mét</v>
          </cell>
          <cell r="H938">
            <v>0</v>
          </cell>
          <cell r="I938">
            <v>90810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S938">
            <v>0.53400000000000003</v>
          </cell>
          <cell r="T938">
            <v>0</v>
          </cell>
        </row>
        <row r="939">
          <cell r="B939" t="str">
            <v>COS70</v>
          </cell>
          <cell r="C939" t="str">
            <v>X</v>
          </cell>
          <cell r="F939" t="str">
            <v>Đầu cosse ép Cu 70mm2</v>
          </cell>
          <cell r="G939" t="str">
            <v>cái</v>
          </cell>
          <cell r="H939">
            <v>0</v>
          </cell>
          <cell r="I939">
            <v>34500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S939">
            <v>0.2</v>
          </cell>
          <cell r="T939">
            <v>0</v>
          </cell>
        </row>
        <row r="940">
          <cell r="B940" t="str">
            <v>COS50</v>
          </cell>
          <cell r="C940" t="str">
            <v>X</v>
          </cell>
          <cell r="F940" t="str">
            <v>Đầu cosse ép Cu 50mm2</v>
          </cell>
          <cell r="G940" t="str">
            <v>cái</v>
          </cell>
          <cell r="H940">
            <v>0</v>
          </cell>
          <cell r="I940">
            <v>24000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S940">
            <v>0.1</v>
          </cell>
          <cell r="T940">
            <v>0</v>
          </cell>
        </row>
        <row r="941">
          <cell r="B941" t="str">
            <v>CHCOS70</v>
          </cell>
          <cell r="C941" t="str">
            <v>X</v>
          </cell>
          <cell r="E941">
            <v>0</v>
          </cell>
          <cell r="F941" t="str">
            <v>Chụp đầu cosse  70mm2</v>
          </cell>
          <cell r="G941" t="str">
            <v>cái</v>
          </cell>
          <cell r="H941">
            <v>0</v>
          </cell>
          <cell r="I941">
            <v>2300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S941">
            <v>0</v>
          </cell>
          <cell r="T941">
            <v>0</v>
          </cell>
        </row>
        <row r="942">
          <cell r="B942" t="str">
            <v>CHCOS50</v>
          </cell>
          <cell r="C942" t="str">
            <v>X</v>
          </cell>
          <cell r="E942">
            <v>0</v>
          </cell>
          <cell r="F942" t="str">
            <v>Chụp đầu cosse  50mm2</v>
          </cell>
          <cell r="G942" t="str">
            <v>cái</v>
          </cell>
          <cell r="H942">
            <v>0</v>
          </cell>
          <cell r="I942">
            <v>1300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S942">
            <v>0</v>
          </cell>
          <cell r="T942">
            <v>0</v>
          </cell>
        </row>
        <row r="943">
          <cell r="B943" t="str">
            <v>PVC90</v>
          </cell>
          <cell r="C943" t="str">
            <v>X</v>
          </cell>
          <cell r="E943">
            <v>0</v>
          </cell>
          <cell r="F943" t="str">
            <v xml:space="preserve">Ống PVC D90x3,8mm </v>
          </cell>
          <cell r="G943" t="str">
            <v>m</v>
          </cell>
          <cell r="H943">
            <v>0</v>
          </cell>
          <cell r="I943">
            <v>63200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S943">
            <v>2</v>
          </cell>
          <cell r="T943">
            <v>0</v>
          </cell>
        </row>
        <row r="944">
          <cell r="B944" t="str">
            <v>CD90</v>
          </cell>
          <cell r="C944" t="str">
            <v>X</v>
          </cell>
          <cell r="E944">
            <v>0</v>
          </cell>
          <cell r="F944" t="str">
            <v>Cổ dê kẹp ống PVC φ 90 (có giá nới) (CD-230)</v>
          </cell>
          <cell r="G944" t="str">
            <v>bộ</v>
          </cell>
          <cell r="H944">
            <v>0</v>
          </cell>
          <cell r="I944">
            <v>74000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S944">
            <v>1.5</v>
          </cell>
          <cell r="T944">
            <v>0</v>
          </cell>
        </row>
        <row r="945">
          <cell r="B945" t="str">
            <v>CD90</v>
          </cell>
          <cell r="C945" t="str">
            <v>X</v>
          </cell>
          <cell r="E945">
            <v>0</v>
          </cell>
          <cell r="F945" t="str">
            <v>Cổ dê kẹp ống PVC φ 90 (có giá nới) (CD-280)</v>
          </cell>
          <cell r="G945" t="str">
            <v>bộ</v>
          </cell>
          <cell r="H945">
            <v>0</v>
          </cell>
          <cell r="I945">
            <v>74000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S945">
            <v>1.5</v>
          </cell>
          <cell r="T945">
            <v>0</v>
          </cell>
        </row>
        <row r="946">
          <cell r="B946" t="str">
            <v>CD90</v>
          </cell>
          <cell r="C946" t="str">
            <v>X</v>
          </cell>
          <cell r="E946">
            <v>0</v>
          </cell>
          <cell r="F946" t="str">
            <v>Cổ dê kẹp ống PVC φ 90 (có giá nới) (CD-320)</v>
          </cell>
          <cell r="G946" t="str">
            <v>bộ</v>
          </cell>
          <cell r="H946">
            <v>0</v>
          </cell>
          <cell r="I946">
            <v>74000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S946">
            <v>1.5</v>
          </cell>
          <cell r="T946">
            <v>0</v>
          </cell>
        </row>
        <row r="947">
          <cell r="B947" t="str">
            <v>CUT90T</v>
          </cell>
          <cell r="C947" t="str">
            <v>X</v>
          </cell>
          <cell r="E947">
            <v>0</v>
          </cell>
          <cell r="F947" t="str">
            <v>Co  90 độ PVC 90</v>
          </cell>
          <cell r="G947" t="str">
            <v>cái</v>
          </cell>
          <cell r="H947">
            <v>0</v>
          </cell>
          <cell r="I947">
            <v>35200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S947">
            <v>0</v>
          </cell>
          <cell r="T947">
            <v>0</v>
          </cell>
        </row>
        <row r="948">
          <cell r="B948" t="str">
            <v>CUT90135</v>
          </cell>
          <cell r="C948" t="str">
            <v>X</v>
          </cell>
          <cell r="E948">
            <v>0</v>
          </cell>
          <cell r="F948" t="str">
            <v>Co 135 độ PVC 90</v>
          </cell>
          <cell r="G948" t="str">
            <v>cái</v>
          </cell>
          <cell r="H948">
            <v>0</v>
          </cell>
          <cell r="I948">
            <v>33900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S948">
            <v>0</v>
          </cell>
          <cell r="T948">
            <v>0</v>
          </cell>
        </row>
        <row r="949">
          <cell r="B949" t="str">
            <v>KVRT90</v>
          </cell>
          <cell r="C949" t="str">
            <v>X</v>
          </cell>
          <cell r="E949">
            <v>0</v>
          </cell>
          <cell r="F949" t="str">
            <v>Khâu ven răng trong D90</v>
          </cell>
          <cell r="G949" t="str">
            <v>cái</v>
          </cell>
          <cell r="H949">
            <v>0</v>
          </cell>
          <cell r="I949">
            <v>25800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S949">
            <v>0</v>
          </cell>
          <cell r="T949">
            <v>0</v>
          </cell>
        </row>
        <row r="950">
          <cell r="B950" t="str">
            <v>KVRN90</v>
          </cell>
          <cell r="C950" t="str">
            <v>X</v>
          </cell>
          <cell r="E950">
            <v>0</v>
          </cell>
          <cell r="F950" t="str">
            <v>Khâu ven răng ngoài D90</v>
          </cell>
          <cell r="G950" t="str">
            <v>cái</v>
          </cell>
          <cell r="H950">
            <v>0</v>
          </cell>
          <cell r="I950">
            <v>21500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S950">
            <v>0</v>
          </cell>
          <cell r="T950">
            <v>0</v>
          </cell>
        </row>
        <row r="951">
          <cell r="B951" t="str">
            <v>KEODAN</v>
          </cell>
          <cell r="C951" t="str">
            <v>X</v>
          </cell>
          <cell r="E951">
            <v>0</v>
          </cell>
          <cell r="F951" t="str">
            <v>Keo dán ống PVC (100gr)</v>
          </cell>
          <cell r="G951" t="str">
            <v>tuýp</v>
          </cell>
          <cell r="H951">
            <v>0</v>
          </cell>
          <cell r="I951">
            <v>11500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S951">
            <v>0</v>
          </cell>
          <cell r="T951">
            <v>0</v>
          </cell>
        </row>
        <row r="952">
          <cell r="B952" t="str">
            <v>KEOBIT</v>
          </cell>
          <cell r="C952" t="str">
            <v>X</v>
          </cell>
          <cell r="E952">
            <v>0</v>
          </cell>
          <cell r="F952" t="str">
            <v>Keo silicon bít miệng ống</v>
          </cell>
          <cell r="G952" t="str">
            <v>ống</v>
          </cell>
          <cell r="H952">
            <v>0</v>
          </cell>
          <cell r="I952">
            <v>45000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S952">
            <v>0</v>
          </cell>
          <cell r="T952">
            <v>0</v>
          </cell>
        </row>
        <row r="953">
          <cell r="B953" t="str">
            <v>BANGKEO</v>
          </cell>
          <cell r="C953" t="str">
            <v>X</v>
          </cell>
          <cell r="E953">
            <v>0</v>
          </cell>
          <cell r="F953" t="str">
            <v>Băng keo cách điện (Màu đen)</v>
          </cell>
          <cell r="G953" t="str">
            <v>cuộn</v>
          </cell>
          <cell r="H953">
            <v>0</v>
          </cell>
          <cell r="I953">
            <v>6500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S953">
            <v>0</v>
          </cell>
          <cell r="T953">
            <v>0</v>
          </cell>
        </row>
        <row r="954">
          <cell r="B954" t="str">
            <v>LPVC90CL</v>
          </cell>
          <cell r="C954" t="str">
            <v>X</v>
          </cell>
          <cell r="E954" t="str">
            <v>T4.8003</v>
          </cell>
          <cell r="F954" t="str">
            <v>Lắp ống nhựa PVC D90</v>
          </cell>
          <cell r="G954" t="str">
            <v>mét</v>
          </cell>
          <cell r="H954">
            <v>0</v>
          </cell>
          <cell r="I954">
            <v>0</v>
          </cell>
          <cell r="K954">
            <v>35541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S954">
            <v>0</v>
          </cell>
          <cell r="T954">
            <v>0</v>
          </cell>
        </row>
        <row r="955">
          <cell r="B955" t="str">
            <v>LCAPDONGTB95</v>
          </cell>
          <cell r="C955" t="str">
            <v>X</v>
          </cell>
          <cell r="E955" t="str">
            <v>T4.4201</v>
          </cell>
          <cell r="F955" t="str">
            <v>Lắp cáp đồng xuống thiết bị D ≤ 95mm2</v>
          </cell>
          <cell r="G955" t="str">
            <v>m</v>
          </cell>
          <cell r="H955">
            <v>0</v>
          </cell>
          <cell r="I955">
            <v>0</v>
          </cell>
          <cell r="K955">
            <v>11847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S955">
            <v>0</v>
          </cell>
          <cell r="T955">
            <v>0</v>
          </cell>
        </row>
        <row r="956">
          <cell r="C956" t="str">
            <v>X</v>
          </cell>
          <cell r="D956">
            <v>0</v>
          </cell>
          <cell r="F956" t="str">
            <v>Phụ kiện dừng dây hạ thế vào trạm</v>
          </cell>
          <cell r="G956" t="str">
            <v>Bộ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S956">
            <v>0</v>
          </cell>
          <cell r="T956">
            <v>0</v>
          </cell>
        </row>
        <row r="957">
          <cell r="C957" t="str">
            <v>X</v>
          </cell>
          <cell r="F957" t="str">
            <v>Lưới hạ thế sau TBA Láng Me 1A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S957">
            <v>0</v>
          </cell>
          <cell r="T957">
            <v>0</v>
          </cell>
        </row>
        <row r="958">
          <cell r="B958" t="str">
            <v>AC50</v>
          </cell>
          <cell r="C958" t="str">
            <v>X</v>
          </cell>
          <cell r="E958">
            <v>0</v>
          </cell>
          <cell r="F958" t="str">
            <v>Cáp nhôm lõi thép AC-50/8</v>
          </cell>
          <cell r="G958" t="str">
            <v>kg</v>
          </cell>
          <cell r="I958">
            <v>54400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S958">
            <v>1</v>
          </cell>
          <cell r="T958">
            <v>0</v>
          </cell>
        </row>
        <row r="959">
          <cell r="B959" t="str">
            <v>AV95</v>
          </cell>
          <cell r="C959" t="str">
            <v>X</v>
          </cell>
          <cell r="E959">
            <v>0</v>
          </cell>
          <cell r="F959" t="str">
            <v>Cáp nhôm bọc AV95</v>
          </cell>
          <cell r="G959" t="str">
            <v>mét</v>
          </cell>
          <cell r="I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S959">
            <v>0.41</v>
          </cell>
          <cell r="T959">
            <v>0</v>
          </cell>
        </row>
        <row r="960">
          <cell r="B960" t="str">
            <v>R4</v>
          </cell>
          <cell r="C960" t="str">
            <v>X</v>
          </cell>
          <cell r="E960">
            <v>0</v>
          </cell>
          <cell r="F960" t="str">
            <v>Rack 4 sứ</v>
          </cell>
          <cell r="G960" t="str">
            <v>cái</v>
          </cell>
          <cell r="I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S960">
            <v>3.5</v>
          </cell>
          <cell r="T960">
            <v>0</v>
          </cell>
        </row>
        <row r="961">
          <cell r="B961" t="str">
            <v>SOC</v>
          </cell>
          <cell r="C961" t="str">
            <v>X</v>
          </cell>
          <cell r="E961">
            <v>0</v>
          </cell>
          <cell r="F961" t="str">
            <v xml:space="preserve">Sứ ống chỉ </v>
          </cell>
          <cell r="G961" t="str">
            <v>cái</v>
          </cell>
          <cell r="I961">
            <v>16000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S961">
            <v>0.2</v>
          </cell>
          <cell r="T961">
            <v>0</v>
          </cell>
        </row>
        <row r="962">
          <cell r="B962" t="str">
            <v>B16350</v>
          </cell>
          <cell r="C962" t="str">
            <v>X</v>
          </cell>
          <cell r="E962">
            <v>0</v>
          </cell>
          <cell r="F962" t="str">
            <v>Boulon 16x350+ 2 long đền vuông D18-50x50x3/Zn</v>
          </cell>
          <cell r="G962" t="str">
            <v>bộ</v>
          </cell>
          <cell r="I962">
            <v>32500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S962">
            <v>0.3</v>
          </cell>
          <cell r="T962">
            <v>0</v>
          </cell>
        </row>
        <row r="963">
          <cell r="B963" t="str">
            <v>KU95</v>
          </cell>
          <cell r="C963" t="str">
            <v>X</v>
          </cell>
          <cell r="E963">
            <v>0</v>
          </cell>
          <cell r="F963" t="str">
            <v>Kẹp Ubolt cỡ dây 95</v>
          </cell>
          <cell r="G963" t="str">
            <v>cái</v>
          </cell>
          <cell r="I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S963">
            <v>1.5</v>
          </cell>
          <cell r="T963">
            <v>0</v>
          </cell>
        </row>
        <row r="964">
          <cell r="B964" t="str">
            <v>ON50</v>
          </cell>
          <cell r="C964" t="str">
            <v>X</v>
          </cell>
          <cell r="F964" t="str">
            <v>Ống nối dây AC cỡ 50mm2 (Không lõi thép)</v>
          </cell>
          <cell r="G964" t="str">
            <v>cái</v>
          </cell>
          <cell r="I964">
            <v>32000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S964">
            <v>2</v>
          </cell>
          <cell r="T964">
            <v>0</v>
          </cell>
        </row>
        <row r="965">
          <cell r="B965" t="str">
            <v>ON95</v>
          </cell>
          <cell r="C965" t="str">
            <v>X</v>
          </cell>
          <cell r="F965" t="str">
            <v>Ống nối dây AC cỡ 95mm2 (Không lõi thép)</v>
          </cell>
          <cell r="G965" t="str">
            <v>cái</v>
          </cell>
          <cell r="I965">
            <v>47500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S965">
            <v>2.5</v>
          </cell>
          <cell r="T965">
            <v>0</v>
          </cell>
        </row>
        <row r="966">
          <cell r="B966" t="str">
            <v>OBCD</v>
          </cell>
          <cell r="C966" t="str">
            <v>X</v>
          </cell>
          <cell r="E966">
            <v>0</v>
          </cell>
          <cell r="F966" t="str">
            <v>Ống bọc cách điện D30</v>
          </cell>
          <cell r="G966" t="str">
            <v>mét</v>
          </cell>
          <cell r="I966">
            <v>95000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S966">
            <v>0</v>
          </cell>
          <cell r="T966">
            <v>0</v>
          </cell>
        </row>
        <row r="967">
          <cell r="B967" t="str">
            <v>BANG</v>
          </cell>
          <cell r="C967" t="str">
            <v>X</v>
          </cell>
          <cell r="D967">
            <v>0</v>
          </cell>
          <cell r="E967">
            <v>0</v>
          </cell>
          <cell r="F967" t="str">
            <v>Bảng tên trạm + bulon</v>
          </cell>
          <cell r="G967" t="str">
            <v>bộ</v>
          </cell>
          <cell r="H967">
            <v>0</v>
          </cell>
          <cell r="I967">
            <v>100000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S967">
            <v>0</v>
          </cell>
          <cell r="T967">
            <v>0</v>
          </cell>
        </row>
        <row r="968">
          <cell r="A968" t="str">
            <v>TR3X50</v>
          </cell>
          <cell r="C968">
            <v>1</v>
          </cell>
          <cell r="D968" t="str">
            <v>II</v>
          </cell>
          <cell r="E968" t="str">
            <v xml:space="preserve">5 Trạm 3 pha 3x50kVA (Tân Xuân 7B; Tự túc 1A; Xuân Mỹ 2A; Long Giao 5A; Nhân Nghĩa 13A) </v>
          </cell>
          <cell r="S968">
            <v>0</v>
          </cell>
          <cell r="T968">
            <v>0</v>
          </cell>
        </row>
        <row r="969">
          <cell r="A969" t="str">
            <v>TBTR3X50</v>
          </cell>
          <cell r="C969">
            <v>1</v>
          </cell>
          <cell r="F969" t="str">
            <v>A.PHẦN THIẾT BỊ</v>
          </cell>
          <cell r="M969">
            <v>712695000</v>
          </cell>
          <cell r="N969">
            <v>0</v>
          </cell>
          <cell r="O969">
            <v>18129942</v>
          </cell>
          <cell r="P969">
            <v>6490890</v>
          </cell>
          <cell r="S969">
            <v>0</v>
          </cell>
          <cell r="T969">
            <v>7086.9</v>
          </cell>
        </row>
        <row r="970">
          <cell r="A970" t="str">
            <v/>
          </cell>
          <cell r="B970" t="str">
            <v>TR501</v>
          </cell>
          <cell r="C970">
            <v>1</v>
          </cell>
          <cell r="E970" t="str">
            <v>T1.1432</v>
          </cell>
          <cell r="F970" t="str">
            <v>Máy biến áp AMORPHOUS 12,7/0,22-0,44kV 50kVA</v>
          </cell>
          <cell r="G970" t="str">
            <v>máy</v>
          </cell>
          <cell r="H970">
            <v>15</v>
          </cell>
          <cell r="I970">
            <v>44055000</v>
          </cell>
          <cell r="K970">
            <v>746585</v>
          </cell>
          <cell r="L970">
            <v>360605</v>
          </cell>
          <cell r="M970">
            <v>660825000</v>
          </cell>
          <cell r="N970">
            <v>0</v>
          </cell>
          <cell r="O970">
            <v>11198775</v>
          </cell>
          <cell r="P970">
            <v>5409075</v>
          </cell>
          <cell r="S970">
            <v>390</v>
          </cell>
          <cell r="T970">
            <v>5850</v>
          </cell>
        </row>
        <row r="971">
          <cell r="A971" t="str">
            <v/>
          </cell>
          <cell r="B971" t="str">
            <v>TR501</v>
          </cell>
          <cell r="C971">
            <v>1</v>
          </cell>
          <cell r="E971" t="str">
            <v>T1.1432</v>
          </cell>
          <cell r="F971" t="str">
            <v>Máy biến áp AMORPHOUS 12,7/0,22-0,44kV 50kVA (SDL)</v>
          </cell>
          <cell r="G971" t="str">
            <v>máy</v>
          </cell>
          <cell r="H971">
            <v>3</v>
          </cell>
          <cell r="K971">
            <v>746585</v>
          </cell>
          <cell r="L971">
            <v>360605</v>
          </cell>
          <cell r="M971">
            <v>0</v>
          </cell>
          <cell r="N971">
            <v>0</v>
          </cell>
          <cell r="O971">
            <v>2239755</v>
          </cell>
          <cell r="P971">
            <v>1081815</v>
          </cell>
          <cell r="S971">
            <v>390</v>
          </cell>
          <cell r="T971">
            <v>1170</v>
          </cell>
        </row>
        <row r="972">
          <cell r="A972" t="str">
            <v/>
          </cell>
          <cell r="B972" t="str">
            <v>FCO100</v>
          </cell>
          <cell r="C972">
            <v>1</v>
          </cell>
          <cell r="E972" t="str">
            <v>T2.3505</v>
          </cell>
          <cell r="F972" t="str">
            <v>FCO 27kV - 100A</v>
          </cell>
          <cell r="G972" t="str">
            <v>cái</v>
          </cell>
          <cell r="H972">
            <v>15</v>
          </cell>
          <cell r="I972">
            <v>1020000</v>
          </cell>
          <cell r="K972">
            <v>189552</v>
          </cell>
          <cell r="L972">
            <v>0</v>
          </cell>
          <cell r="M972">
            <v>15300000</v>
          </cell>
          <cell r="N972">
            <v>0</v>
          </cell>
          <cell r="O972">
            <v>2843280</v>
          </cell>
          <cell r="P972">
            <v>0</v>
          </cell>
          <cell r="S972">
            <v>1.5</v>
          </cell>
          <cell r="T972">
            <v>22.5</v>
          </cell>
        </row>
        <row r="973">
          <cell r="A973" t="str">
            <v/>
          </cell>
          <cell r="B973" t="str">
            <v>LA18</v>
          </cell>
          <cell r="C973">
            <v>1</v>
          </cell>
          <cell r="E973" t="str">
            <v>T2.5004</v>
          </cell>
          <cell r="F973" t="str">
            <v>LA 18kV 10kA</v>
          </cell>
          <cell r="G973" t="str">
            <v>cái</v>
          </cell>
          <cell r="H973">
            <v>15</v>
          </cell>
          <cell r="I973">
            <v>910000</v>
          </cell>
          <cell r="K973">
            <v>71082</v>
          </cell>
          <cell r="L973">
            <v>0</v>
          </cell>
          <cell r="M973">
            <v>13650000</v>
          </cell>
          <cell r="N973">
            <v>0</v>
          </cell>
          <cell r="O973">
            <v>1066230</v>
          </cell>
          <cell r="P973">
            <v>0</v>
          </cell>
          <cell r="S973">
            <v>0.8</v>
          </cell>
          <cell r="T973">
            <v>12</v>
          </cell>
        </row>
        <row r="974">
          <cell r="A974" t="str">
            <v/>
          </cell>
          <cell r="B974" t="str">
            <v>FCO100</v>
          </cell>
          <cell r="C974">
            <v>1</v>
          </cell>
          <cell r="E974" t="str">
            <v>T2.3505</v>
          </cell>
          <cell r="F974" t="str">
            <v>FCO 27kV - 100A (SDL)</v>
          </cell>
          <cell r="G974" t="str">
            <v>cái</v>
          </cell>
          <cell r="H974">
            <v>3</v>
          </cell>
          <cell r="K974">
            <v>189552</v>
          </cell>
          <cell r="L974">
            <v>0</v>
          </cell>
          <cell r="M974">
            <v>0</v>
          </cell>
          <cell r="N974">
            <v>0</v>
          </cell>
          <cell r="O974">
            <v>568656</v>
          </cell>
          <cell r="P974">
            <v>0</v>
          </cell>
          <cell r="Q974" t="str">
            <v>NN13</v>
          </cell>
          <cell r="S974">
            <v>1.5</v>
          </cell>
          <cell r="T974">
            <v>4.5</v>
          </cell>
        </row>
        <row r="975">
          <cell r="A975" t="str">
            <v/>
          </cell>
          <cell r="B975" t="str">
            <v>LA18</v>
          </cell>
          <cell r="C975">
            <v>1</v>
          </cell>
          <cell r="E975" t="str">
            <v>T2.5004</v>
          </cell>
          <cell r="F975" t="str">
            <v>LA 18kV 10kA (SDL)</v>
          </cell>
          <cell r="G975" t="str">
            <v>cái</v>
          </cell>
          <cell r="H975">
            <v>3</v>
          </cell>
          <cell r="K975">
            <v>71082</v>
          </cell>
          <cell r="L975">
            <v>0</v>
          </cell>
          <cell r="M975">
            <v>0</v>
          </cell>
          <cell r="N975">
            <v>0</v>
          </cell>
          <cell r="O975">
            <v>213246</v>
          </cell>
          <cell r="P975">
            <v>0</v>
          </cell>
          <cell r="Q975" t="str">
            <v>NN13</v>
          </cell>
          <cell r="S975">
            <v>0.8</v>
          </cell>
          <cell r="T975">
            <v>2.4000000000000004</v>
          </cell>
        </row>
        <row r="976">
          <cell r="A976" t="str">
            <v/>
          </cell>
          <cell r="B976" t="str">
            <v>ATM250</v>
          </cell>
          <cell r="C976">
            <v>1</v>
          </cell>
          <cell r="F976" t="str">
            <v>MCCB 3 cực 600V - 250A - 42KA (160-250A)</v>
          </cell>
          <cell r="G976" t="str">
            <v>cái</v>
          </cell>
          <cell r="H976">
            <v>5</v>
          </cell>
          <cell r="I976">
            <v>2800000</v>
          </cell>
          <cell r="L976">
            <v>0</v>
          </cell>
          <cell r="M976">
            <v>14000000</v>
          </cell>
          <cell r="N976">
            <v>0</v>
          </cell>
          <cell r="O976">
            <v>0</v>
          </cell>
          <cell r="P976">
            <v>0</v>
          </cell>
          <cell r="S976">
            <v>2</v>
          </cell>
          <cell r="T976">
            <v>10</v>
          </cell>
        </row>
        <row r="977">
          <cell r="A977" t="str">
            <v/>
          </cell>
          <cell r="B977" t="str">
            <v>ATM160</v>
          </cell>
          <cell r="C977">
            <v>1</v>
          </cell>
          <cell r="F977" t="str">
            <v>MCCB 3 cực 400V - 160A - 35KA (100-160A) (phân đoạn)</v>
          </cell>
          <cell r="G977" t="str">
            <v>cái</v>
          </cell>
          <cell r="H977">
            <v>4</v>
          </cell>
          <cell r="I977">
            <v>2230000</v>
          </cell>
          <cell r="L977">
            <v>0</v>
          </cell>
          <cell r="M977">
            <v>8920000</v>
          </cell>
          <cell r="N977">
            <v>0</v>
          </cell>
          <cell r="O977">
            <v>0</v>
          </cell>
          <cell r="P977">
            <v>0</v>
          </cell>
          <cell r="S977">
            <v>2</v>
          </cell>
          <cell r="T977">
            <v>8</v>
          </cell>
        </row>
        <row r="978">
          <cell r="A978" t="str">
            <v/>
          </cell>
          <cell r="B978" t="str">
            <v>TI200</v>
          </cell>
          <cell r="C978">
            <v>1</v>
          </cell>
          <cell r="E978">
            <v>0</v>
          </cell>
          <cell r="F978" t="str">
            <v xml:space="preserve">Biến dòng 600V - 200/5A </v>
          </cell>
          <cell r="G978" t="str">
            <v>cái</v>
          </cell>
          <cell r="H978">
            <v>15</v>
          </cell>
          <cell r="I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S978">
            <v>0</v>
          </cell>
          <cell r="T978">
            <v>0</v>
          </cell>
        </row>
        <row r="979">
          <cell r="A979" t="str">
            <v/>
          </cell>
          <cell r="B979" t="str">
            <v>DK3p5A</v>
          </cell>
          <cell r="C979">
            <v>1</v>
          </cell>
          <cell r="E979">
            <v>0</v>
          </cell>
          <cell r="F979" t="str">
            <v>Điện kế 3 pha 4 dây 220/380V-5A</v>
          </cell>
          <cell r="G979" t="str">
            <v>cái</v>
          </cell>
          <cell r="H979">
            <v>5</v>
          </cell>
          <cell r="I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S979">
            <v>1.5</v>
          </cell>
          <cell r="T979">
            <v>7.5</v>
          </cell>
        </row>
        <row r="980">
          <cell r="A980" t="str">
            <v>VLTR3X50</v>
          </cell>
          <cell r="C980">
            <v>1</v>
          </cell>
          <cell r="F980" t="str">
            <v>B. PHẦN VẬT LIỆU</v>
          </cell>
          <cell r="M980">
            <v>176888757.44</v>
          </cell>
          <cell r="N980">
            <v>0</v>
          </cell>
          <cell r="O980">
            <v>34652018.960000001</v>
          </cell>
          <cell r="P980">
            <v>0</v>
          </cell>
          <cell r="S980">
            <v>0</v>
          </cell>
          <cell r="T980">
            <v>1931.6970000000001</v>
          </cell>
        </row>
        <row r="981">
          <cell r="C981">
            <v>1</v>
          </cell>
          <cell r="D981">
            <v>1</v>
          </cell>
          <cell r="F981" t="str">
            <v>Vật liệu bảo vệ thiết bị</v>
          </cell>
          <cell r="G981" t="str">
            <v>Bộ</v>
          </cell>
          <cell r="H981">
            <v>5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S981">
            <v>0</v>
          </cell>
          <cell r="T981">
            <v>0</v>
          </cell>
        </row>
        <row r="982">
          <cell r="A982" t="str">
            <v/>
          </cell>
          <cell r="B982" t="str">
            <v>CHI6K</v>
          </cell>
          <cell r="C982">
            <v>1</v>
          </cell>
          <cell r="E982">
            <v>0</v>
          </cell>
          <cell r="F982" t="str">
            <v>Dây chảy 6K</v>
          </cell>
          <cell r="G982" t="str">
            <v>Sợi</v>
          </cell>
          <cell r="H982">
            <v>15</v>
          </cell>
          <cell r="I982">
            <v>84000</v>
          </cell>
          <cell r="K982">
            <v>0</v>
          </cell>
          <cell r="L982">
            <v>0</v>
          </cell>
          <cell r="M982">
            <v>1260000</v>
          </cell>
          <cell r="N982">
            <v>0</v>
          </cell>
          <cell r="O982">
            <v>0</v>
          </cell>
          <cell r="P982">
            <v>0</v>
          </cell>
          <cell r="S982">
            <v>0</v>
          </cell>
          <cell r="T982">
            <v>0</v>
          </cell>
        </row>
        <row r="983">
          <cell r="A983" t="str">
            <v/>
          </cell>
          <cell r="B983" t="str">
            <v>CHUPFCO</v>
          </cell>
          <cell r="C983">
            <v>1</v>
          </cell>
          <cell r="E983">
            <v>0</v>
          </cell>
          <cell r="F983" t="str">
            <v>Chụp đầu FCO (Trên + Dưới)</v>
          </cell>
          <cell r="G983" t="str">
            <v>bộ</v>
          </cell>
          <cell r="H983">
            <v>15</v>
          </cell>
          <cell r="I983">
            <v>190000</v>
          </cell>
          <cell r="K983">
            <v>0</v>
          </cell>
          <cell r="L983">
            <v>0</v>
          </cell>
          <cell r="M983">
            <v>2850000</v>
          </cell>
          <cell r="N983">
            <v>0</v>
          </cell>
          <cell r="O983">
            <v>0</v>
          </cell>
          <cell r="P983">
            <v>0</v>
          </cell>
          <cell r="S983">
            <v>0</v>
          </cell>
          <cell r="T983">
            <v>0</v>
          </cell>
        </row>
        <row r="984">
          <cell r="A984" t="str">
            <v/>
          </cell>
          <cell r="B984" t="str">
            <v>CHUPLA</v>
          </cell>
          <cell r="C984">
            <v>1</v>
          </cell>
          <cell r="E984">
            <v>0</v>
          </cell>
          <cell r="F984" t="str">
            <v>Chụp đầu LA</v>
          </cell>
          <cell r="G984" t="str">
            <v>cái</v>
          </cell>
          <cell r="H984">
            <v>15</v>
          </cell>
          <cell r="I984">
            <v>32000</v>
          </cell>
          <cell r="K984">
            <v>0</v>
          </cell>
          <cell r="L984">
            <v>0</v>
          </cell>
          <cell r="M984">
            <v>480000</v>
          </cell>
          <cell r="N984">
            <v>0</v>
          </cell>
          <cell r="O984">
            <v>0</v>
          </cell>
          <cell r="P984">
            <v>0</v>
          </cell>
          <cell r="S984">
            <v>0</v>
          </cell>
          <cell r="T984">
            <v>0</v>
          </cell>
        </row>
        <row r="985">
          <cell r="A985" t="str">
            <v/>
          </cell>
          <cell r="B985" t="str">
            <v>CHUPMBA</v>
          </cell>
          <cell r="C985">
            <v>1</v>
          </cell>
          <cell r="E985">
            <v>0</v>
          </cell>
          <cell r="F985" t="str">
            <v>Chụp đầu cực MBA</v>
          </cell>
          <cell r="G985" t="str">
            <v>cái</v>
          </cell>
          <cell r="H985">
            <v>15</v>
          </cell>
          <cell r="I985">
            <v>52000</v>
          </cell>
          <cell r="K985">
            <v>0</v>
          </cell>
          <cell r="L985">
            <v>0</v>
          </cell>
          <cell r="M985">
            <v>780000</v>
          </cell>
          <cell r="N985">
            <v>0</v>
          </cell>
          <cell r="O985">
            <v>0</v>
          </cell>
          <cell r="P985">
            <v>0</v>
          </cell>
          <cell r="S985">
            <v>0</v>
          </cell>
          <cell r="T985">
            <v>0</v>
          </cell>
        </row>
        <row r="986">
          <cell r="A986" t="str">
            <v/>
          </cell>
          <cell r="C986">
            <v>1</v>
          </cell>
          <cell r="D986">
            <v>2</v>
          </cell>
          <cell r="F986" t="str">
            <v>Đà Composite bắt LA, FCO</v>
          </cell>
          <cell r="G986" t="str">
            <v>Bộ</v>
          </cell>
          <cell r="H986">
            <v>5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S986">
            <v>0</v>
          </cell>
          <cell r="T986">
            <v>0</v>
          </cell>
        </row>
        <row r="987">
          <cell r="A987" t="str">
            <v/>
          </cell>
          <cell r="C987">
            <v>0</v>
          </cell>
          <cell r="F987" t="str">
            <v>Gồm có: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S987">
            <v>0</v>
          </cell>
          <cell r="T987">
            <v>0</v>
          </cell>
        </row>
        <row r="988">
          <cell r="A988" t="str">
            <v/>
          </cell>
          <cell r="B988" t="str">
            <v>COM2400</v>
          </cell>
          <cell r="C988">
            <v>1</v>
          </cell>
          <cell r="E988">
            <v>0</v>
          </cell>
          <cell r="F988" t="str">
            <v>Đà hộp composite 110x80x5-2400</v>
          </cell>
          <cell r="G988" t="str">
            <v>cái</v>
          </cell>
          <cell r="H988">
            <v>5</v>
          </cell>
          <cell r="I988">
            <v>1100000</v>
          </cell>
          <cell r="K988">
            <v>0</v>
          </cell>
          <cell r="L988">
            <v>0</v>
          </cell>
          <cell r="M988">
            <v>5500000</v>
          </cell>
          <cell r="N988">
            <v>0</v>
          </cell>
          <cell r="O988">
            <v>0</v>
          </cell>
          <cell r="P988">
            <v>0</v>
          </cell>
          <cell r="S988">
            <v>9.6</v>
          </cell>
          <cell r="T988">
            <v>48</v>
          </cell>
        </row>
        <row r="989">
          <cell r="A989" t="str">
            <v/>
          </cell>
          <cell r="B989" t="str">
            <v>CCOM2400</v>
          </cell>
          <cell r="C989">
            <v>1</v>
          </cell>
          <cell r="E989">
            <v>0</v>
          </cell>
          <cell r="F989" t="str">
            <v>Thanh chống Composite dẹp 10x40x920</v>
          </cell>
          <cell r="G989" t="str">
            <v>cái</v>
          </cell>
          <cell r="H989">
            <v>10</v>
          </cell>
          <cell r="I989">
            <v>132000</v>
          </cell>
          <cell r="K989">
            <v>0</v>
          </cell>
          <cell r="L989">
            <v>0</v>
          </cell>
          <cell r="M989">
            <v>1320000</v>
          </cell>
          <cell r="N989">
            <v>0</v>
          </cell>
          <cell r="O989">
            <v>0</v>
          </cell>
          <cell r="P989">
            <v>0</v>
          </cell>
          <cell r="S989">
            <v>0.7</v>
          </cell>
          <cell r="T989">
            <v>7</v>
          </cell>
        </row>
        <row r="990">
          <cell r="A990" t="str">
            <v/>
          </cell>
          <cell r="B990" t="str">
            <v>BATLL</v>
          </cell>
          <cell r="C990">
            <v>1</v>
          </cell>
          <cell r="E990">
            <v>0</v>
          </cell>
          <cell r="F990" t="str">
            <v>Bass LL bắt FCO và LA</v>
          </cell>
          <cell r="G990" t="str">
            <v>bộ</v>
          </cell>
          <cell r="H990">
            <v>15</v>
          </cell>
          <cell r="I990">
            <v>65000</v>
          </cell>
          <cell r="K990">
            <v>0</v>
          </cell>
          <cell r="L990">
            <v>0</v>
          </cell>
          <cell r="M990">
            <v>975000</v>
          </cell>
          <cell r="N990">
            <v>0</v>
          </cell>
          <cell r="O990">
            <v>0</v>
          </cell>
          <cell r="P990">
            <v>0</v>
          </cell>
          <cell r="S990">
            <v>0.5</v>
          </cell>
          <cell r="T990">
            <v>7.5</v>
          </cell>
        </row>
        <row r="991">
          <cell r="A991" t="str">
            <v/>
          </cell>
          <cell r="B991" t="str">
            <v>B16350</v>
          </cell>
          <cell r="C991">
            <v>1</v>
          </cell>
          <cell r="E991">
            <v>0</v>
          </cell>
          <cell r="F991" t="str">
            <v>Boulon 16x350+ 2 long đền vuông D18-50x50x3/Zn</v>
          </cell>
          <cell r="G991" t="str">
            <v>bộ</v>
          </cell>
          <cell r="H991">
            <v>5</v>
          </cell>
          <cell r="I991">
            <v>32500</v>
          </cell>
          <cell r="K991">
            <v>0</v>
          </cell>
          <cell r="L991">
            <v>0</v>
          </cell>
          <cell r="M991">
            <v>162500</v>
          </cell>
          <cell r="N991">
            <v>0</v>
          </cell>
          <cell r="O991">
            <v>0</v>
          </cell>
          <cell r="P991">
            <v>0</v>
          </cell>
          <cell r="S991">
            <v>0.3</v>
          </cell>
          <cell r="T991">
            <v>1.5</v>
          </cell>
        </row>
        <row r="992">
          <cell r="A992" t="str">
            <v/>
          </cell>
          <cell r="B992" t="str">
            <v>B16300</v>
          </cell>
          <cell r="C992">
            <v>1</v>
          </cell>
          <cell r="E992">
            <v>0</v>
          </cell>
          <cell r="F992" t="str">
            <v>Boulon 16x300+ 2 long đền vuông D18-50x50x3/Zn</v>
          </cell>
          <cell r="G992" t="str">
            <v>bộ</v>
          </cell>
          <cell r="H992">
            <v>5</v>
          </cell>
          <cell r="I992">
            <v>30000</v>
          </cell>
          <cell r="K992">
            <v>0</v>
          </cell>
          <cell r="L992">
            <v>0</v>
          </cell>
          <cell r="M992">
            <v>150000</v>
          </cell>
          <cell r="N992">
            <v>0</v>
          </cell>
          <cell r="O992">
            <v>0</v>
          </cell>
          <cell r="P992">
            <v>0</v>
          </cell>
          <cell r="S992">
            <v>0.25</v>
          </cell>
          <cell r="T992">
            <v>1.25</v>
          </cell>
        </row>
        <row r="993">
          <cell r="A993" t="str">
            <v/>
          </cell>
          <cell r="B993" t="str">
            <v>B14120</v>
          </cell>
          <cell r="C993">
            <v>1</v>
          </cell>
          <cell r="E993">
            <v>0</v>
          </cell>
          <cell r="F993" t="str">
            <v>Boulon 14x120+ 2 long đền vuông D16-50x50x3/Zn</v>
          </cell>
          <cell r="G993" t="str">
            <v>bộ</v>
          </cell>
          <cell r="H993">
            <v>10</v>
          </cell>
          <cell r="I993">
            <v>20000</v>
          </cell>
          <cell r="K993">
            <v>0</v>
          </cell>
          <cell r="L993">
            <v>0</v>
          </cell>
          <cell r="M993">
            <v>200000</v>
          </cell>
          <cell r="N993">
            <v>0</v>
          </cell>
          <cell r="O993">
            <v>0</v>
          </cell>
          <cell r="P993">
            <v>0</v>
          </cell>
          <cell r="S993">
            <v>0.2</v>
          </cell>
          <cell r="T993">
            <v>2</v>
          </cell>
        </row>
        <row r="994">
          <cell r="A994" t="str">
            <v/>
          </cell>
          <cell r="B994" t="str">
            <v>LCOM2400</v>
          </cell>
          <cell r="C994">
            <v>1</v>
          </cell>
          <cell r="E994" t="str">
            <v>D2.6011</v>
          </cell>
          <cell r="F994" t="str">
            <v>Lắp đà composite 2400mm đơn</v>
          </cell>
          <cell r="G994" t="str">
            <v>bộ</v>
          </cell>
          <cell r="H994">
            <v>5</v>
          </cell>
          <cell r="I994">
            <v>0</v>
          </cell>
          <cell r="K994">
            <v>167950</v>
          </cell>
          <cell r="L994">
            <v>0</v>
          </cell>
          <cell r="M994">
            <v>0</v>
          </cell>
          <cell r="N994">
            <v>0</v>
          </cell>
          <cell r="O994">
            <v>839750</v>
          </cell>
          <cell r="P994">
            <v>0</v>
          </cell>
          <cell r="S994">
            <v>0</v>
          </cell>
          <cell r="T994">
            <v>0</v>
          </cell>
        </row>
        <row r="995">
          <cell r="A995" t="str">
            <v/>
          </cell>
          <cell r="C995">
            <v>1</v>
          </cell>
          <cell r="D995">
            <v>3</v>
          </cell>
          <cell r="F995" t="str">
            <v>Giá chùm treo 3 MBT</v>
          </cell>
          <cell r="G995" t="str">
            <v>Bộ</v>
          </cell>
          <cell r="H995">
            <v>5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S995">
            <v>0</v>
          </cell>
          <cell r="T995">
            <v>0</v>
          </cell>
        </row>
        <row r="996">
          <cell r="A996" t="str">
            <v/>
          </cell>
          <cell r="C996">
            <v>0</v>
          </cell>
          <cell r="F996" t="str">
            <v>Gồm có: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S996">
            <v>0</v>
          </cell>
          <cell r="T996">
            <v>0</v>
          </cell>
        </row>
        <row r="997">
          <cell r="A997" t="str">
            <v/>
          </cell>
          <cell r="B997" t="str">
            <v>GTMBA</v>
          </cell>
          <cell r="C997">
            <v>1</v>
          </cell>
          <cell r="E997" t="str">
            <v>T4.9302</v>
          </cell>
          <cell r="F997" t="str">
            <v>Giá chùm treo máy biến áp 3x75</v>
          </cell>
          <cell r="G997" t="str">
            <v>Bộ</v>
          </cell>
          <cell r="H997">
            <v>5</v>
          </cell>
          <cell r="I997">
            <v>2580000</v>
          </cell>
          <cell r="K997">
            <v>139062.31200000001</v>
          </cell>
          <cell r="L997">
            <v>0</v>
          </cell>
          <cell r="M997">
            <v>12900000</v>
          </cell>
          <cell r="N997">
            <v>0</v>
          </cell>
          <cell r="O997">
            <v>695311.56</v>
          </cell>
          <cell r="P997">
            <v>0</v>
          </cell>
          <cell r="S997">
            <v>51</v>
          </cell>
          <cell r="T997">
            <v>255</v>
          </cell>
        </row>
        <row r="998">
          <cell r="A998" t="str">
            <v/>
          </cell>
          <cell r="B998" t="str">
            <v>B16350</v>
          </cell>
          <cell r="C998">
            <v>1</v>
          </cell>
          <cell r="E998">
            <v>0</v>
          </cell>
          <cell r="F998" t="str">
            <v>Boulon 16x350+ 2 long đền vuông D18-50x50x3/Zn</v>
          </cell>
          <cell r="G998" t="str">
            <v>bộ</v>
          </cell>
          <cell r="H998">
            <v>10</v>
          </cell>
          <cell r="I998">
            <v>32500</v>
          </cell>
          <cell r="K998">
            <v>0</v>
          </cell>
          <cell r="L998">
            <v>0</v>
          </cell>
          <cell r="M998">
            <v>325000</v>
          </cell>
          <cell r="N998">
            <v>0</v>
          </cell>
          <cell r="O998">
            <v>0</v>
          </cell>
          <cell r="P998">
            <v>0</v>
          </cell>
          <cell r="S998">
            <v>0.3</v>
          </cell>
          <cell r="T998">
            <v>3</v>
          </cell>
        </row>
        <row r="999">
          <cell r="A999" t="str">
            <v/>
          </cell>
          <cell r="B999" t="str">
            <v>B1650</v>
          </cell>
          <cell r="C999">
            <v>1</v>
          </cell>
          <cell r="E999">
            <v>0</v>
          </cell>
          <cell r="F999" t="str">
            <v>Boulon 16x50+ 2 long đền vuông D18-50x50x3/Zn</v>
          </cell>
          <cell r="G999" t="str">
            <v>bộ</v>
          </cell>
          <cell r="H999">
            <v>30</v>
          </cell>
          <cell r="I999">
            <v>17000</v>
          </cell>
          <cell r="K999">
            <v>0</v>
          </cell>
          <cell r="L999">
            <v>0</v>
          </cell>
          <cell r="M999">
            <v>510000</v>
          </cell>
          <cell r="N999">
            <v>0</v>
          </cell>
          <cell r="O999">
            <v>0</v>
          </cell>
          <cell r="P999">
            <v>0</v>
          </cell>
          <cell r="S999">
            <v>0.25</v>
          </cell>
          <cell r="T999">
            <v>7.5</v>
          </cell>
        </row>
        <row r="1000">
          <cell r="A1000" t="str">
            <v/>
          </cell>
          <cell r="C1000">
            <v>1</v>
          </cell>
          <cell r="D1000">
            <v>4</v>
          </cell>
          <cell r="F1000" t="str">
            <v>Bộ tiếp địa Trạm 3 pha (1 bộ trạm N Nghĩa 13 di dời)</v>
          </cell>
          <cell r="G1000" t="str">
            <v>Bộ</v>
          </cell>
          <cell r="H1000">
            <v>6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S1000">
            <v>0</v>
          </cell>
          <cell r="T1000">
            <v>0</v>
          </cell>
        </row>
        <row r="1001">
          <cell r="A1001" t="str">
            <v/>
          </cell>
          <cell r="C1001">
            <v>0</v>
          </cell>
          <cell r="F1001" t="str">
            <v>Gồm có: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S1001">
            <v>0</v>
          </cell>
          <cell r="T1001">
            <v>0</v>
          </cell>
        </row>
        <row r="1002">
          <cell r="A1002" t="str">
            <v/>
          </cell>
          <cell r="B1002" t="str">
            <v>M25</v>
          </cell>
          <cell r="C1002">
            <v>1</v>
          </cell>
          <cell r="E1002">
            <v>0</v>
          </cell>
          <cell r="F1002" t="str">
            <v>Cáp đồng trần M25mm2 (52 mét/trạm)</v>
          </cell>
          <cell r="G1002" t="str">
            <v>kg</v>
          </cell>
          <cell r="H1002">
            <v>69.888000000000005</v>
          </cell>
          <cell r="I1002">
            <v>191630</v>
          </cell>
          <cell r="K1002">
            <v>0</v>
          </cell>
          <cell r="L1002">
            <v>0</v>
          </cell>
          <cell r="M1002">
            <v>13392637.440000001</v>
          </cell>
          <cell r="N1002">
            <v>0</v>
          </cell>
          <cell r="O1002">
            <v>0</v>
          </cell>
          <cell r="P1002">
            <v>0</v>
          </cell>
          <cell r="S1002">
            <v>1</v>
          </cell>
          <cell r="T1002">
            <v>69.888000000000005</v>
          </cell>
        </row>
        <row r="1003">
          <cell r="A1003" t="str">
            <v/>
          </cell>
          <cell r="B1003" t="str">
            <v>CTD</v>
          </cell>
          <cell r="C1003">
            <v>1</v>
          </cell>
          <cell r="E1003">
            <v>0</v>
          </cell>
          <cell r="F1003" t="str">
            <v>Cọc tiếp đất φ16 - 2,4m mạ Cu 16 micrômét</v>
          </cell>
          <cell r="G1003" t="str">
            <v>cọc</v>
          </cell>
          <cell r="H1003">
            <v>54</v>
          </cell>
          <cell r="I1003">
            <v>130000</v>
          </cell>
          <cell r="K1003">
            <v>0</v>
          </cell>
          <cell r="L1003">
            <v>0</v>
          </cell>
          <cell r="M1003">
            <v>7020000</v>
          </cell>
          <cell r="N1003">
            <v>0</v>
          </cell>
          <cell r="O1003">
            <v>0</v>
          </cell>
          <cell r="P1003">
            <v>0</v>
          </cell>
          <cell r="S1003">
            <v>5.3</v>
          </cell>
          <cell r="T1003">
            <v>286.2</v>
          </cell>
        </row>
        <row r="1004">
          <cell r="A1004" t="str">
            <v/>
          </cell>
          <cell r="B1004" t="str">
            <v>KC</v>
          </cell>
          <cell r="C1004">
            <v>1</v>
          </cell>
          <cell r="E1004">
            <v>0</v>
          </cell>
          <cell r="F1004" t="str">
            <v>Kẹp cọc tiếp địa Cu loại lớn</v>
          </cell>
          <cell r="G1004" t="str">
            <v>bộ</v>
          </cell>
          <cell r="H1004">
            <v>54</v>
          </cell>
          <cell r="I1004">
            <v>25000</v>
          </cell>
          <cell r="K1004">
            <v>0</v>
          </cell>
          <cell r="L1004">
            <v>0</v>
          </cell>
          <cell r="M1004">
            <v>1350000</v>
          </cell>
          <cell r="N1004">
            <v>0</v>
          </cell>
          <cell r="O1004">
            <v>0</v>
          </cell>
          <cell r="P1004">
            <v>0</v>
          </cell>
          <cell r="S1004">
            <v>0.05</v>
          </cell>
          <cell r="T1004">
            <v>2.7</v>
          </cell>
        </row>
        <row r="1005">
          <cell r="A1005" t="str">
            <v/>
          </cell>
          <cell r="B1005" t="str">
            <v>OXC38</v>
          </cell>
          <cell r="C1005">
            <v>1</v>
          </cell>
          <cell r="E1005">
            <v>0</v>
          </cell>
          <cell r="F1005" t="str">
            <v xml:space="preserve">Ốc xiết cáp cỡ 38mm2 </v>
          </cell>
          <cell r="G1005" t="str">
            <v>cái</v>
          </cell>
          <cell r="H1005">
            <v>36</v>
          </cell>
          <cell r="I1005">
            <v>17000</v>
          </cell>
          <cell r="K1005">
            <v>0</v>
          </cell>
          <cell r="L1005">
            <v>0</v>
          </cell>
          <cell r="M1005">
            <v>612000</v>
          </cell>
          <cell r="N1005">
            <v>0</v>
          </cell>
          <cell r="O1005">
            <v>0</v>
          </cell>
          <cell r="P1005">
            <v>0</v>
          </cell>
          <cell r="S1005">
            <v>0</v>
          </cell>
          <cell r="T1005">
            <v>0</v>
          </cell>
        </row>
        <row r="1006">
          <cell r="A1006" t="str">
            <v/>
          </cell>
          <cell r="B1006" t="str">
            <v>KE50</v>
          </cell>
          <cell r="C1006">
            <v>1</v>
          </cell>
          <cell r="E1006">
            <v>0</v>
          </cell>
          <cell r="F1006" t="str">
            <v>Kẹp ép WR cỡ dây 50mm2</v>
          </cell>
          <cell r="G1006" t="str">
            <v>cái</v>
          </cell>
          <cell r="H1006">
            <v>12</v>
          </cell>
          <cell r="I1006">
            <v>8500</v>
          </cell>
          <cell r="K1006">
            <v>0</v>
          </cell>
          <cell r="L1006">
            <v>0</v>
          </cell>
          <cell r="M1006">
            <v>102000</v>
          </cell>
          <cell r="N1006">
            <v>0</v>
          </cell>
          <cell r="O1006">
            <v>0</v>
          </cell>
          <cell r="P1006">
            <v>0</v>
          </cell>
          <cell r="S1006">
            <v>0.2</v>
          </cell>
          <cell r="T1006">
            <v>2.4000000000000004</v>
          </cell>
        </row>
        <row r="1007">
          <cell r="A1007" t="str">
            <v/>
          </cell>
          <cell r="B1007" t="str">
            <v>KTDTBA</v>
          </cell>
          <cell r="C1007">
            <v>1</v>
          </cell>
          <cell r="E1007" t="str">
            <v>T4.7001</v>
          </cell>
          <cell r="F1007" t="str">
            <v>Kéo dây tiếp địa trong TBA</v>
          </cell>
          <cell r="G1007" t="str">
            <v>mét</v>
          </cell>
          <cell r="H1007">
            <v>312</v>
          </cell>
          <cell r="I1007">
            <v>0</v>
          </cell>
          <cell r="K1007">
            <v>6871</v>
          </cell>
          <cell r="L1007">
            <v>0</v>
          </cell>
          <cell r="M1007">
            <v>0</v>
          </cell>
          <cell r="N1007">
            <v>0</v>
          </cell>
          <cell r="O1007">
            <v>2143752</v>
          </cell>
          <cell r="P1007">
            <v>0</v>
          </cell>
          <cell r="S1007">
            <v>0</v>
          </cell>
          <cell r="T1007">
            <v>0</v>
          </cell>
        </row>
        <row r="1008">
          <cell r="A1008" t="str">
            <v/>
          </cell>
          <cell r="B1008" t="str">
            <v>DCTDTBA</v>
          </cell>
          <cell r="C1008">
            <v>1</v>
          </cell>
          <cell r="E1008" t="str">
            <v>D2.8103</v>
          </cell>
          <cell r="F1008" t="str">
            <v>Đóng cọc tiếp địa trong TBA (đất cấp 3)</v>
          </cell>
          <cell r="G1008" t="str">
            <v>cọc</v>
          </cell>
          <cell r="H1008">
            <v>54</v>
          </cell>
          <cell r="I1008">
            <v>0</v>
          </cell>
          <cell r="K1008">
            <v>76928</v>
          </cell>
          <cell r="L1008">
            <v>0</v>
          </cell>
          <cell r="M1008">
            <v>0</v>
          </cell>
          <cell r="N1008">
            <v>0</v>
          </cell>
          <cell r="O1008">
            <v>4154112</v>
          </cell>
          <cell r="P1008">
            <v>0</v>
          </cell>
          <cell r="S1008">
            <v>0</v>
          </cell>
          <cell r="T1008">
            <v>0</v>
          </cell>
        </row>
        <row r="1009">
          <cell r="A1009" t="str">
            <v/>
          </cell>
          <cell r="B1009" t="str">
            <v>DTD3</v>
          </cell>
          <cell r="C1009">
            <v>1</v>
          </cell>
          <cell r="E1009" t="str">
            <v>AB.11513</v>
          </cell>
          <cell r="F1009" t="str">
            <v>Đào rãnh tiếp địa đất cấp 3</v>
          </cell>
          <cell r="G1009" t="str">
            <v>m3</v>
          </cell>
          <cell r="H1009">
            <v>14.399999999999999</v>
          </cell>
          <cell r="I1009">
            <v>0</v>
          </cell>
          <cell r="K1009">
            <v>241580</v>
          </cell>
          <cell r="L1009">
            <v>0</v>
          </cell>
          <cell r="M1009">
            <v>0</v>
          </cell>
          <cell r="N1009">
            <v>0</v>
          </cell>
          <cell r="O1009">
            <v>3478751.9999999995</v>
          </cell>
          <cell r="P1009">
            <v>0</v>
          </cell>
          <cell r="S1009">
            <v>0</v>
          </cell>
          <cell r="T1009">
            <v>0</v>
          </cell>
        </row>
        <row r="1010">
          <cell r="A1010" t="str">
            <v/>
          </cell>
          <cell r="B1010" t="str">
            <v>DATD3</v>
          </cell>
          <cell r="C1010">
            <v>1</v>
          </cell>
          <cell r="E1010" t="str">
            <v>AB.13111</v>
          </cell>
          <cell r="F1010" t="str">
            <v>Đắp đất rãnh tiếp địa (K=0,85)</v>
          </cell>
          <cell r="G1010" t="str">
            <v>m3</v>
          </cell>
          <cell r="H1010">
            <v>14.399999999999999</v>
          </cell>
          <cell r="I1010">
            <v>0</v>
          </cell>
          <cell r="K1010">
            <v>100211</v>
          </cell>
          <cell r="L1010">
            <v>0</v>
          </cell>
          <cell r="M1010">
            <v>0</v>
          </cell>
          <cell r="N1010">
            <v>0</v>
          </cell>
          <cell r="O1010">
            <v>1443038.4</v>
          </cell>
          <cell r="P1010">
            <v>0</v>
          </cell>
          <cell r="R1010">
            <v>11.648</v>
          </cell>
          <cell r="S1010">
            <v>0</v>
          </cell>
          <cell r="T1010">
            <v>0</v>
          </cell>
        </row>
        <row r="1011">
          <cell r="A1011" t="str">
            <v/>
          </cell>
          <cell r="C1011">
            <v>1</v>
          </cell>
          <cell r="D1011">
            <v>5</v>
          </cell>
          <cell r="F1011" t="str">
            <v>Tủ điện trạm treo</v>
          </cell>
          <cell r="G1011" t="str">
            <v>Bộ</v>
          </cell>
          <cell r="H1011">
            <v>5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S1011">
            <v>0</v>
          </cell>
          <cell r="T1011">
            <v>0</v>
          </cell>
        </row>
        <row r="1012">
          <cell r="A1012" t="str">
            <v/>
          </cell>
          <cell r="C1012">
            <v>0</v>
          </cell>
          <cell r="F1012" t="str">
            <v>Gồm có: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S1012">
            <v>0</v>
          </cell>
          <cell r="T1012">
            <v>0</v>
          </cell>
        </row>
        <row r="1013">
          <cell r="A1013" t="str">
            <v/>
          </cell>
          <cell r="B1013" t="str">
            <v>TUAP3</v>
          </cell>
          <cell r="C1013">
            <v>1</v>
          </cell>
          <cell r="E1013" t="str">
            <v>T5.1002</v>
          </cell>
          <cell r="F1013" t="str">
            <v>Tủ trạm treo + khóa + boulon + Bakelit + Collier (3 pha)</v>
          </cell>
          <cell r="G1013" t="str">
            <v>cái</v>
          </cell>
          <cell r="H1013">
            <v>5</v>
          </cell>
          <cell r="I1013">
            <v>3484174</v>
          </cell>
          <cell r="K1013">
            <v>966199</v>
          </cell>
          <cell r="L1013">
            <v>0</v>
          </cell>
          <cell r="M1013">
            <v>17420870</v>
          </cell>
          <cell r="N1013">
            <v>0</v>
          </cell>
          <cell r="O1013">
            <v>4830995</v>
          </cell>
          <cell r="P1013">
            <v>0</v>
          </cell>
          <cell r="S1013">
            <v>45</v>
          </cell>
          <cell r="T1013">
            <v>225</v>
          </cell>
        </row>
        <row r="1014">
          <cell r="A1014" t="str">
            <v/>
          </cell>
          <cell r="B1014" t="str">
            <v>TUAP3</v>
          </cell>
          <cell r="C1014">
            <v>1</v>
          </cell>
          <cell r="E1014" t="str">
            <v>T5.1002</v>
          </cell>
          <cell r="F1014" t="str">
            <v>Tủ trạm treo + khóa + boulon + Bakelit + Collier (3 pha) (SDL)</v>
          </cell>
          <cell r="G1014" t="str">
            <v>cái</v>
          </cell>
          <cell r="H1014">
            <v>1</v>
          </cell>
          <cell r="K1014">
            <v>966199</v>
          </cell>
          <cell r="L1014">
            <v>0</v>
          </cell>
          <cell r="M1014">
            <v>0</v>
          </cell>
          <cell r="N1014">
            <v>0</v>
          </cell>
          <cell r="O1014">
            <v>966199</v>
          </cell>
          <cell r="P1014">
            <v>0</v>
          </cell>
          <cell r="S1014">
            <v>45</v>
          </cell>
          <cell r="T1014">
            <v>45</v>
          </cell>
        </row>
        <row r="1015">
          <cell r="C1015">
            <v>1</v>
          </cell>
          <cell r="D1015">
            <v>6</v>
          </cell>
          <cell r="F1015" t="str">
            <v>Bộ dây dẫn trung thế trạm 1 pha</v>
          </cell>
          <cell r="G1015" t="str">
            <v>Bộ</v>
          </cell>
          <cell r="H1015">
            <v>5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S1015">
            <v>0</v>
          </cell>
          <cell r="T1015">
            <v>0</v>
          </cell>
        </row>
        <row r="1016">
          <cell r="C1016">
            <v>0</v>
          </cell>
          <cell r="F1016" t="str">
            <v>Gồm có: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S1016">
            <v>0</v>
          </cell>
          <cell r="T1016">
            <v>0</v>
          </cell>
        </row>
        <row r="1017">
          <cell r="B1017" t="str">
            <v>CXV25</v>
          </cell>
          <cell r="C1017">
            <v>1</v>
          </cell>
          <cell r="E1017">
            <v>0</v>
          </cell>
          <cell r="F1017" t="str">
            <v>Cáp 24KV C/XLPE/PVC 25mm2</v>
          </cell>
          <cell r="G1017" t="str">
            <v>mét</v>
          </cell>
          <cell r="H1017">
            <v>60</v>
          </cell>
          <cell r="I1017">
            <v>69890</v>
          </cell>
          <cell r="K1017">
            <v>0</v>
          </cell>
          <cell r="L1017">
            <v>0</v>
          </cell>
          <cell r="M1017">
            <v>4193400</v>
          </cell>
          <cell r="N1017">
            <v>0</v>
          </cell>
          <cell r="O1017">
            <v>0</v>
          </cell>
          <cell r="P1017">
            <v>0</v>
          </cell>
          <cell r="S1017">
            <v>0.75</v>
          </cell>
          <cell r="T1017">
            <v>45</v>
          </cell>
        </row>
        <row r="1018">
          <cell r="B1018" t="str">
            <v>KQ4</v>
          </cell>
          <cell r="C1018">
            <v>1</v>
          </cell>
          <cell r="E1018">
            <v>0</v>
          </cell>
          <cell r="F1018" t="str">
            <v>Kẹp quai 4/0 (quai đồng 8mm)</v>
          </cell>
          <cell r="G1018" t="str">
            <v>cái</v>
          </cell>
          <cell r="H1018">
            <v>15</v>
          </cell>
          <cell r="I1018">
            <v>63000</v>
          </cell>
          <cell r="K1018">
            <v>0</v>
          </cell>
          <cell r="L1018">
            <v>0</v>
          </cell>
          <cell r="M1018">
            <v>945000</v>
          </cell>
          <cell r="N1018">
            <v>0</v>
          </cell>
          <cell r="O1018">
            <v>0</v>
          </cell>
          <cell r="P1018">
            <v>0</v>
          </cell>
          <cell r="S1018">
            <v>0.3</v>
          </cell>
          <cell r="T1018">
            <v>4.5</v>
          </cell>
        </row>
        <row r="1019">
          <cell r="B1019" t="str">
            <v>CKQ</v>
          </cell>
          <cell r="C1019">
            <v>1</v>
          </cell>
          <cell r="E1019">
            <v>0</v>
          </cell>
          <cell r="F1019" t="str">
            <v>Chụp cách điện kẹp quai</v>
          </cell>
          <cell r="G1019" t="str">
            <v>cái</v>
          </cell>
          <cell r="H1019">
            <v>15</v>
          </cell>
          <cell r="I1019">
            <v>122000</v>
          </cell>
          <cell r="K1019">
            <v>0</v>
          </cell>
          <cell r="L1019">
            <v>0</v>
          </cell>
          <cell r="M1019">
            <v>1830000</v>
          </cell>
          <cell r="N1019">
            <v>0</v>
          </cell>
          <cell r="O1019">
            <v>0</v>
          </cell>
          <cell r="P1019">
            <v>0</v>
          </cell>
          <cell r="S1019">
            <v>0.2</v>
          </cell>
          <cell r="T1019">
            <v>3</v>
          </cell>
        </row>
        <row r="1020">
          <cell r="B1020" t="str">
            <v>HL2</v>
          </cell>
          <cell r="C1020">
            <v>1</v>
          </cell>
          <cell r="E1020">
            <v>0</v>
          </cell>
          <cell r="F1020" t="str">
            <v>Kẹp hotline 2/0</v>
          </cell>
          <cell r="G1020" t="str">
            <v>cái</v>
          </cell>
          <cell r="H1020">
            <v>15</v>
          </cell>
          <cell r="I1020">
            <v>68000</v>
          </cell>
          <cell r="K1020">
            <v>0</v>
          </cell>
          <cell r="L1020">
            <v>0</v>
          </cell>
          <cell r="M1020">
            <v>1020000</v>
          </cell>
          <cell r="N1020">
            <v>0</v>
          </cell>
          <cell r="O1020">
            <v>0</v>
          </cell>
          <cell r="P1020">
            <v>0</v>
          </cell>
          <cell r="S1020">
            <v>0.1</v>
          </cell>
          <cell r="T1020">
            <v>1.5</v>
          </cell>
        </row>
        <row r="1021">
          <cell r="B1021" t="str">
            <v>LCAPDONGTB95</v>
          </cell>
          <cell r="C1021">
            <v>1</v>
          </cell>
          <cell r="E1021" t="str">
            <v>T4.4201</v>
          </cell>
          <cell r="F1021" t="str">
            <v>Lắp cáp đồng xuống thiết bị D ≤ 95mm2</v>
          </cell>
          <cell r="G1021" t="str">
            <v>m</v>
          </cell>
          <cell r="H1021">
            <v>72</v>
          </cell>
          <cell r="I1021">
            <v>0</v>
          </cell>
          <cell r="K1021">
            <v>11847</v>
          </cell>
          <cell r="L1021">
            <v>0</v>
          </cell>
          <cell r="M1021">
            <v>0</v>
          </cell>
          <cell r="N1021">
            <v>0</v>
          </cell>
          <cell r="O1021">
            <v>852984</v>
          </cell>
          <cell r="P1021">
            <v>0</v>
          </cell>
          <cell r="S1021">
            <v>0</v>
          </cell>
          <cell r="T1021">
            <v>0</v>
          </cell>
        </row>
        <row r="1022">
          <cell r="C1022">
            <v>1</v>
          </cell>
          <cell r="D1022">
            <v>7</v>
          </cell>
          <cell r="F1022" t="str">
            <v>Bộ dây dẫn hạ thế lộ xuống</v>
          </cell>
          <cell r="G1022" t="str">
            <v>Bộ</v>
          </cell>
          <cell r="H1022">
            <v>5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S1022">
            <v>0</v>
          </cell>
          <cell r="T1022">
            <v>0</v>
          </cell>
        </row>
        <row r="1023">
          <cell r="C1023">
            <v>0</v>
          </cell>
          <cell r="F1023" t="str">
            <v>Gồm có: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S1023">
            <v>0</v>
          </cell>
          <cell r="T1023">
            <v>0</v>
          </cell>
        </row>
        <row r="1024">
          <cell r="B1024" t="str">
            <v>CV120</v>
          </cell>
          <cell r="C1024">
            <v>1</v>
          </cell>
          <cell r="E1024">
            <v>0</v>
          </cell>
          <cell r="F1024" t="str">
            <v>Cáp đồng bọc CV120</v>
          </cell>
          <cell r="G1024" t="str">
            <v>mét</v>
          </cell>
          <cell r="H1024">
            <v>150</v>
          </cell>
          <cell r="I1024">
            <v>213430</v>
          </cell>
          <cell r="K1024">
            <v>0</v>
          </cell>
          <cell r="L1024">
            <v>0</v>
          </cell>
          <cell r="M1024">
            <v>32014500</v>
          </cell>
          <cell r="N1024">
            <v>0</v>
          </cell>
          <cell r="O1024">
            <v>0</v>
          </cell>
          <cell r="P1024">
            <v>0</v>
          </cell>
          <cell r="Q1024" t="str">
            <v>10m*2sợi*1lộ*TBA</v>
          </cell>
          <cell r="S1024">
            <v>1.2350000000000001</v>
          </cell>
          <cell r="T1024">
            <v>185.25000000000003</v>
          </cell>
        </row>
        <row r="1025">
          <cell r="B1025" t="str">
            <v>CV70</v>
          </cell>
          <cell r="C1025">
            <v>1</v>
          </cell>
          <cell r="E1025">
            <v>0</v>
          </cell>
          <cell r="F1025" t="str">
            <v>Cáp đồng bọc CV70</v>
          </cell>
          <cell r="G1025" t="str">
            <v>mét</v>
          </cell>
          <cell r="H1025">
            <v>75</v>
          </cell>
          <cell r="I1025">
            <v>124570</v>
          </cell>
          <cell r="K1025">
            <v>0</v>
          </cell>
          <cell r="L1025">
            <v>0</v>
          </cell>
          <cell r="M1025">
            <v>9342750</v>
          </cell>
          <cell r="N1025">
            <v>0</v>
          </cell>
          <cell r="O1025">
            <v>0</v>
          </cell>
          <cell r="P1025">
            <v>0</v>
          </cell>
          <cell r="Q1025" t="str">
            <v>15m*1sợi*1lộ*TBA</v>
          </cell>
          <cell r="S1025">
            <v>0.73899999999999999</v>
          </cell>
          <cell r="T1025">
            <v>55.424999999999997</v>
          </cell>
        </row>
        <row r="1026">
          <cell r="B1026" t="str">
            <v>CV120</v>
          </cell>
          <cell r="C1026">
            <v>1</v>
          </cell>
          <cell r="E1026">
            <v>0</v>
          </cell>
          <cell r="F1026" t="str">
            <v>Cáp đồng bọc CV120 (SDL)</v>
          </cell>
          <cell r="G1026" t="str">
            <v>mét</v>
          </cell>
          <cell r="H1026">
            <v>30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 t="str">
            <v>NN13</v>
          </cell>
          <cell r="S1026">
            <v>1.2350000000000001</v>
          </cell>
          <cell r="T1026">
            <v>37.050000000000004</v>
          </cell>
        </row>
        <row r="1027">
          <cell r="B1027" t="str">
            <v>CV70</v>
          </cell>
          <cell r="C1027">
            <v>1</v>
          </cell>
          <cell r="E1027">
            <v>0</v>
          </cell>
          <cell r="F1027" t="str">
            <v>Cáp đồng bọc CV70 (SDL)</v>
          </cell>
          <cell r="G1027" t="str">
            <v>mét</v>
          </cell>
          <cell r="H1027">
            <v>14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 t="str">
            <v>NN13</v>
          </cell>
          <cell r="S1027">
            <v>0.73899999999999999</v>
          </cell>
          <cell r="T1027">
            <v>10.346</v>
          </cell>
        </row>
        <row r="1028">
          <cell r="B1028" t="str">
            <v>CVV4X4</v>
          </cell>
          <cell r="C1028">
            <v>1</v>
          </cell>
          <cell r="E1028">
            <v>0</v>
          </cell>
          <cell r="F1028" t="str">
            <v>Cáp điều khiển CVV 4x4,0mm2</v>
          </cell>
          <cell r="G1028" t="str">
            <v>mét</v>
          </cell>
          <cell r="H1028">
            <v>10</v>
          </cell>
          <cell r="I1028">
            <v>56700</v>
          </cell>
          <cell r="K1028">
            <v>0</v>
          </cell>
          <cell r="L1028">
            <v>0</v>
          </cell>
          <cell r="M1028">
            <v>567000</v>
          </cell>
          <cell r="N1028">
            <v>0</v>
          </cell>
          <cell r="O1028">
            <v>0</v>
          </cell>
          <cell r="P1028">
            <v>0</v>
          </cell>
          <cell r="S1028">
            <v>3.024</v>
          </cell>
          <cell r="T1028">
            <v>30.240000000000002</v>
          </cell>
        </row>
        <row r="1029">
          <cell r="B1029" t="str">
            <v>COS120</v>
          </cell>
          <cell r="C1029">
            <v>1</v>
          </cell>
          <cell r="E1029">
            <v>0</v>
          </cell>
          <cell r="F1029" t="str">
            <v>Đầu cosse ép Cu 120mm2</v>
          </cell>
          <cell r="G1029" t="str">
            <v>cái</v>
          </cell>
          <cell r="H1029">
            <v>15</v>
          </cell>
          <cell r="I1029">
            <v>68500</v>
          </cell>
          <cell r="K1029">
            <v>0</v>
          </cell>
          <cell r="L1029">
            <v>0</v>
          </cell>
          <cell r="M1029">
            <v>1027500</v>
          </cell>
          <cell r="N1029">
            <v>0</v>
          </cell>
          <cell r="O1029">
            <v>0</v>
          </cell>
          <cell r="P1029">
            <v>0</v>
          </cell>
          <cell r="S1029">
            <v>0.1</v>
          </cell>
          <cell r="T1029">
            <v>1.5</v>
          </cell>
        </row>
        <row r="1030">
          <cell r="B1030" t="str">
            <v>COS70</v>
          </cell>
          <cell r="C1030">
            <v>1</v>
          </cell>
          <cell r="E1030">
            <v>0</v>
          </cell>
          <cell r="F1030" t="str">
            <v>Đầu cosse ép Cu 70mm2</v>
          </cell>
          <cell r="G1030" t="str">
            <v>cái</v>
          </cell>
          <cell r="H1030">
            <v>5</v>
          </cell>
          <cell r="I1030">
            <v>34500</v>
          </cell>
          <cell r="K1030">
            <v>0</v>
          </cell>
          <cell r="L1030">
            <v>0</v>
          </cell>
          <cell r="M1030">
            <v>172500</v>
          </cell>
          <cell r="N1030">
            <v>0</v>
          </cell>
          <cell r="O1030">
            <v>0</v>
          </cell>
          <cell r="P1030">
            <v>0</v>
          </cell>
          <cell r="S1030">
            <v>0.2</v>
          </cell>
          <cell r="T1030">
            <v>1</v>
          </cell>
        </row>
        <row r="1031">
          <cell r="B1031" t="str">
            <v>CHCOS120</v>
          </cell>
          <cell r="C1031">
            <v>1</v>
          </cell>
          <cell r="E1031">
            <v>0</v>
          </cell>
          <cell r="F1031" t="str">
            <v>Chụp đầu cosse  120mm2</v>
          </cell>
          <cell r="G1031" t="str">
            <v>cái</v>
          </cell>
          <cell r="H1031">
            <v>15</v>
          </cell>
          <cell r="I1031">
            <v>3900</v>
          </cell>
          <cell r="K1031">
            <v>0</v>
          </cell>
          <cell r="L1031">
            <v>0</v>
          </cell>
          <cell r="M1031">
            <v>58500</v>
          </cell>
          <cell r="N1031">
            <v>0</v>
          </cell>
          <cell r="O1031">
            <v>0</v>
          </cell>
          <cell r="P1031">
            <v>0</v>
          </cell>
          <cell r="S1031">
            <v>0</v>
          </cell>
          <cell r="T1031">
            <v>0</v>
          </cell>
        </row>
        <row r="1032">
          <cell r="B1032" t="str">
            <v>CHCOS70</v>
          </cell>
          <cell r="C1032">
            <v>1</v>
          </cell>
          <cell r="E1032">
            <v>0</v>
          </cell>
          <cell r="F1032" t="str">
            <v>Chụp đầu cosse  70mm2</v>
          </cell>
          <cell r="G1032" t="str">
            <v>cái</v>
          </cell>
          <cell r="H1032">
            <v>5</v>
          </cell>
          <cell r="I1032">
            <v>2300</v>
          </cell>
          <cell r="K1032">
            <v>0</v>
          </cell>
          <cell r="L1032">
            <v>0</v>
          </cell>
          <cell r="M1032">
            <v>11500</v>
          </cell>
          <cell r="N1032">
            <v>0</v>
          </cell>
          <cell r="O1032">
            <v>0</v>
          </cell>
          <cell r="P1032">
            <v>0</v>
          </cell>
          <cell r="S1032">
            <v>0</v>
          </cell>
          <cell r="T1032">
            <v>0</v>
          </cell>
        </row>
        <row r="1033">
          <cell r="B1033" t="str">
            <v>PVC114</v>
          </cell>
          <cell r="C1033">
            <v>1</v>
          </cell>
          <cell r="E1033">
            <v>0</v>
          </cell>
          <cell r="F1033" t="str">
            <v xml:space="preserve">Ống PVC D114x4,9mm </v>
          </cell>
          <cell r="G1033" t="str">
            <v>m</v>
          </cell>
          <cell r="H1033">
            <v>30</v>
          </cell>
          <cell r="I1033">
            <v>103700</v>
          </cell>
          <cell r="K1033">
            <v>0</v>
          </cell>
          <cell r="L1033">
            <v>0</v>
          </cell>
          <cell r="M1033">
            <v>3111000</v>
          </cell>
          <cell r="N1033">
            <v>0</v>
          </cell>
          <cell r="O1033">
            <v>0</v>
          </cell>
          <cell r="P1033">
            <v>0</v>
          </cell>
          <cell r="S1033">
            <v>2</v>
          </cell>
          <cell r="T1033">
            <v>60</v>
          </cell>
        </row>
        <row r="1034">
          <cell r="B1034" t="str">
            <v>PVC90</v>
          </cell>
          <cell r="C1034">
            <v>1</v>
          </cell>
          <cell r="E1034">
            <v>0</v>
          </cell>
          <cell r="F1034" t="str">
            <v>Ống PVC D90x3,8mm  (SDL)</v>
          </cell>
          <cell r="G1034" t="str">
            <v>m</v>
          </cell>
          <cell r="H1034">
            <v>6</v>
          </cell>
          <cell r="I1034">
            <v>63200</v>
          </cell>
          <cell r="K1034">
            <v>0</v>
          </cell>
          <cell r="L1034">
            <v>0</v>
          </cell>
          <cell r="M1034">
            <v>379200</v>
          </cell>
          <cell r="N1034">
            <v>0</v>
          </cell>
          <cell r="O1034">
            <v>0</v>
          </cell>
          <cell r="P1034">
            <v>0</v>
          </cell>
          <cell r="Q1034" t="str">
            <v>NN13</v>
          </cell>
          <cell r="S1034">
            <v>2</v>
          </cell>
          <cell r="T1034">
            <v>12</v>
          </cell>
        </row>
        <row r="1035">
          <cell r="B1035" t="str">
            <v>CD114</v>
          </cell>
          <cell r="C1035">
            <v>1</v>
          </cell>
          <cell r="F1035" t="str">
            <v>Cổ dê kẹp ống PVC φ 114 (có giá nới) (CD: 250)</v>
          </cell>
          <cell r="G1035" t="str">
            <v>bộ</v>
          </cell>
          <cell r="H1035">
            <v>5</v>
          </cell>
          <cell r="I1035">
            <v>74000</v>
          </cell>
          <cell r="L1035">
            <v>0</v>
          </cell>
          <cell r="M1035">
            <v>370000</v>
          </cell>
          <cell r="N1035">
            <v>0</v>
          </cell>
          <cell r="O1035">
            <v>0</v>
          </cell>
          <cell r="P1035">
            <v>0</v>
          </cell>
          <cell r="S1035">
            <v>1.5</v>
          </cell>
          <cell r="T1035">
            <v>7.5</v>
          </cell>
        </row>
        <row r="1036">
          <cell r="B1036" t="str">
            <v>CD114</v>
          </cell>
          <cell r="C1036">
            <v>1</v>
          </cell>
          <cell r="F1036" t="str">
            <v>Cổ dê kẹp ống PVC φ 114 (có giá nới) (CD: 280)</v>
          </cell>
          <cell r="G1036" t="str">
            <v>bộ</v>
          </cell>
          <cell r="H1036">
            <v>5</v>
          </cell>
          <cell r="I1036">
            <v>74000</v>
          </cell>
          <cell r="L1036">
            <v>0</v>
          </cell>
          <cell r="M1036">
            <v>370000</v>
          </cell>
          <cell r="N1036">
            <v>0</v>
          </cell>
          <cell r="O1036">
            <v>0</v>
          </cell>
          <cell r="P1036">
            <v>0</v>
          </cell>
          <cell r="S1036">
            <v>1.5</v>
          </cell>
          <cell r="T1036">
            <v>7.5</v>
          </cell>
        </row>
        <row r="1037">
          <cell r="B1037" t="str">
            <v>CD114</v>
          </cell>
          <cell r="C1037">
            <v>1</v>
          </cell>
          <cell r="F1037" t="str">
            <v>Cổ dê kẹp ống PVC φ 114 (có giá nới) (CD: 320)</v>
          </cell>
          <cell r="G1037" t="str">
            <v>bộ</v>
          </cell>
          <cell r="H1037">
            <v>5</v>
          </cell>
          <cell r="I1037">
            <v>74000</v>
          </cell>
          <cell r="L1037">
            <v>0</v>
          </cell>
          <cell r="M1037">
            <v>370000</v>
          </cell>
          <cell r="N1037">
            <v>0</v>
          </cell>
          <cell r="O1037">
            <v>0</v>
          </cell>
          <cell r="P1037">
            <v>0</v>
          </cell>
          <cell r="S1037">
            <v>1.5</v>
          </cell>
          <cell r="T1037">
            <v>7.5</v>
          </cell>
        </row>
        <row r="1038">
          <cell r="B1038" t="str">
            <v>CUT114T</v>
          </cell>
          <cell r="C1038">
            <v>1</v>
          </cell>
          <cell r="E1038">
            <v>0</v>
          </cell>
          <cell r="F1038" t="str">
            <v>Co  90 độ PVC 114</v>
          </cell>
          <cell r="G1038" t="str">
            <v>cái</v>
          </cell>
          <cell r="H1038">
            <v>5</v>
          </cell>
          <cell r="I1038">
            <v>65500</v>
          </cell>
          <cell r="K1038">
            <v>0</v>
          </cell>
          <cell r="L1038">
            <v>0</v>
          </cell>
          <cell r="M1038">
            <v>327500</v>
          </cell>
          <cell r="N1038">
            <v>0</v>
          </cell>
          <cell r="O1038">
            <v>0</v>
          </cell>
          <cell r="P1038">
            <v>0</v>
          </cell>
          <cell r="S1038">
            <v>0</v>
          </cell>
          <cell r="T1038">
            <v>0</v>
          </cell>
        </row>
        <row r="1039">
          <cell r="B1039" t="str">
            <v>CUT114135</v>
          </cell>
          <cell r="C1039">
            <v>1</v>
          </cell>
          <cell r="E1039">
            <v>0</v>
          </cell>
          <cell r="F1039" t="str">
            <v>Co 135 độ PVC 114</v>
          </cell>
          <cell r="G1039" t="str">
            <v>cái</v>
          </cell>
          <cell r="H1039">
            <v>5</v>
          </cell>
          <cell r="I1039">
            <v>70800</v>
          </cell>
          <cell r="K1039">
            <v>0</v>
          </cell>
          <cell r="L1039">
            <v>0</v>
          </cell>
          <cell r="M1039">
            <v>354000</v>
          </cell>
          <cell r="N1039">
            <v>0</v>
          </cell>
          <cell r="O1039">
            <v>0</v>
          </cell>
          <cell r="P1039">
            <v>0</v>
          </cell>
          <cell r="S1039">
            <v>0</v>
          </cell>
          <cell r="T1039">
            <v>0</v>
          </cell>
        </row>
        <row r="1040">
          <cell r="B1040" t="str">
            <v>BANGKEO</v>
          </cell>
          <cell r="C1040">
            <v>1</v>
          </cell>
          <cell r="E1040">
            <v>0</v>
          </cell>
          <cell r="F1040" t="str">
            <v>Băng keo cách điện (Màu đen)</v>
          </cell>
          <cell r="G1040" t="str">
            <v>cuộn</v>
          </cell>
          <cell r="H1040">
            <v>5</v>
          </cell>
          <cell r="I1040">
            <v>6500</v>
          </cell>
          <cell r="K1040">
            <v>0</v>
          </cell>
          <cell r="L1040">
            <v>0</v>
          </cell>
          <cell r="M1040">
            <v>32500</v>
          </cell>
          <cell r="N1040">
            <v>0</v>
          </cell>
          <cell r="O1040">
            <v>0</v>
          </cell>
          <cell r="P1040">
            <v>0</v>
          </cell>
          <cell r="S1040">
            <v>0</v>
          </cell>
          <cell r="T1040">
            <v>0</v>
          </cell>
        </row>
        <row r="1041">
          <cell r="B1041" t="str">
            <v>LPVC114CL</v>
          </cell>
          <cell r="C1041">
            <v>1</v>
          </cell>
          <cell r="E1041" t="str">
            <v>T4.8003</v>
          </cell>
          <cell r="F1041" t="str">
            <v>Lắp ống nhựa PVC D114</v>
          </cell>
          <cell r="G1041" t="str">
            <v>mét</v>
          </cell>
          <cell r="H1041">
            <v>6</v>
          </cell>
          <cell r="I1041">
            <v>0</v>
          </cell>
          <cell r="K1041">
            <v>35541</v>
          </cell>
          <cell r="L1041">
            <v>0</v>
          </cell>
          <cell r="M1041">
            <v>0</v>
          </cell>
          <cell r="N1041">
            <v>0</v>
          </cell>
          <cell r="O1041">
            <v>213246</v>
          </cell>
          <cell r="P1041">
            <v>0</v>
          </cell>
          <cell r="S1041">
            <v>0</v>
          </cell>
          <cell r="T1041">
            <v>0</v>
          </cell>
        </row>
        <row r="1042">
          <cell r="B1042" t="str">
            <v>LPVC114CL</v>
          </cell>
          <cell r="C1042">
            <v>1</v>
          </cell>
          <cell r="E1042" t="str">
            <v>T4.8003</v>
          </cell>
          <cell r="F1042" t="str">
            <v>Lắp ống nhựa PVC D114</v>
          </cell>
          <cell r="G1042" t="str">
            <v>mét</v>
          </cell>
          <cell r="H1042">
            <v>30</v>
          </cell>
          <cell r="I1042">
            <v>0</v>
          </cell>
          <cell r="K1042">
            <v>35541</v>
          </cell>
          <cell r="L1042">
            <v>0</v>
          </cell>
          <cell r="M1042">
            <v>0</v>
          </cell>
          <cell r="N1042">
            <v>0</v>
          </cell>
          <cell r="O1042">
            <v>1066230</v>
          </cell>
          <cell r="P1042">
            <v>0</v>
          </cell>
          <cell r="S1042">
            <v>0</v>
          </cell>
          <cell r="T1042">
            <v>0</v>
          </cell>
        </row>
        <row r="1043">
          <cell r="B1043" t="str">
            <v>LCAPDONGTB95</v>
          </cell>
          <cell r="C1043">
            <v>1</v>
          </cell>
          <cell r="E1043" t="str">
            <v>T4.4201</v>
          </cell>
          <cell r="F1043" t="str">
            <v>Lắp cáp đồng xuống thiết bị D ≤ 95mm2</v>
          </cell>
          <cell r="G1043" t="str">
            <v>m</v>
          </cell>
          <cell r="H1043">
            <v>89</v>
          </cell>
          <cell r="I1043">
            <v>0</v>
          </cell>
          <cell r="K1043">
            <v>11847</v>
          </cell>
          <cell r="L1043">
            <v>0</v>
          </cell>
          <cell r="M1043">
            <v>0</v>
          </cell>
          <cell r="N1043">
            <v>0</v>
          </cell>
          <cell r="O1043">
            <v>1054383</v>
          </cell>
          <cell r="P1043">
            <v>0</v>
          </cell>
          <cell r="S1043">
            <v>0</v>
          </cell>
          <cell r="T1043">
            <v>0</v>
          </cell>
        </row>
        <row r="1044">
          <cell r="B1044" t="str">
            <v>LCAPDONGTB150</v>
          </cell>
          <cell r="C1044">
            <v>1</v>
          </cell>
          <cell r="E1044" t="str">
            <v>T4.4202</v>
          </cell>
          <cell r="F1044" t="str">
            <v>Lắp cáp đồng xuống thiết bị D ≤ 150mm2</v>
          </cell>
          <cell r="G1044" t="str">
            <v>m</v>
          </cell>
          <cell r="H1044">
            <v>180</v>
          </cell>
          <cell r="I1044">
            <v>0</v>
          </cell>
          <cell r="K1044">
            <v>28433</v>
          </cell>
          <cell r="L1044">
            <v>0</v>
          </cell>
          <cell r="M1044">
            <v>0</v>
          </cell>
          <cell r="N1044">
            <v>0</v>
          </cell>
          <cell r="O1044">
            <v>5117940</v>
          </cell>
          <cell r="P1044">
            <v>0</v>
          </cell>
          <cell r="S1044">
            <v>0</v>
          </cell>
          <cell r="T1044">
            <v>0</v>
          </cell>
        </row>
        <row r="1045">
          <cell r="C1045">
            <v>1</v>
          </cell>
          <cell r="D1045">
            <v>8</v>
          </cell>
          <cell r="F1045" t="str">
            <v>Bộ dây dẫn hạ thế lộ lên</v>
          </cell>
          <cell r="G1045" t="str">
            <v>Bộ</v>
          </cell>
          <cell r="H1045">
            <v>10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S1045">
            <v>0</v>
          </cell>
          <cell r="T1045">
            <v>0</v>
          </cell>
        </row>
        <row r="1046">
          <cell r="C1046">
            <v>0</v>
          </cell>
          <cell r="F1046" t="str">
            <v>Gồm có: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S1046">
            <v>0</v>
          </cell>
          <cell r="T1046">
            <v>0</v>
          </cell>
        </row>
        <row r="1047">
          <cell r="B1047" t="str">
            <v>CV70</v>
          </cell>
          <cell r="C1047">
            <v>1</v>
          </cell>
          <cell r="E1047">
            <v>0</v>
          </cell>
          <cell r="F1047" t="str">
            <v>Cáp đồng bọc CV70</v>
          </cell>
          <cell r="G1047" t="str">
            <v>mét</v>
          </cell>
          <cell r="H1047">
            <v>270</v>
          </cell>
          <cell r="I1047">
            <v>124570</v>
          </cell>
          <cell r="K1047">
            <v>0</v>
          </cell>
          <cell r="L1047">
            <v>0</v>
          </cell>
          <cell r="M1047">
            <v>33633900</v>
          </cell>
          <cell r="N1047">
            <v>0</v>
          </cell>
          <cell r="O1047">
            <v>0</v>
          </cell>
          <cell r="P1047">
            <v>0</v>
          </cell>
          <cell r="Q1047" t="str">
            <v>9m*3sợi*2lộ*TBA</v>
          </cell>
          <cell r="S1047">
            <v>0.73899999999999999</v>
          </cell>
          <cell r="T1047">
            <v>199.53</v>
          </cell>
        </row>
        <row r="1048">
          <cell r="B1048" t="str">
            <v>CV50</v>
          </cell>
          <cell r="C1048">
            <v>1</v>
          </cell>
          <cell r="E1048">
            <v>0</v>
          </cell>
          <cell r="F1048" t="str">
            <v>Cáp đồng bọc CV50</v>
          </cell>
          <cell r="G1048" t="str">
            <v>mét</v>
          </cell>
          <cell r="H1048">
            <v>100</v>
          </cell>
          <cell r="I1048">
            <v>90810</v>
          </cell>
          <cell r="K1048">
            <v>0</v>
          </cell>
          <cell r="L1048">
            <v>0</v>
          </cell>
          <cell r="M1048">
            <v>9081000</v>
          </cell>
          <cell r="N1048">
            <v>0</v>
          </cell>
          <cell r="O1048">
            <v>0</v>
          </cell>
          <cell r="P1048">
            <v>0</v>
          </cell>
          <cell r="Q1048" t="str">
            <v>10m*1sợi*2lộ*TBA</v>
          </cell>
          <cell r="S1048">
            <v>0.53400000000000003</v>
          </cell>
          <cell r="T1048">
            <v>53.400000000000006</v>
          </cell>
        </row>
        <row r="1049">
          <cell r="B1049" t="str">
            <v>CV70</v>
          </cell>
          <cell r="C1049">
            <v>1</v>
          </cell>
          <cell r="E1049">
            <v>0</v>
          </cell>
          <cell r="F1049" t="str">
            <v>Cáp đồng bọc CV70 (SDL)</v>
          </cell>
          <cell r="G1049" t="str">
            <v>mét</v>
          </cell>
          <cell r="H1049">
            <v>54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 t="str">
            <v>NN13</v>
          </cell>
          <cell r="S1049">
            <v>0.73899999999999999</v>
          </cell>
          <cell r="T1049">
            <v>39.905999999999999</v>
          </cell>
        </row>
        <row r="1050">
          <cell r="B1050" t="str">
            <v>CV50</v>
          </cell>
          <cell r="C1050">
            <v>1</v>
          </cell>
          <cell r="E1050">
            <v>0</v>
          </cell>
          <cell r="F1050" t="str">
            <v>Cáp đồng bọc CV50 (SDL)</v>
          </cell>
          <cell r="G1050" t="str">
            <v>mét</v>
          </cell>
          <cell r="H1050">
            <v>18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 t="str">
            <v>NN13</v>
          </cell>
          <cell r="S1050">
            <v>0.53400000000000003</v>
          </cell>
          <cell r="T1050">
            <v>9.6120000000000001</v>
          </cell>
        </row>
        <row r="1051">
          <cell r="B1051" t="str">
            <v>COS70</v>
          </cell>
          <cell r="C1051">
            <v>1</v>
          </cell>
          <cell r="E1051">
            <v>0</v>
          </cell>
          <cell r="F1051" t="str">
            <v>Đầu cosse ép Cu 70mm2</v>
          </cell>
          <cell r="G1051" t="str">
            <v>cái</v>
          </cell>
          <cell r="H1051">
            <v>30</v>
          </cell>
          <cell r="I1051">
            <v>34500</v>
          </cell>
          <cell r="K1051">
            <v>0</v>
          </cell>
          <cell r="L1051">
            <v>0</v>
          </cell>
          <cell r="M1051">
            <v>1035000</v>
          </cell>
          <cell r="N1051">
            <v>0</v>
          </cell>
          <cell r="O1051">
            <v>0</v>
          </cell>
          <cell r="P1051">
            <v>0</v>
          </cell>
          <cell r="S1051">
            <v>0.2</v>
          </cell>
          <cell r="T1051">
            <v>6</v>
          </cell>
        </row>
        <row r="1052">
          <cell r="B1052" t="str">
            <v>COS50</v>
          </cell>
          <cell r="C1052">
            <v>1</v>
          </cell>
          <cell r="E1052">
            <v>0</v>
          </cell>
          <cell r="F1052" t="str">
            <v>Đầu cosse ép Cu 50mm2</v>
          </cell>
          <cell r="G1052" t="str">
            <v>cái</v>
          </cell>
          <cell r="H1052">
            <v>10</v>
          </cell>
          <cell r="I1052">
            <v>24000</v>
          </cell>
          <cell r="K1052">
            <v>0</v>
          </cell>
          <cell r="L1052">
            <v>0</v>
          </cell>
          <cell r="M1052">
            <v>240000</v>
          </cell>
          <cell r="N1052">
            <v>0</v>
          </cell>
          <cell r="O1052">
            <v>0</v>
          </cell>
          <cell r="P1052">
            <v>0</v>
          </cell>
          <cell r="S1052">
            <v>0.1</v>
          </cell>
          <cell r="T1052">
            <v>1</v>
          </cell>
        </row>
        <row r="1053">
          <cell r="B1053" t="str">
            <v>CHCOS70</v>
          </cell>
          <cell r="C1053">
            <v>1</v>
          </cell>
          <cell r="E1053">
            <v>0</v>
          </cell>
          <cell r="F1053" t="str">
            <v>Chụp đầu cosse  70mm2</v>
          </cell>
          <cell r="G1053" t="str">
            <v>cái</v>
          </cell>
          <cell r="H1053">
            <v>30</v>
          </cell>
          <cell r="I1053">
            <v>2300</v>
          </cell>
          <cell r="K1053">
            <v>0</v>
          </cell>
          <cell r="L1053">
            <v>0</v>
          </cell>
          <cell r="M1053">
            <v>69000</v>
          </cell>
          <cell r="N1053">
            <v>0</v>
          </cell>
          <cell r="O1053">
            <v>0</v>
          </cell>
          <cell r="P1053">
            <v>0</v>
          </cell>
          <cell r="S1053">
            <v>0</v>
          </cell>
          <cell r="T1053">
            <v>0</v>
          </cell>
        </row>
        <row r="1054">
          <cell r="B1054" t="str">
            <v>CHCOS50</v>
          </cell>
          <cell r="C1054">
            <v>1</v>
          </cell>
          <cell r="E1054">
            <v>0</v>
          </cell>
          <cell r="F1054" t="str">
            <v>Chụp đầu cosse  50mm2</v>
          </cell>
          <cell r="G1054" t="str">
            <v>cái</v>
          </cell>
          <cell r="H1054">
            <v>10</v>
          </cell>
          <cell r="I1054">
            <v>1300</v>
          </cell>
          <cell r="K1054">
            <v>0</v>
          </cell>
          <cell r="L1054">
            <v>0</v>
          </cell>
          <cell r="M1054">
            <v>13000</v>
          </cell>
          <cell r="N1054">
            <v>0</v>
          </cell>
          <cell r="O1054">
            <v>0</v>
          </cell>
          <cell r="P1054">
            <v>0</v>
          </cell>
          <cell r="S1054">
            <v>0</v>
          </cell>
          <cell r="T1054">
            <v>0</v>
          </cell>
        </row>
        <row r="1055">
          <cell r="B1055" t="str">
            <v>PVC90</v>
          </cell>
          <cell r="C1055">
            <v>1</v>
          </cell>
          <cell r="E1055">
            <v>0</v>
          </cell>
          <cell r="F1055" t="str">
            <v xml:space="preserve">Ống PVC D90x3,8mm </v>
          </cell>
          <cell r="G1055" t="str">
            <v>m</v>
          </cell>
          <cell r="H1055">
            <v>60</v>
          </cell>
          <cell r="I1055">
            <v>63200</v>
          </cell>
          <cell r="K1055">
            <v>0</v>
          </cell>
          <cell r="L1055">
            <v>0</v>
          </cell>
          <cell r="M1055">
            <v>3792000</v>
          </cell>
          <cell r="N1055">
            <v>0</v>
          </cell>
          <cell r="O1055">
            <v>0</v>
          </cell>
          <cell r="P1055">
            <v>0</v>
          </cell>
          <cell r="S1055">
            <v>2</v>
          </cell>
          <cell r="T1055">
            <v>120</v>
          </cell>
        </row>
        <row r="1056">
          <cell r="B1056" t="str">
            <v>PVC90</v>
          </cell>
          <cell r="C1056">
            <v>1</v>
          </cell>
          <cell r="E1056">
            <v>0</v>
          </cell>
          <cell r="F1056" t="str">
            <v>Ống PVC D90x3,8mm  (SDL)</v>
          </cell>
          <cell r="G1056" t="str">
            <v>m</v>
          </cell>
          <cell r="H1056">
            <v>12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 t="str">
            <v>NN13</v>
          </cell>
          <cell r="S1056">
            <v>2</v>
          </cell>
          <cell r="T1056">
            <v>24</v>
          </cell>
        </row>
        <row r="1057">
          <cell r="B1057" t="str">
            <v>CD90</v>
          </cell>
          <cell r="C1057">
            <v>1</v>
          </cell>
          <cell r="E1057">
            <v>0</v>
          </cell>
          <cell r="F1057" t="str">
            <v>Cổ dê kẹp ống PVC φ 90 (có giá nới)</v>
          </cell>
          <cell r="G1057" t="str">
            <v>bộ</v>
          </cell>
          <cell r="H1057">
            <v>10</v>
          </cell>
          <cell r="I1057">
            <v>74000</v>
          </cell>
          <cell r="K1057">
            <v>0</v>
          </cell>
          <cell r="L1057">
            <v>0</v>
          </cell>
          <cell r="M1057">
            <v>740000</v>
          </cell>
          <cell r="N1057">
            <v>0</v>
          </cell>
          <cell r="O1057">
            <v>0</v>
          </cell>
          <cell r="P1057">
            <v>0</v>
          </cell>
          <cell r="S1057">
            <v>1.5</v>
          </cell>
          <cell r="T1057">
            <v>15</v>
          </cell>
        </row>
        <row r="1058">
          <cell r="B1058" t="str">
            <v>CD90</v>
          </cell>
          <cell r="C1058">
            <v>1</v>
          </cell>
          <cell r="E1058">
            <v>0</v>
          </cell>
          <cell r="F1058" t="str">
            <v>Cổ dê kẹp ống PVC φ 90 (có giá nới)</v>
          </cell>
          <cell r="G1058" t="str">
            <v>bộ</v>
          </cell>
          <cell r="H1058">
            <v>10</v>
          </cell>
          <cell r="I1058">
            <v>74000</v>
          </cell>
          <cell r="K1058">
            <v>0</v>
          </cell>
          <cell r="L1058">
            <v>0</v>
          </cell>
          <cell r="M1058">
            <v>740000</v>
          </cell>
          <cell r="N1058">
            <v>0</v>
          </cell>
          <cell r="O1058">
            <v>0</v>
          </cell>
          <cell r="P1058">
            <v>0</v>
          </cell>
          <cell r="S1058">
            <v>1.5</v>
          </cell>
          <cell r="T1058">
            <v>15</v>
          </cell>
        </row>
        <row r="1059">
          <cell r="B1059" t="str">
            <v>CD90</v>
          </cell>
          <cell r="C1059">
            <v>1</v>
          </cell>
          <cell r="E1059">
            <v>0</v>
          </cell>
          <cell r="F1059" t="str">
            <v>Cổ dê kẹp ống PVC φ 90 (có giá nới)</v>
          </cell>
          <cell r="G1059" t="str">
            <v>bộ</v>
          </cell>
          <cell r="H1059">
            <v>10</v>
          </cell>
          <cell r="I1059">
            <v>74000</v>
          </cell>
          <cell r="K1059">
            <v>0</v>
          </cell>
          <cell r="L1059">
            <v>0</v>
          </cell>
          <cell r="M1059">
            <v>740000</v>
          </cell>
          <cell r="N1059">
            <v>0</v>
          </cell>
          <cell r="O1059">
            <v>0</v>
          </cell>
          <cell r="P1059">
            <v>0</v>
          </cell>
          <cell r="S1059">
            <v>1.5</v>
          </cell>
          <cell r="T1059">
            <v>15</v>
          </cell>
        </row>
        <row r="1060">
          <cell r="B1060" t="str">
            <v>CUT90T</v>
          </cell>
          <cell r="C1060">
            <v>1</v>
          </cell>
          <cell r="E1060">
            <v>0</v>
          </cell>
          <cell r="F1060" t="str">
            <v>Co  90 độ PVC 90</v>
          </cell>
          <cell r="G1060" t="str">
            <v>cái</v>
          </cell>
          <cell r="H1060">
            <v>30</v>
          </cell>
          <cell r="I1060">
            <v>35200</v>
          </cell>
          <cell r="K1060">
            <v>0</v>
          </cell>
          <cell r="L1060">
            <v>0</v>
          </cell>
          <cell r="M1060">
            <v>1056000</v>
          </cell>
          <cell r="N1060">
            <v>0</v>
          </cell>
          <cell r="O1060">
            <v>0</v>
          </cell>
          <cell r="P1060">
            <v>0</v>
          </cell>
          <cell r="S1060">
            <v>0</v>
          </cell>
          <cell r="T1060">
            <v>0</v>
          </cell>
        </row>
        <row r="1061">
          <cell r="B1061" t="str">
            <v>CUT90135</v>
          </cell>
          <cell r="C1061">
            <v>1</v>
          </cell>
          <cell r="E1061">
            <v>0</v>
          </cell>
          <cell r="F1061" t="str">
            <v>Co 135 độ PVC 90</v>
          </cell>
          <cell r="G1061" t="str">
            <v>cái</v>
          </cell>
          <cell r="H1061">
            <v>10</v>
          </cell>
          <cell r="I1061">
            <v>33900</v>
          </cell>
          <cell r="K1061">
            <v>0</v>
          </cell>
          <cell r="L1061">
            <v>0</v>
          </cell>
          <cell r="M1061">
            <v>339000</v>
          </cell>
          <cell r="N1061">
            <v>0</v>
          </cell>
          <cell r="O1061">
            <v>0</v>
          </cell>
          <cell r="P1061">
            <v>0</v>
          </cell>
          <cell r="S1061">
            <v>0</v>
          </cell>
          <cell r="T1061">
            <v>0</v>
          </cell>
        </row>
        <row r="1062">
          <cell r="B1062" t="str">
            <v>KVRT90</v>
          </cell>
          <cell r="C1062">
            <v>1</v>
          </cell>
          <cell r="E1062">
            <v>0</v>
          </cell>
          <cell r="F1062" t="str">
            <v>Khâu ven răng trong D90</v>
          </cell>
          <cell r="G1062" t="str">
            <v>cái</v>
          </cell>
          <cell r="H1062">
            <v>10</v>
          </cell>
          <cell r="I1062">
            <v>25800</v>
          </cell>
          <cell r="K1062">
            <v>0</v>
          </cell>
          <cell r="L1062">
            <v>0</v>
          </cell>
          <cell r="M1062">
            <v>258000</v>
          </cell>
          <cell r="N1062">
            <v>0</v>
          </cell>
          <cell r="O1062">
            <v>0</v>
          </cell>
          <cell r="P1062">
            <v>0</v>
          </cell>
          <cell r="S1062">
            <v>0</v>
          </cell>
          <cell r="T1062">
            <v>0</v>
          </cell>
        </row>
        <row r="1063">
          <cell r="B1063" t="str">
            <v>KVRN90</v>
          </cell>
          <cell r="C1063">
            <v>1</v>
          </cell>
          <cell r="E1063">
            <v>0</v>
          </cell>
          <cell r="F1063" t="str">
            <v>Khâu ven răng ngoài D90</v>
          </cell>
          <cell r="G1063" t="str">
            <v>cái</v>
          </cell>
          <cell r="H1063">
            <v>10</v>
          </cell>
          <cell r="I1063">
            <v>21500</v>
          </cell>
          <cell r="K1063">
            <v>0</v>
          </cell>
          <cell r="L1063">
            <v>0</v>
          </cell>
          <cell r="M1063">
            <v>215000</v>
          </cell>
          <cell r="N1063">
            <v>0</v>
          </cell>
          <cell r="O1063">
            <v>0</v>
          </cell>
          <cell r="P1063">
            <v>0</v>
          </cell>
          <cell r="S1063">
            <v>0</v>
          </cell>
          <cell r="T1063">
            <v>0</v>
          </cell>
        </row>
        <row r="1064">
          <cell r="B1064" t="str">
            <v>KEODAN</v>
          </cell>
          <cell r="C1064">
            <v>1</v>
          </cell>
          <cell r="E1064">
            <v>0</v>
          </cell>
          <cell r="F1064" t="str">
            <v>Keo dán ống PVC (100gr)</v>
          </cell>
          <cell r="G1064" t="str">
            <v>tuýp</v>
          </cell>
          <cell r="H1064">
            <v>10</v>
          </cell>
          <cell r="I1064">
            <v>11500</v>
          </cell>
          <cell r="K1064">
            <v>0</v>
          </cell>
          <cell r="L1064">
            <v>0</v>
          </cell>
          <cell r="M1064">
            <v>115000</v>
          </cell>
          <cell r="N1064">
            <v>0</v>
          </cell>
          <cell r="O1064">
            <v>0</v>
          </cell>
          <cell r="P1064">
            <v>0</v>
          </cell>
          <cell r="S1064">
            <v>0</v>
          </cell>
          <cell r="T1064">
            <v>0</v>
          </cell>
        </row>
        <row r="1065">
          <cell r="B1065" t="str">
            <v>KEOBIT</v>
          </cell>
          <cell r="C1065">
            <v>1</v>
          </cell>
          <cell r="E1065">
            <v>0</v>
          </cell>
          <cell r="F1065" t="str">
            <v>Keo silicon bít miệng ống</v>
          </cell>
          <cell r="G1065" t="str">
            <v>ống</v>
          </cell>
          <cell r="H1065">
            <v>10</v>
          </cell>
          <cell r="I1065">
            <v>45000</v>
          </cell>
          <cell r="K1065">
            <v>0</v>
          </cell>
          <cell r="L1065">
            <v>0</v>
          </cell>
          <cell r="M1065">
            <v>450000</v>
          </cell>
          <cell r="N1065">
            <v>0</v>
          </cell>
          <cell r="O1065">
            <v>0</v>
          </cell>
          <cell r="P1065">
            <v>0</v>
          </cell>
          <cell r="S1065">
            <v>0</v>
          </cell>
          <cell r="T1065">
            <v>0</v>
          </cell>
        </row>
        <row r="1066">
          <cell r="B1066" t="str">
            <v>BANGKEO</v>
          </cell>
          <cell r="C1066">
            <v>1</v>
          </cell>
          <cell r="E1066">
            <v>0</v>
          </cell>
          <cell r="F1066" t="str">
            <v>Băng keo cách điện (Màu đen)</v>
          </cell>
          <cell r="G1066" t="str">
            <v>cuộn</v>
          </cell>
          <cell r="H1066">
            <v>10</v>
          </cell>
          <cell r="I1066">
            <v>6500</v>
          </cell>
          <cell r="K1066">
            <v>0</v>
          </cell>
          <cell r="L1066">
            <v>0</v>
          </cell>
          <cell r="M1066">
            <v>65000</v>
          </cell>
          <cell r="N1066">
            <v>0</v>
          </cell>
          <cell r="O1066">
            <v>0</v>
          </cell>
          <cell r="P1066">
            <v>0</v>
          </cell>
          <cell r="S1066">
            <v>0</v>
          </cell>
          <cell r="T1066">
            <v>0</v>
          </cell>
        </row>
        <row r="1067">
          <cell r="B1067" t="str">
            <v>LPVC90CL</v>
          </cell>
          <cell r="C1067">
            <v>1</v>
          </cell>
          <cell r="E1067" t="str">
            <v>T4.8003</v>
          </cell>
          <cell r="F1067" t="str">
            <v>Lắp ống nhựa PVC D90</v>
          </cell>
          <cell r="G1067" t="str">
            <v>mét</v>
          </cell>
          <cell r="H1067">
            <v>72</v>
          </cell>
          <cell r="I1067">
            <v>0</v>
          </cell>
          <cell r="K1067">
            <v>35541</v>
          </cell>
          <cell r="L1067">
            <v>0</v>
          </cell>
          <cell r="M1067">
            <v>0</v>
          </cell>
          <cell r="N1067">
            <v>0</v>
          </cell>
          <cell r="O1067">
            <v>2558952</v>
          </cell>
          <cell r="P1067">
            <v>0</v>
          </cell>
          <cell r="S1067">
            <v>0</v>
          </cell>
          <cell r="T1067">
            <v>0</v>
          </cell>
        </row>
        <row r="1068">
          <cell r="B1068" t="str">
            <v>LCAPDONGTB95</v>
          </cell>
          <cell r="C1068">
            <v>1</v>
          </cell>
          <cell r="E1068" t="str">
            <v>T4.4201</v>
          </cell>
          <cell r="F1068" t="str">
            <v>Lắp cáp đồng xuống thiết bị D ≤ 95mm2</v>
          </cell>
          <cell r="G1068" t="str">
            <v>m</v>
          </cell>
          <cell r="H1068">
            <v>442</v>
          </cell>
          <cell r="I1068">
            <v>0</v>
          </cell>
          <cell r="K1068">
            <v>11847</v>
          </cell>
          <cell r="L1068">
            <v>0</v>
          </cell>
          <cell r="M1068">
            <v>0</v>
          </cell>
          <cell r="N1068">
            <v>0</v>
          </cell>
          <cell r="O1068">
            <v>5236374</v>
          </cell>
          <cell r="P1068">
            <v>0</v>
          </cell>
          <cell r="S1068">
            <v>0</v>
          </cell>
          <cell r="T1068">
            <v>0</v>
          </cell>
        </row>
        <row r="1069">
          <cell r="B1069" t="str">
            <v>BANG</v>
          </cell>
          <cell r="C1069">
            <v>1</v>
          </cell>
          <cell r="D1069">
            <v>9</v>
          </cell>
          <cell r="E1069">
            <v>0</v>
          </cell>
          <cell r="F1069" t="str">
            <v>Bảng tên trạm + bulon</v>
          </cell>
          <cell r="G1069" t="str">
            <v>bộ</v>
          </cell>
          <cell r="H1069">
            <v>5</v>
          </cell>
          <cell r="I1069">
            <v>100000</v>
          </cell>
          <cell r="K1069">
            <v>0</v>
          </cell>
          <cell r="L1069">
            <v>0</v>
          </cell>
          <cell r="M1069">
            <v>500000</v>
          </cell>
          <cell r="N1069">
            <v>0</v>
          </cell>
          <cell r="O1069">
            <v>0</v>
          </cell>
          <cell r="P1069">
            <v>0</v>
          </cell>
          <cell r="S1069">
            <v>0</v>
          </cell>
          <cell r="T1069">
            <v>0</v>
          </cell>
        </row>
        <row r="1070">
          <cell r="A1070" t="str">
            <v>TR3X75</v>
          </cell>
          <cell r="C1070">
            <v>1</v>
          </cell>
          <cell r="D1070" t="str">
            <v>III</v>
          </cell>
          <cell r="E1070" t="str">
            <v>1 Trạm NC từ 2x75kVA lên 3x75kVA (Thừa Đức 10)</v>
          </cell>
          <cell r="S1070">
            <v>0</v>
          </cell>
          <cell r="T1070">
            <v>0</v>
          </cell>
        </row>
        <row r="1071">
          <cell r="A1071" t="str">
            <v>TBTR3X75</v>
          </cell>
          <cell r="C1071">
            <v>1</v>
          </cell>
          <cell r="F1071" t="str">
            <v>A.PHẦN THIẾT BỊ</v>
          </cell>
          <cell r="M1071">
            <v>62040000</v>
          </cell>
          <cell r="N1071">
            <v>0</v>
          </cell>
          <cell r="O1071">
            <v>1514822</v>
          </cell>
          <cell r="P1071">
            <v>360605</v>
          </cell>
          <cell r="S1071">
            <v>0</v>
          </cell>
          <cell r="T1071">
            <v>461.1</v>
          </cell>
        </row>
        <row r="1072">
          <cell r="A1072" t="str">
            <v/>
          </cell>
          <cell r="B1072" t="str">
            <v>TR751</v>
          </cell>
          <cell r="C1072">
            <v>1</v>
          </cell>
          <cell r="E1072" t="str">
            <v>T1.1433</v>
          </cell>
          <cell r="F1072" t="str">
            <v>Máy biến áp AMORPHOUS 12,7/0,22-0,44kV 75kVA</v>
          </cell>
          <cell r="G1072" t="str">
            <v>máy</v>
          </cell>
          <cell r="H1072">
            <v>1</v>
          </cell>
          <cell r="I1072">
            <v>58180000</v>
          </cell>
          <cell r="K1072">
            <v>993554</v>
          </cell>
          <cell r="L1072">
            <v>360605</v>
          </cell>
          <cell r="M1072">
            <v>58180000</v>
          </cell>
          <cell r="N1072">
            <v>0</v>
          </cell>
          <cell r="O1072">
            <v>993554</v>
          </cell>
          <cell r="P1072">
            <v>360605</v>
          </cell>
          <cell r="S1072">
            <v>455</v>
          </cell>
          <cell r="T1072">
            <v>455</v>
          </cell>
        </row>
        <row r="1073">
          <cell r="A1073" t="str">
            <v/>
          </cell>
          <cell r="B1073" t="str">
            <v>FCO100</v>
          </cell>
          <cell r="C1073">
            <v>1</v>
          </cell>
          <cell r="E1073" t="str">
            <v>T2.3505</v>
          </cell>
          <cell r="F1073" t="str">
            <v>FCO 27kV - 100A</v>
          </cell>
          <cell r="G1073" t="str">
            <v>cái</v>
          </cell>
          <cell r="H1073">
            <v>2</v>
          </cell>
          <cell r="I1073">
            <v>1020000</v>
          </cell>
          <cell r="K1073">
            <v>189552</v>
          </cell>
          <cell r="L1073">
            <v>0</v>
          </cell>
          <cell r="M1073">
            <v>2040000</v>
          </cell>
          <cell r="N1073">
            <v>0</v>
          </cell>
          <cell r="O1073">
            <v>379104</v>
          </cell>
          <cell r="P1073">
            <v>0</v>
          </cell>
          <cell r="S1073">
            <v>1.5</v>
          </cell>
          <cell r="T1073">
            <v>3</v>
          </cell>
        </row>
        <row r="1074">
          <cell r="A1074" t="str">
            <v/>
          </cell>
          <cell r="B1074" t="str">
            <v>LA18</v>
          </cell>
          <cell r="C1074">
            <v>1</v>
          </cell>
          <cell r="E1074" t="str">
            <v>T2.5004</v>
          </cell>
          <cell r="F1074" t="str">
            <v>LA 18kV 10kA</v>
          </cell>
          <cell r="G1074" t="str">
            <v>cái</v>
          </cell>
          <cell r="H1074">
            <v>2</v>
          </cell>
          <cell r="I1074">
            <v>910000</v>
          </cell>
          <cell r="K1074">
            <v>71082</v>
          </cell>
          <cell r="L1074">
            <v>0</v>
          </cell>
          <cell r="M1074">
            <v>1820000</v>
          </cell>
          <cell r="N1074">
            <v>0</v>
          </cell>
          <cell r="O1074">
            <v>142164</v>
          </cell>
          <cell r="P1074">
            <v>0</v>
          </cell>
          <cell r="S1074">
            <v>0.8</v>
          </cell>
          <cell r="T1074">
            <v>1.6</v>
          </cell>
        </row>
        <row r="1075">
          <cell r="A1075" t="str">
            <v/>
          </cell>
          <cell r="B1075" t="str">
            <v>ATM400</v>
          </cell>
          <cell r="C1075">
            <v>0</v>
          </cell>
          <cell r="E1075" t="str">
            <v>T2.8405</v>
          </cell>
          <cell r="F1075" t="str">
            <v>MCCB 3 cực 400V - 400A - 42KA (250-400A)</v>
          </cell>
          <cell r="G1075" t="str">
            <v>cái</v>
          </cell>
          <cell r="H1075">
            <v>0</v>
          </cell>
          <cell r="I1075">
            <v>5540000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S1075">
            <v>3</v>
          </cell>
          <cell r="T1075">
            <v>0</v>
          </cell>
        </row>
        <row r="1076">
          <cell r="A1076" t="str">
            <v/>
          </cell>
          <cell r="B1076" t="str">
            <v>TI300</v>
          </cell>
          <cell r="C1076">
            <v>1</v>
          </cell>
          <cell r="E1076">
            <v>0</v>
          </cell>
          <cell r="F1076" t="str">
            <v xml:space="preserve">Biến dòng 600V - 300/5A </v>
          </cell>
          <cell r="G1076" t="str">
            <v>cái</v>
          </cell>
          <cell r="H1076">
            <v>3</v>
          </cell>
          <cell r="I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S1076">
            <v>0</v>
          </cell>
          <cell r="T1076">
            <v>0</v>
          </cell>
        </row>
        <row r="1077">
          <cell r="A1077" t="str">
            <v/>
          </cell>
          <cell r="B1077" t="str">
            <v>DK3p5A</v>
          </cell>
          <cell r="C1077">
            <v>1</v>
          </cell>
          <cell r="E1077">
            <v>0</v>
          </cell>
          <cell r="F1077" t="str">
            <v>Điện kế 3 pha 4 dây 220/380V-5A</v>
          </cell>
          <cell r="G1077" t="str">
            <v>cái</v>
          </cell>
          <cell r="H1077">
            <v>1</v>
          </cell>
          <cell r="I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S1077">
            <v>1.5</v>
          </cell>
          <cell r="T1077">
            <v>1.5</v>
          </cell>
        </row>
        <row r="1078">
          <cell r="A1078" t="str">
            <v>VLTR3X75</v>
          </cell>
          <cell r="C1078">
            <v>1</v>
          </cell>
          <cell r="F1078" t="str">
            <v>B. PHẦN VẬT LIỆU</v>
          </cell>
          <cell r="M1078">
            <v>30226046.240000002</v>
          </cell>
          <cell r="N1078">
            <v>0</v>
          </cell>
          <cell r="O1078">
            <v>4842535.7119999994</v>
          </cell>
          <cell r="P1078">
            <v>0</v>
          </cell>
          <cell r="S1078">
            <v>0</v>
          </cell>
          <cell r="T1078">
            <v>319.30599999999998</v>
          </cell>
        </row>
        <row r="1079">
          <cell r="C1079">
            <v>1</v>
          </cell>
          <cell r="D1079">
            <v>1</v>
          </cell>
          <cell r="F1079" t="str">
            <v>Vật liệu bảo vệ thiết bị</v>
          </cell>
          <cell r="G1079" t="str">
            <v>Bộ</v>
          </cell>
          <cell r="H1079">
            <v>1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S1079">
            <v>0</v>
          </cell>
          <cell r="T1079">
            <v>0</v>
          </cell>
        </row>
        <row r="1080">
          <cell r="A1080" t="str">
            <v/>
          </cell>
          <cell r="B1080" t="str">
            <v>CHI12K</v>
          </cell>
          <cell r="C1080">
            <v>1</v>
          </cell>
          <cell r="E1080">
            <v>0</v>
          </cell>
          <cell r="F1080" t="str">
            <v>Dây chảy 12K</v>
          </cell>
          <cell r="G1080" t="str">
            <v>Sợi</v>
          </cell>
          <cell r="H1080">
            <v>2</v>
          </cell>
          <cell r="I1080">
            <v>95000</v>
          </cell>
          <cell r="K1080">
            <v>0</v>
          </cell>
          <cell r="L1080">
            <v>0</v>
          </cell>
          <cell r="M1080">
            <v>190000</v>
          </cell>
          <cell r="N1080">
            <v>0</v>
          </cell>
          <cell r="O1080">
            <v>0</v>
          </cell>
          <cell r="P1080">
            <v>0</v>
          </cell>
          <cell r="S1080">
            <v>0</v>
          </cell>
          <cell r="T1080">
            <v>0</v>
          </cell>
        </row>
        <row r="1081">
          <cell r="A1081" t="str">
            <v/>
          </cell>
          <cell r="B1081" t="str">
            <v>CHUPFCO</v>
          </cell>
          <cell r="C1081">
            <v>1</v>
          </cell>
          <cell r="E1081">
            <v>0</v>
          </cell>
          <cell r="F1081" t="str">
            <v>Chụp đầu FCO (Trên + Dưới)</v>
          </cell>
          <cell r="G1081" t="str">
            <v>bộ</v>
          </cell>
          <cell r="H1081">
            <v>2</v>
          </cell>
          <cell r="I1081">
            <v>190000</v>
          </cell>
          <cell r="K1081">
            <v>0</v>
          </cell>
          <cell r="L1081">
            <v>0</v>
          </cell>
          <cell r="M1081">
            <v>380000</v>
          </cell>
          <cell r="N1081">
            <v>0</v>
          </cell>
          <cell r="O1081">
            <v>0</v>
          </cell>
          <cell r="P1081">
            <v>0</v>
          </cell>
          <cell r="S1081">
            <v>0</v>
          </cell>
          <cell r="T1081">
            <v>0</v>
          </cell>
        </row>
        <row r="1082">
          <cell r="A1082" t="str">
            <v/>
          </cell>
          <cell r="B1082" t="str">
            <v>CHUPLA</v>
          </cell>
          <cell r="C1082">
            <v>1</v>
          </cell>
          <cell r="E1082">
            <v>0</v>
          </cell>
          <cell r="F1082" t="str">
            <v>Chụp đầu LA</v>
          </cell>
          <cell r="G1082" t="str">
            <v>cái</v>
          </cell>
          <cell r="H1082">
            <v>2</v>
          </cell>
          <cell r="I1082">
            <v>32000</v>
          </cell>
          <cell r="K1082">
            <v>0</v>
          </cell>
          <cell r="L1082">
            <v>0</v>
          </cell>
          <cell r="M1082">
            <v>64000</v>
          </cell>
          <cell r="N1082">
            <v>0</v>
          </cell>
          <cell r="O1082">
            <v>0</v>
          </cell>
          <cell r="P1082">
            <v>0</v>
          </cell>
          <cell r="S1082">
            <v>0</v>
          </cell>
          <cell r="T1082">
            <v>0</v>
          </cell>
        </row>
        <row r="1083">
          <cell r="A1083" t="str">
            <v/>
          </cell>
          <cell r="B1083" t="str">
            <v>CHUPMBA</v>
          </cell>
          <cell r="C1083">
            <v>1</v>
          </cell>
          <cell r="E1083">
            <v>0</v>
          </cell>
          <cell r="F1083" t="str">
            <v>Chụp đầu cực MBA</v>
          </cell>
          <cell r="G1083" t="str">
            <v>cái</v>
          </cell>
          <cell r="H1083">
            <v>1</v>
          </cell>
          <cell r="I1083">
            <v>52000</v>
          </cell>
          <cell r="K1083">
            <v>0</v>
          </cell>
          <cell r="L1083">
            <v>0</v>
          </cell>
          <cell r="M1083">
            <v>52000</v>
          </cell>
          <cell r="N1083">
            <v>0</v>
          </cell>
          <cell r="O1083">
            <v>0</v>
          </cell>
          <cell r="P1083">
            <v>0</v>
          </cell>
          <cell r="S1083">
            <v>0</v>
          </cell>
          <cell r="T1083">
            <v>0</v>
          </cell>
        </row>
        <row r="1084">
          <cell r="A1084" t="str">
            <v/>
          </cell>
          <cell r="C1084">
            <v>1</v>
          </cell>
          <cell r="D1084">
            <v>2</v>
          </cell>
          <cell r="F1084" t="str">
            <v>Đà Composite bắt LA, FCO</v>
          </cell>
          <cell r="G1084" t="str">
            <v>Bộ</v>
          </cell>
          <cell r="H1084">
            <v>1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S1084">
            <v>0</v>
          </cell>
          <cell r="T1084">
            <v>0</v>
          </cell>
        </row>
        <row r="1085">
          <cell r="A1085" t="str">
            <v/>
          </cell>
          <cell r="C1085">
            <v>0</v>
          </cell>
          <cell r="F1085" t="str">
            <v>Gồm có: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S1085">
            <v>0</v>
          </cell>
          <cell r="T1085">
            <v>0</v>
          </cell>
        </row>
        <row r="1086">
          <cell r="A1086" t="str">
            <v/>
          </cell>
          <cell r="B1086" t="str">
            <v>COM2400</v>
          </cell>
          <cell r="C1086">
            <v>1</v>
          </cell>
          <cell r="E1086">
            <v>0</v>
          </cell>
          <cell r="F1086" t="str">
            <v>Đà hộp composite 110x80x5-2400</v>
          </cell>
          <cell r="G1086" t="str">
            <v>cái</v>
          </cell>
          <cell r="H1086">
            <v>1</v>
          </cell>
          <cell r="I1086">
            <v>1100000</v>
          </cell>
          <cell r="K1086">
            <v>0</v>
          </cell>
          <cell r="L1086">
            <v>0</v>
          </cell>
          <cell r="M1086">
            <v>1100000</v>
          </cell>
          <cell r="N1086">
            <v>0</v>
          </cell>
          <cell r="O1086">
            <v>0</v>
          </cell>
          <cell r="P1086">
            <v>0</v>
          </cell>
          <cell r="S1086">
            <v>9.6</v>
          </cell>
          <cell r="T1086">
            <v>9.6</v>
          </cell>
        </row>
        <row r="1087">
          <cell r="A1087" t="str">
            <v/>
          </cell>
          <cell r="B1087" t="str">
            <v>CCOM2400</v>
          </cell>
          <cell r="C1087">
            <v>1</v>
          </cell>
          <cell r="E1087">
            <v>0</v>
          </cell>
          <cell r="F1087" t="str">
            <v>Thanh chống Composite dẹp 10x40x920</v>
          </cell>
          <cell r="G1087" t="str">
            <v>cái</v>
          </cell>
          <cell r="H1087">
            <v>2</v>
          </cell>
          <cell r="I1087">
            <v>132000</v>
          </cell>
          <cell r="K1087">
            <v>0</v>
          </cell>
          <cell r="L1087">
            <v>0</v>
          </cell>
          <cell r="M1087">
            <v>264000</v>
          </cell>
          <cell r="N1087">
            <v>0</v>
          </cell>
          <cell r="O1087">
            <v>0</v>
          </cell>
          <cell r="P1087">
            <v>0</v>
          </cell>
          <cell r="S1087">
            <v>0.7</v>
          </cell>
          <cell r="T1087">
            <v>1.4</v>
          </cell>
        </row>
        <row r="1088">
          <cell r="A1088" t="str">
            <v/>
          </cell>
          <cell r="B1088" t="str">
            <v>BATLL</v>
          </cell>
          <cell r="C1088">
            <v>1</v>
          </cell>
          <cell r="E1088">
            <v>0</v>
          </cell>
          <cell r="F1088" t="str">
            <v>Bass LL bắt FCO và LA</v>
          </cell>
          <cell r="G1088" t="str">
            <v>bộ</v>
          </cell>
          <cell r="H1088">
            <v>3</v>
          </cell>
          <cell r="I1088">
            <v>65000</v>
          </cell>
          <cell r="K1088">
            <v>0</v>
          </cell>
          <cell r="L1088">
            <v>0</v>
          </cell>
          <cell r="M1088">
            <v>195000</v>
          </cell>
          <cell r="N1088">
            <v>0</v>
          </cell>
          <cell r="O1088">
            <v>0</v>
          </cell>
          <cell r="P1088">
            <v>0</v>
          </cell>
          <cell r="S1088">
            <v>0.5</v>
          </cell>
          <cell r="T1088">
            <v>1.5</v>
          </cell>
        </row>
        <row r="1089">
          <cell r="A1089" t="str">
            <v/>
          </cell>
          <cell r="B1089" t="str">
            <v>B16350</v>
          </cell>
          <cell r="C1089">
            <v>1</v>
          </cell>
          <cell r="E1089">
            <v>0</v>
          </cell>
          <cell r="F1089" t="str">
            <v>Boulon 16x350+ 2 long đền vuông D18-50x50x3/Zn</v>
          </cell>
          <cell r="G1089" t="str">
            <v>bộ</v>
          </cell>
          <cell r="H1089">
            <v>1</v>
          </cell>
          <cell r="I1089">
            <v>32500</v>
          </cell>
          <cell r="K1089">
            <v>0</v>
          </cell>
          <cell r="L1089">
            <v>0</v>
          </cell>
          <cell r="M1089">
            <v>32500</v>
          </cell>
          <cell r="N1089">
            <v>0</v>
          </cell>
          <cell r="O1089">
            <v>0</v>
          </cell>
          <cell r="P1089">
            <v>0</v>
          </cell>
          <cell r="S1089">
            <v>0.3</v>
          </cell>
          <cell r="T1089">
            <v>0.3</v>
          </cell>
        </row>
        <row r="1090">
          <cell r="A1090" t="str">
            <v/>
          </cell>
          <cell r="B1090" t="str">
            <v>B16300</v>
          </cell>
          <cell r="C1090">
            <v>1</v>
          </cell>
          <cell r="E1090">
            <v>0</v>
          </cell>
          <cell r="F1090" t="str">
            <v>Boulon 16x300+ 2 long đền vuông D18-50x50x3/Zn</v>
          </cell>
          <cell r="G1090" t="str">
            <v>bộ</v>
          </cell>
          <cell r="H1090">
            <v>1</v>
          </cell>
          <cell r="I1090">
            <v>30000</v>
          </cell>
          <cell r="K1090">
            <v>0</v>
          </cell>
          <cell r="L1090">
            <v>0</v>
          </cell>
          <cell r="M1090">
            <v>30000</v>
          </cell>
          <cell r="N1090">
            <v>0</v>
          </cell>
          <cell r="O1090">
            <v>0</v>
          </cell>
          <cell r="P1090">
            <v>0</v>
          </cell>
          <cell r="S1090">
            <v>0.25</v>
          </cell>
          <cell r="T1090">
            <v>0.25</v>
          </cell>
        </row>
        <row r="1091">
          <cell r="A1091" t="str">
            <v/>
          </cell>
          <cell r="B1091" t="str">
            <v>B14120</v>
          </cell>
          <cell r="C1091">
            <v>1</v>
          </cell>
          <cell r="E1091">
            <v>0</v>
          </cell>
          <cell r="F1091" t="str">
            <v>Boulon 14x120+ 2 long đền vuông D16-50x50x3/Zn</v>
          </cell>
          <cell r="G1091" t="str">
            <v>bộ</v>
          </cell>
          <cell r="H1091">
            <v>2</v>
          </cell>
          <cell r="I1091">
            <v>20000</v>
          </cell>
          <cell r="K1091">
            <v>0</v>
          </cell>
          <cell r="L1091">
            <v>0</v>
          </cell>
          <cell r="M1091">
            <v>40000</v>
          </cell>
          <cell r="N1091">
            <v>0</v>
          </cell>
          <cell r="O1091">
            <v>0</v>
          </cell>
          <cell r="P1091">
            <v>0</v>
          </cell>
          <cell r="S1091">
            <v>0.2</v>
          </cell>
          <cell r="T1091">
            <v>0.4</v>
          </cell>
        </row>
        <row r="1092">
          <cell r="A1092" t="str">
            <v/>
          </cell>
          <cell r="B1092" t="str">
            <v>LCOM2400</v>
          </cell>
          <cell r="C1092">
            <v>1</v>
          </cell>
          <cell r="E1092" t="str">
            <v>D2.6011</v>
          </cell>
          <cell r="F1092" t="str">
            <v>Lắp đà composite 2400mm đơn</v>
          </cell>
          <cell r="G1092" t="str">
            <v>bộ</v>
          </cell>
          <cell r="H1092">
            <v>1</v>
          </cell>
          <cell r="I1092">
            <v>0</v>
          </cell>
          <cell r="K1092">
            <v>167950</v>
          </cell>
          <cell r="L1092">
            <v>0</v>
          </cell>
          <cell r="M1092">
            <v>0</v>
          </cell>
          <cell r="N1092">
            <v>0</v>
          </cell>
          <cell r="O1092">
            <v>167950</v>
          </cell>
          <cell r="P1092">
            <v>0</v>
          </cell>
          <cell r="S1092">
            <v>0</v>
          </cell>
          <cell r="T1092">
            <v>0</v>
          </cell>
        </row>
        <row r="1093">
          <cell r="A1093" t="str">
            <v/>
          </cell>
          <cell r="C1093">
            <v>1</v>
          </cell>
          <cell r="D1093">
            <v>3</v>
          </cell>
          <cell r="F1093" t="str">
            <v>Giá chùm treo 3 MBT</v>
          </cell>
          <cell r="G1093" t="str">
            <v>Bộ</v>
          </cell>
          <cell r="H1093">
            <v>1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S1093">
            <v>0</v>
          </cell>
          <cell r="T1093">
            <v>0</v>
          </cell>
        </row>
        <row r="1094">
          <cell r="A1094" t="str">
            <v/>
          </cell>
          <cell r="C1094">
            <v>0</v>
          </cell>
          <cell r="F1094" t="str">
            <v>Gồm có: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S1094">
            <v>0</v>
          </cell>
          <cell r="T1094">
            <v>0</v>
          </cell>
        </row>
        <row r="1095">
          <cell r="A1095" t="str">
            <v/>
          </cell>
          <cell r="B1095" t="str">
            <v>GTMBA</v>
          </cell>
          <cell r="C1095">
            <v>1</v>
          </cell>
          <cell r="E1095" t="str">
            <v>T4.9302</v>
          </cell>
          <cell r="F1095" t="str">
            <v>Giá chùm treo máy biến áp 3x75</v>
          </cell>
          <cell r="G1095" t="str">
            <v>Bộ</v>
          </cell>
          <cell r="H1095">
            <v>1</v>
          </cell>
          <cell r="I1095">
            <v>2580000</v>
          </cell>
          <cell r="K1095">
            <v>139062.31200000001</v>
          </cell>
          <cell r="L1095">
            <v>0</v>
          </cell>
          <cell r="M1095">
            <v>2580000</v>
          </cell>
          <cell r="N1095">
            <v>0</v>
          </cell>
          <cell r="O1095">
            <v>139062.31200000001</v>
          </cell>
          <cell r="P1095">
            <v>0</v>
          </cell>
          <cell r="S1095">
            <v>51</v>
          </cell>
          <cell r="T1095">
            <v>51</v>
          </cell>
        </row>
        <row r="1096">
          <cell r="A1096" t="str">
            <v/>
          </cell>
          <cell r="B1096" t="str">
            <v>B16350</v>
          </cell>
          <cell r="C1096">
            <v>1</v>
          </cell>
          <cell r="E1096">
            <v>0</v>
          </cell>
          <cell r="F1096" t="str">
            <v>Boulon 16x350+ 2 long đền vuông D18-50x50x3/Zn</v>
          </cell>
          <cell r="G1096" t="str">
            <v>bộ</v>
          </cell>
          <cell r="H1096">
            <v>2</v>
          </cell>
          <cell r="I1096">
            <v>32500</v>
          </cell>
          <cell r="K1096">
            <v>0</v>
          </cell>
          <cell r="L1096">
            <v>0</v>
          </cell>
          <cell r="M1096">
            <v>65000</v>
          </cell>
          <cell r="N1096">
            <v>0</v>
          </cell>
          <cell r="O1096">
            <v>0</v>
          </cell>
          <cell r="P1096">
            <v>0</v>
          </cell>
          <cell r="S1096">
            <v>0.3</v>
          </cell>
          <cell r="T1096">
            <v>0.6</v>
          </cell>
        </row>
        <row r="1097">
          <cell r="A1097" t="str">
            <v/>
          </cell>
          <cell r="B1097" t="str">
            <v>B1650</v>
          </cell>
          <cell r="C1097">
            <v>1</v>
          </cell>
          <cell r="E1097">
            <v>0</v>
          </cell>
          <cell r="F1097" t="str">
            <v>Boulon 16x50+ 2 long đền vuông D18-50x50x3/Zn</v>
          </cell>
          <cell r="G1097" t="str">
            <v>bộ</v>
          </cell>
          <cell r="H1097">
            <v>6</v>
          </cell>
          <cell r="I1097">
            <v>17000</v>
          </cell>
          <cell r="K1097">
            <v>0</v>
          </cell>
          <cell r="L1097">
            <v>0</v>
          </cell>
          <cell r="M1097">
            <v>102000</v>
          </cell>
          <cell r="N1097">
            <v>0</v>
          </cell>
          <cell r="O1097">
            <v>0</v>
          </cell>
          <cell r="P1097">
            <v>0</v>
          </cell>
          <cell r="S1097">
            <v>0.25</v>
          </cell>
          <cell r="T1097">
            <v>1.5</v>
          </cell>
        </row>
        <row r="1098">
          <cell r="A1098" t="str">
            <v/>
          </cell>
          <cell r="C1098">
            <v>1</v>
          </cell>
          <cell r="D1098">
            <v>4</v>
          </cell>
          <cell r="F1098" t="str">
            <v>Bộ tiếp địa Trạm 3 pha</v>
          </cell>
          <cell r="G1098" t="str">
            <v>Bộ</v>
          </cell>
          <cell r="H1098">
            <v>1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S1098">
            <v>0</v>
          </cell>
          <cell r="T1098">
            <v>0</v>
          </cell>
        </row>
        <row r="1099">
          <cell r="A1099" t="str">
            <v/>
          </cell>
          <cell r="C1099">
            <v>0</v>
          </cell>
          <cell r="F1099" t="str">
            <v>Gồm có: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S1099">
            <v>0</v>
          </cell>
          <cell r="T1099">
            <v>0</v>
          </cell>
        </row>
        <row r="1100">
          <cell r="A1100" t="str">
            <v/>
          </cell>
          <cell r="B1100" t="str">
            <v>M25</v>
          </cell>
          <cell r="C1100">
            <v>1</v>
          </cell>
          <cell r="E1100">
            <v>0</v>
          </cell>
          <cell r="F1100" t="str">
            <v>Cáp đồng trần M25mm2 (52 mét/trạm)</v>
          </cell>
          <cell r="G1100" t="str">
            <v>kg</v>
          </cell>
          <cell r="H1100">
            <v>11.648</v>
          </cell>
          <cell r="I1100">
            <v>191630</v>
          </cell>
          <cell r="K1100">
            <v>0</v>
          </cell>
          <cell r="L1100">
            <v>0</v>
          </cell>
          <cell r="M1100">
            <v>2232106.2399999998</v>
          </cell>
          <cell r="N1100">
            <v>0</v>
          </cell>
          <cell r="O1100">
            <v>0</v>
          </cell>
          <cell r="P1100">
            <v>0</v>
          </cell>
          <cell r="S1100">
            <v>1</v>
          </cell>
          <cell r="T1100">
            <v>11.648</v>
          </cell>
        </row>
        <row r="1101">
          <cell r="A1101" t="str">
            <v/>
          </cell>
          <cell r="B1101" t="str">
            <v>CTD</v>
          </cell>
          <cell r="C1101">
            <v>1</v>
          </cell>
          <cell r="E1101">
            <v>0</v>
          </cell>
          <cell r="F1101" t="str">
            <v>Cọc tiếp đất φ16 - 2,4m mạ Cu 16 micrômét</v>
          </cell>
          <cell r="G1101" t="str">
            <v>cọc</v>
          </cell>
          <cell r="H1101">
            <v>9</v>
          </cell>
          <cell r="I1101">
            <v>130000</v>
          </cell>
          <cell r="K1101">
            <v>0</v>
          </cell>
          <cell r="L1101">
            <v>0</v>
          </cell>
          <cell r="M1101">
            <v>1170000</v>
          </cell>
          <cell r="N1101">
            <v>0</v>
          </cell>
          <cell r="O1101">
            <v>0</v>
          </cell>
          <cell r="P1101">
            <v>0</v>
          </cell>
          <cell r="S1101">
            <v>5.3</v>
          </cell>
          <cell r="T1101">
            <v>47.699999999999996</v>
          </cell>
        </row>
        <row r="1102">
          <cell r="A1102" t="str">
            <v/>
          </cell>
          <cell r="B1102" t="str">
            <v>KC</v>
          </cell>
          <cell r="C1102">
            <v>1</v>
          </cell>
          <cell r="E1102">
            <v>0</v>
          </cell>
          <cell r="F1102" t="str">
            <v>Kẹp cọc tiếp địa Cu loại lớn</v>
          </cell>
          <cell r="G1102" t="str">
            <v>bộ</v>
          </cell>
          <cell r="H1102">
            <v>9</v>
          </cell>
          <cell r="I1102">
            <v>25000</v>
          </cell>
          <cell r="K1102">
            <v>0</v>
          </cell>
          <cell r="L1102">
            <v>0</v>
          </cell>
          <cell r="M1102">
            <v>225000</v>
          </cell>
          <cell r="N1102">
            <v>0</v>
          </cell>
          <cell r="O1102">
            <v>0</v>
          </cell>
          <cell r="P1102">
            <v>0</v>
          </cell>
          <cell r="S1102">
            <v>0.05</v>
          </cell>
          <cell r="T1102">
            <v>0.45</v>
          </cell>
        </row>
        <row r="1103">
          <cell r="A1103" t="str">
            <v/>
          </cell>
          <cell r="B1103" t="str">
            <v>OXC38</v>
          </cell>
          <cell r="C1103">
            <v>1</v>
          </cell>
          <cell r="E1103">
            <v>0</v>
          </cell>
          <cell r="F1103" t="str">
            <v xml:space="preserve">Ốc xiết cáp cỡ 38mm2 </v>
          </cell>
          <cell r="G1103" t="str">
            <v>cái</v>
          </cell>
          <cell r="H1103">
            <v>6</v>
          </cell>
          <cell r="I1103">
            <v>17000</v>
          </cell>
          <cell r="K1103">
            <v>0</v>
          </cell>
          <cell r="L1103">
            <v>0</v>
          </cell>
          <cell r="M1103">
            <v>102000</v>
          </cell>
          <cell r="N1103">
            <v>0</v>
          </cell>
          <cell r="O1103">
            <v>0</v>
          </cell>
          <cell r="P1103">
            <v>0</v>
          </cell>
          <cell r="S1103">
            <v>0</v>
          </cell>
          <cell r="T1103">
            <v>0</v>
          </cell>
        </row>
        <row r="1104">
          <cell r="A1104" t="str">
            <v/>
          </cell>
          <cell r="B1104" t="str">
            <v>KE50</v>
          </cell>
          <cell r="C1104">
            <v>1</v>
          </cell>
          <cell r="E1104">
            <v>0</v>
          </cell>
          <cell r="F1104" t="str">
            <v>Kẹp ép WR cỡ dây 50mm2</v>
          </cell>
          <cell r="G1104" t="str">
            <v>cái</v>
          </cell>
          <cell r="H1104">
            <v>2</v>
          </cell>
          <cell r="I1104">
            <v>8500</v>
          </cell>
          <cell r="K1104">
            <v>0</v>
          </cell>
          <cell r="L1104">
            <v>0</v>
          </cell>
          <cell r="M1104">
            <v>17000</v>
          </cell>
          <cell r="N1104">
            <v>0</v>
          </cell>
          <cell r="O1104">
            <v>0</v>
          </cell>
          <cell r="P1104">
            <v>0</v>
          </cell>
          <cell r="S1104">
            <v>0.2</v>
          </cell>
          <cell r="T1104">
            <v>0.4</v>
          </cell>
        </row>
        <row r="1105">
          <cell r="A1105" t="str">
            <v/>
          </cell>
          <cell r="B1105" t="str">
            <v>KTDTBA</v>
          </cell>
          <cell r="C1105">
            <v>1</v>
          </cell>
          <cell r="E1105" t="str">
            <v>T4.7001</v>
          </cell>
          <cell r="F1105" t="str">
            <v>Kéo dây tiếp địa trong TBA</v>
          </cell>
          <cell r="G1105" t="str">
            <v>mét</v>
          </cell>
          <cell r="H1105">
            <v>52</v>
          </cell>
          <cell r="I1105">
            <v>0</v>
          </cell>
          <cell r="K1105">
            <v>6871</v>
          </cell>
          <cell r="L1105">
            <v>0</v>
          </cell>
          <cell r="M1105">
            <v>0</v>
          </cell>
          <cell r="N1105">
            <v>0</v>
          </cell>
          <cell r="O1105">
            <v>357292</v>
          </cell>
          <cell r="P1105">
            <v>0</v>
          </cell>
          <cell r="S1105">
            <v>0</v>
          </cell>
          <cell r="T1105">
            <v>0</v>
          </cell>
        </row>
        <row r="1106">
          <cell r="A1106" t="str">
            <v/>
          </cell>
          <cell r="B1106" t="str">
            <v>DCTDTBA</v>
          </cell>
          <cell r="C1106">
            <v>1</v>
          </cell>
          <cell r="E1106" t="str">
            <v>D2.8103</v>
          </cell>
          <cell r="F1106" t="str">
            <v>Đóng cọc tiếp địa trong TBA (đất cấp 3)</v>
          </cell>
          <cell r="G1106" t="str">
            <v>cọc</v>
          </cell>
          <cell r="H1106">
            <v>9</v>
          </cell>
          <cell r="I1106">
            <v>0</v>
          </cell>
          <cell r="K1106">
            <v>76928</v>
          </cell>
          <cell r="L1106">
            <v>0</v>
          </cell>
          <cell r="M1106">
            <v>0</v>
          </cell>
          <cell r="N1106">
            <v>0</v>
          </cell>
          <cell r="O1106">
            <v>692352</v>
          </cell>
          <cell r="P1106">
            <v>0</v>
          </cell>
          <cell r="S1106">
            <v>0</v>
          </cell>
          <cell r="T1106">
            <v>0</v>
          </cell>
        </row>
        <row r="1107">
          <cell r="A1107" t="str">
            <v/>
          </cell>
          <cell r="B1107" t="str">
            <v>DTD3</v>
          </cell>
          <cell r="C1107">
            <v>1</v>
          </cell>
          <cell r="E1107" t="str">
            <v>AB.11513</v>
          </cell>
          <cell r="F1107" t="str">
            <v>Đào rãnh tiếp địa đất cấp 3</v>
          </cell>
          <cell r="G1107" t="str">
            <v>m3</v>
          </cell>
          <cell r="H1107">
            <v>2.4</v>
          </cell>
          <cell r="I1107">
            <v>0</v>
          </cell>
          <cell r="K1107">
            <v>241580</v>
          </cell>
          <cell r="L1107">
            <v>0</v>
          </cell>
          <cell r="M1107">
            <v>0</v>
          </cell>
          <cell r="N1107">
            <v>0</v>
          </cell>
          <cell r="O1107">
            <v>579792</v>
          </cell>
          <cell r="P1107">
            <v>0</v>
          </cell>
          <cell r="S1107">
            <v>0</v>
          </cell>
          <cell r="T1107">
            <v>0</v>
          </cell>
        </row>
        <row r="1108">
          <cell r="A1108" t="str">
            <v/>
          </cell>
          <cell r="B1108" t="str">
            <v>DATD3</v>
          </cell>
          <cell r="C1108">
            <v>1</v>
          </cell>
          <cell r="E1108" t="str">
            <v>AB.13111</v>
          </cell>
          <cell r="F1108" t="str">
            <v>Đắp đất rãnh tiếp địa (K=0,85)</v>
          </cell>
          <cell r="G1108" t="str">
            <v>m3</v>
          </cell>
          <cell r="H1108">
            <v>2.4</v>
          </cell>
          <cell r="I1108">
            <v>0</v>
          </cell>
          <cell r="K1108">
            <v>100211</v>
          </cell>
          <cell r="L1108">
            <v>0</v>
          </cell>
          <cell r="M1108">
            <v>0</v>
          </cell>
          <cell r="N1108">
            <v>0</v>
          </cell>
          <cell r="O1108">
            <v>240506.4</v>
          </cell>
          <cell r="P1108">
            <v>0</v>
          </cell>
          <cell r="S1108">
            <v>0</v>
          </cell>
          <cell r="T1108">
            <v>0</v>
          </cell>
        </row>
        <row r="1109">
          <cell r="A1109" t="str">
            <v/>
          </cell>
          <cell r="C1109">
            <v>0</v>
          </cell>
          <cell r="D1109">
            <v>4</v>
          </cell>
          <cell r="F1109" t="str">
            <v>Tủ điện trạm treo 1 pha</v>
          </cell>
          <cell r="G1109" t="str">
            <v>Bộ</v>
          </cell>
          <cell r="H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S1109">
            <v>0</v>
          </cell>
          <cell r="T1109">
            <v>0</v>
          </cell>
        </row>
        <row r="1110">
          <cell r="A1110" t="str">
            <v/>
          </cell>
          <cell r="C1110">
            <v>0</v>
          </cell>
          <cell r="F1110" t="str">
            <v>Gồm có: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S1110">
            <v>0</v>
          </cell>
          <cell r="T1110">
            <v>0</v>
          </cell>
        </row>
        <row r="1111">
          <cell r="A1111" t="str">
            <v/>
          </cell>
          <cell r="B1111" t="str">
            <v>TUAP3</v>
          </cell>
          <cell r="C1111">
            <v>0</v>
          </cell>
          <cell r="E1111" t="str">
            <v>T5.1002</v>
          </cell>
          <cell r="F1111" t="str">
            <v>Tủ trạm treo + khóa + boulon + Bakelit + Collier (3 pha)</v>
          </cell>
          <cell r="G1111" t="str">
            <v>cái</v>
          </cell>
          <cell r="H1111">
            <v>0</v>
          </cell>
          <cell r="I1111">
            <v>3484174</v>
          </cell>
          <cell r="K1111">
            <v>966199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S1111">
            <v>45</v>
          </cell>
          <cell r="T1111">
            <v>0</v>
          </cell>
        </row>
        <row r="1112">
          <cell r="C1112">
            <v>1</v>
          </cell>
          <cell r="D1112">
            <v>5</v>
          </cell>
          <cell r="F1112" t="str">
            <v>Bộ dây dẫn trung thế trạm 1 pha</v>
          </cell>
          <cell r="G1112" t="str">
            <v>Bộ</v>
          </cell>
          <cell r="H1112">
            <v>1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S1112">
            <v>0</v>
          </cell>
          <cell r="T1112">
            <v>0</v>
          </cell>
        </row>
        <row r="1113">
          <cell r="C1113">
            <v>0</v>
          </cell>
          <cell r="F1113" t="str">
            <v>Gồm có: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S1113">
            <v>0</v>
          </cell>
          <cell r="T1113">
            <v>0</v>
          </cell>
        </row>
        <row r="1114">
          <cell r="B1114" t="str">
            <v>CXV25</v>
          </cell>
          <cell r="C1114">
            <v>1</v>
          </cell>
          <cell r="E1114">
            <v>0</v>
          </cell>
          <cell r="F1114" t="str">
            <v>Cáp 24KV C/XLPE/PVC 25mm2</v>
          </cell>
          <cell r="G1114" t="str">
            <v>mét</v>
          </cell>
          <cell r="H1114">
            <v>12</v>
          </cell>
          <cell r="I1114">
            <v>69890</v>
          </cell>
          <cell r="K1114">
            <v>0</v>
          </cell>
          <cell r="L1114">
            <v>0</v>
          </cell>
          <cell r="M1114">
            <v>838680</v>
          </cell>
          <cell r="N1114">
            <v>0</v>
          </cell>
          <cell r="O1114">
            <v>0</v>
          </cell>
          <cell r="P1114">
            <v>0</v>
          </cell>
          <cell r="S1114">
            <v>0.75</v>
          </cell>
          <cell r="T1114">
            <v>9</v>
          </cell>
        </row>
        <row r="1115">
          <cell r="B1115" t="str">
            <v>KQ4</v>
          </cell>
          <cell r="C1115">
            <v>1</v>
          </cell>
          <cell r="E1115">
            <v>0</v>
          </cell>
          <cell r="F1115" t="str">
            <v>Kẹp quai 4/0 (quai đồng 8mm)</v>
          </cell>
          <cell r="G1115" t="str">
            <v>cái</v>
          </cell>
          <cell r="H1115">
            <v>2</v>
          </cell>
          <cell r="I1115">
            <v>63000</v>
          </cell>
          <cell r="K1115">
            <v>0</v>
          </cell>
          <cell r="L1115">
            <v>0</v>
          </cell>
          <cell r="M1115">
            <v>126000</v>
          </cell>
          <cell r="N1115">
            <v>0</v>
          </cell>
          <cell r="O1115">
            <v>0</v>
          </cell>
          <cell r="P1115">
            <v>0</v>
          </cell>
          <cell r="S1115">
            <v>0.3</v>
          </cell>
          <cell r="T1115">
            <v>0.6</v>
          </cell>
        </row>
        <row r="1116">
          <cell r="B1116" t="str">
            <v>CKQ</v>
          </cell>
          <cell r="C1116">
            <v>1</v>
          </cell>
          <cell r="E1116">
            <v>0</v>
          </cell>
          <cell r="F1116" t="str">
            <v>Chụp cách điện kẹp quai</v>
          </cell>
          <cell r="G1116" t="str">
            <v>cái</v>
          </cell>
          <cell r="H1116">
            <v>2</v>
          </cell>
          <cell r="I1116">
            <v>122000</v>
          </cell>
          <cell r="K1116">
            <v>0</v>
          </cell>
          <cell r="L1116">
            <v>0</v>
          </cell>
          <cell r="M1116">
            <v>244000</v>
          </cell>
          <cell r="N1116">
            <v>0</v>
          </cell>
          <cell r="O1116">
            <v>0</v>
          </cell>
          <cell r="P1116">
            <v>0</v>
          </cell>
          <cell r="S1116">
            <v>0.2</v>
          </cell>
          <cell r="T1116">
            <v>0.4</v>
          </cell>
        </row>
        <row r="1117">
          <cell r="B1117" t="str">
            <v>HL2</v>
          </cell>
          <cell r="C1117">
            <v>1</v>
          </cell>
          <cell r="E1117">
            <v>0</v>
          </cell>
          <cell r="F1117" t="str">
            <v>Kẹp hotline 2/0</v>
          </cell>
          <cell r="G1117" t="str">
            <v>cái</v>
          </cell>
          <cell r="H1117">
            <v>2</v>
          </cell>
          <cell r="I1117">
            <v>68000</v>
          </cell>
          <cell r="K1117">
            <v>0</v>
          </cell>
          <cell r="L1117">
            <v>0</v>
          </cell>
          <cell r="M1117">
            <v>136000</v>
          </cell>
          <cell r="N1117">
            <v>0</v>
          </cell>
          <cell r="O1117">
            <v>0</v>
          </cell>
          <cell r="P1117">
            <v>0</v>
          </cell>
          <cell r="S1117">
            <v>0.1</v>
          </cell>
          <cell r="T1117">
            <v>0.2</v>
          </cell>
        </row>
        <row r="1118">
          <cell r="B1118" t="str">
            <v>LCAPDONGTB95</v>
          </cell>
          <cell r="C1118">
            <v>1</v>
          </cell>
          <cell r="E1118" t="str">
            <v>T4.4201</v>
          </cell>
          <cell r="F1118" t="str">
            <v>Lắp cáp đồng xuống thiết bị D ≤ 95mm2</v>
          </cell>
          <cell r="G1118" t="str">
            <v>m</v>
          </cell>
          <cell r="H1118">
            <v>12</v>
          </cell>
          <cell r="I1118">
            <v>0</v>
          </cell>
          <cell r="K1118">
            <v>11847</v>
          </cell>
          <cell r="L1118">
            <v>0</v>
          </cell>
          <cell r="M1118">
            <v>0</v>
          </cell>
          <cell r="N1118">
            <v>0</v>
          </cell>
          <cell r="O1118">
            <v>142164</v>
          </cell>
          <cell r="P1118">
            <v>0</v>
          </cell>
          <cell r="S1118">
            <v>0</v>
          </cell>
          <cell r="T1118">
            <v>0</v>
          </cell>
        </row>
        <row r="1119">
          <cell r="C1119">
            <v>1</v>
          </cell>
          <cell r="D1119">
            <v>6</v>
          </cell>
          <cell r="F1119" t="str">
            <v>Bộ dây dẫn hạ thế lộ xuống (thay ống luồn cáp xuất)</v>
          </cell>
          <cell r="G1119" t="str">
            <v>Bộ</v>
          </cell>
          <cell r="H1119">
            <v>1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S1119">
            <v>0</v>
          </cell>
          <cell r="T1119">
            <v>0</v>
          </cell>
        </row>
        <row r="1120">
          <cell r="C1120">
            <v>0</v>
          </cell>
          <cell r="F1120" t="str">
            <v>Gồm có: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S1120">
            <v>0</v>
          </cell>
          <cell r="T1120">
            <v>0</v>
          </cell>
        </row>
        <row r="1121">
          <cell r="B1121" t="str">
            <v>CV150</v>
          </cell>
          <cell r="C1121">
            <v>1</v>
          </cell>
          <cell r="E1121">
            <v>0</v>
          </cell>
          <cell r="F1121" t="str">
            <v>Cáp đồng bọc CV150</v>
          </cell>
          <cell r="G1121" t="str">
            <v>mét</v>
          </cell>
          <cell r="H1121">
            <v>30</v>
          </cell>
          <cell r="I1121">
            <v>274250</v>
          </cell>
          <cell r="K1121">
            <v>0</v>
          </cell>
          <cell r="L1121">
            <v>0</v>
          </cell>
          <cell r="M1121">
            <v>8227500</v>
          </cell>
          <cell r="N1121">
            <v>0</v>
          </cell>
          <cell r="O1121">
            <v>0</v>
          </cell>
          <cell r="P1121">
            <v>0</v>
          </cell>
          <cell r="S1121">
            <v>1.5980000000000001</v>
          </cell>
          <cell r="T1121">
            <v>47.940000000000005</v>
          </cell>
        </row>
        <row r="1122">
          <cell r="B1122" t="str">
            <v>CV95</v>
          </cell>
          <cell r="C1122">
            <v>1</v>
          </cell>
          <cell r="E1122">
            <v>0</v>
          </cell>
          <cell r="F1122" t="str">
            <v>Cáp đồng bọc CV95</v>
          </cell>
          <cell r="G1122" t="str">
            <v>mét</v>
          </cell>
          <cell r="H1122">
            <v>15</v>
          </cell>
          <cell r="I1122">
            <v>170620</v>
          </cell>
          <cell r="K1122">
            <v>0</v>
          </cell>
          <cell r="L1122">
            <v>0</v>
          </cell>
          <cell r="M1122">
            <v>2559300</v>
          </cell>
          <cell r="N1122">
            <v>0</v>
          </cell>
          <cell r="O1122">
            <v>0</v>
          </cell>
          <cell r="P1122">
            <v>0</v>
          </cell>
          <cell r="S1122">
            <v>1.008</v>
          </cell>
          <cell r="T1122">
            <v>15.120000000000001</v>
          </cell>
        </row>
        <row r="1123">
          <cell r="B1123" t="str">
            <v>CVV4X4</v>
          </cell>
          <cell r="C1123">
            <v>1</v>
          </cell>
          <cell r="E1123">
            <v>0</v>
          </cell>
          <cell r="F1123" t="str">
            <v>Cáp điều khiển CVV 4x4,0mm2</v>
          </cell>
          <cell r="G1123" t="str">
            <v>mét</v>
          </cell>
          <cell r="H1123">
            <v>3</v>
          </cell>
          <cell r="I1123">
            <v>56700</v>
          </cell>
          <cell r="K1123">
            <v>0</v>
          </cell>
          <cell r="L1123">
            <v>0</v>
          </cell>
          <cell r="M1123">
            <v>170100</v>
          </cell>
          <cell r="N1123">
            <v>0</v>
          </cell>
          <cell r="O1123">
            <v>0</v>
          </cell>
          <cell r="P1123">
            <v>0</v>
          </cell>
          <cell r="S1123">
            <v>3.024</v>
          </cell>
          <cell r="T1123">
            <v>9.0719999999999992</v>
          </cell>
        </row>
        <row r="1124">
          <cell r="B1124" t="str">
            <v>COS150</v>
          </cell>
          <cell r="C1124">
            <v>1</v>
          </cell>
          <cell r="E1124">
            <v>0</v>
          </cell>
          <cell r="F1124" t="str">
            <v>Đầu cosse ép Cu 150mm2</v>
          </cell>
          <cell r="G1124" t="str">
            <v>cái</v>
          </cell>
          <cell r="H1124">
            <v>2</v>
          </cell>
          <cell r="I1124">
            <v>94500</v>
          </cell>
          <cell r="K1124">
            <v>0</v>
          </cell>
          <cell r="L1124">
            <v>0</v>
          </cell>
          <cell r="M1124">
            <v>189000</v>
          </cell>
          <cell r="N1124">
            <v>0</v>
          </cell>
          <cell r="O1124">
            <v>0</v>
          </cell>
          <cell r="P1124">
            <v>0</v>
          </cell>
          <cell r="S1124">
            <v>0.2</v>
          </cell>
          <cell r="T1124">
            <v>0.4</v>
          </cell>
        </row>
        <row r="1125">
          <cell r="B1125" t="str">
            <v>COS95</v>
          </cell>
          <cell r="C1125">
            <v>1</v>
          </cell>
          <cell r="E1125">
            <v>0</v>
          </cell>
          <cell r="F1125" t="str">
            <v>Đầu cosse ép Cu 95mm2</v>
          </cell>
          <cell r="G1125" t="str">
            <v>cái</v>
          </cell>
          <cell r="H1125">
            <v>1</v>
          </cell>
          <cell r="I1125">
            <v>47500</v>
          </cell>
          <cell r="K1125">
            <v>0</v>
          </cell>
          <cell r="L1125">
            <v>0</v>
          </cell>
          <cell r="M1125">
            <v>47500</v>
          </cell>
          <cell r="N1125">
            <v>0</v>
          </cell>
          <cell r="O1125">
            <v>0</v>
          </cell>
          <cell r="P1125">
            <v>0</v>
          </cell>
          <cell r="S1125">
            <v>0.2</v>
          </cell>
          <cell r="T1125">
            <v>0.2</v>
          </cell>
        </row>
        <row r="1126">
          <cell r="B1126" t="str">
            <v>CHCOS150</v>
          </cell>
          <cell r="C1126">
            <v>1</v>
          </cell>
          <cell r="E1126">
            <v>0</v>
          </cell>
          <cell r="F1126" t="str">
            <v>Chụp đầu cosse  150mm2</v>
          </cell>
          <cell r="G1126" t="str">
            <v>cái</v>
          </cell>
          <cell r="H1126">
            <v>2</v>
          </cell>
          <cell r="I1126">
            <v>4600</v>
          </cell>
          <cell r="K1126">
            <v>0</v>
          </cell>
          <cell r="L1126">
            <v>0</v>
          </cell>
          <cell r="M1126">
            <v>9200</v>
          </cell>
          <cell r="N1126">
            <v>0</v>
          </cell>
          <cell r="O1126">
            <v>0</v>
          </cell>
          <cell r="P1126">
            <v>0</v>
          </cell>
          <cell r="S1126">
            <v>0</v>
          </cell>
          <cell r="T1126">
            <v>0</v>
          </cell>
        </row>
        <row r="1127">
          <cell r="B1127" t="str">
            <v>CHCOS95</v>
          </cell>
          <cell r="C1127">
            <v>1</v>
          </cell>
          <cell r="E1127">
            <v>0</v>
          </cell>
          <cell r="F1127" t="str">
            <v>Chụp đầu cosse  95mm2</v>
          </cell>
          <cell r="G1127" t="str">
            <v>cái</v>
          </cell>
          <cell r="H1127">
            <v>1</v>
          </cell>
          <cell r="I1127">
            <v>3300</v>
          </cell>
          <cell r="K1127">
            <v>0</v>
          </cell>
          <cell r="L1127">
            <v>0</v>
          </cell>
          <cell r="M1127">
            <v>3300</v>
          </cell>
          <cell r="N1127">
            <v>0</v>
          </cell>
          <cell r="O1127">
            <v>0</v>
          </cell>
          <cell r="P1127">
            <v>0</v>
          </cell>
          <cell r="S1127">
            <v>0</v>
          </cell>
          <cell r="T1127">
            <v>0</v>
          </cell>
        </row>
        <row r="1128">
          <cell r="B1128" t="str">
            <v>PVC114</v>
          </cell>
          <cell r="C1128">
            <v>1</v>
          </cell>
          <cell r="E1128">
            <v>0</v>
          </cell>
          <cell r="F1128" t="str">
            <v xml:space="preserve">Ống PVC D114x4,9mm </v>
          </cell>
          <cell r="G1128" t="str">
            <v>m</v>
          </cell>
          <cell r="H1128">
            <v>6</v>
          </cell>
          <cell r="I1128">
            <v>103700</v>
          </cell>
          <cell r="K1128">
            <v>0</v>
          </cell>
          <cell r="L1128">
            <v>0</v>
          </cell>
          <cell r="M1128">
            <v>622200</v>
          </cell>
          <cell r="N1128">
            <v>0</v>
          </cell>
          <cell r="O1128">
            <v>0</v>
          </cell>
          <cell r="P1128">
            <v>0</v>
          </cell>
          <cell r="S1128">
            <v>2</v>
          </cell>
          <cell r="T1128">
            <v>12</v>
          </cell>
        </row>
        <row r="1129">
          <cell r="B1129" t="str">
            <v>CD114</v>
          </cell>
          <cell r="C1129">
            <v>1</v>
          </cell>
          <cell r="F1129" t="str">
            <v>Cổ dê kẹp ống PVC φ 114 (có giá nới) (CD: 230)</v>
          </cell>
          <cell r="G1129" t="str">
            <v>bộ</v>
          </cell>
          <cell r="H1129">
            <v>1</v>
          </cell>
          <cell r="I1129">
            <v>74000</v>
          </cell>
          <cell r="L1129">
            <v>0</v>
          </cell>
          <cell r="M1129">
            <v>74000</v>
          </cell>
          <cell r="N1129">
            <v>0</v>
          </cell>
          <cell r="O1129">
            <v>0</v>
          </cell>
          <cell r="P1129">
            <v>0</v>
          </cell>
          <cell r="S1129">
            <v>1.5</v>
          </cell>
          <cell r="T1129">
            <v>1.5</v>
          </cell>
        </row>
        <row r="1130">
          <cell r="B1130" t="str">
            <v>CD114</v>
          </cell>
          <cell r="C1130">
            <v>1</v>
          </cell>
          <cell r="F1130" t="str">
            <v>Cổ dê kẹp ống PVC φ 114 (có giá nới) (CD: 250)</v>
          </cell>
          <cell r="G1130" t="str">
            <v>bộ</v>
          </cell>
          <cell r="H1130">
            <v>1</v>
          </cell>
          <cell r="I1130">
            <v>74000</v>
          </cell>
          <cell r="L1130">
            <v>0</v>
          </cell>
          <cell r="M1130">
            <v>74000</v>
          </cell>
          <cell r="N1130">
            <v>0</v>
          </cell>
          <cell r="O1130">
            <v>0</v>
          </cell>
          <cell r="P1130">
            <v>0</v>
          </cell>
          <cell r="S1130">
            <v>1.5</v>
          </cell>
          <cell r="T1130">
            <v>1.5</v>
          </cell>
        </row>
        <row r="1131">
          <cell r="B1131" t="str">
            <v>CD114</v>
          </cell>
          <cell r="C1131">
            <v>1</v>
          </cell>
          <cell r="F1131" t="str">
            <v>Cổ dê kẹp ống PVC φ 114 (có giá nới) (CD: 280)</v>
          </cell>
          <cell r="G1131" t="str">
            <v>bộ</v>
          </cell>
          <cell r="H1131">
            <v>1</v>
          </cell>
          <cell r="I1131">
            <v>74000</v>
          </cell>
          <cell r="L1131">
            <v>0</v>
          </cell>
          <cell r="M1131">
            <v>74000</v>
          </cell>
          <cell r="N1131">
            <v>0</v>
          </cell>
          <cell r="O1131">
            <v>0</v>
          </cell>
          <cell r="P1131">
            <v>0</v>
          </cell>
          <cell r="S1131">
            <v>1.5</v>
          </cell>
          <cell r="T1131">
            <v>1.5</v>
          </cell>
        </row>
        <row r="1132">
          <cell r="B1132" t="str">
            <v>CUT114TD</v>
          </cell>
          <cell r="C1132">
            <v>1</v>
          </cell>
          <cell r="E1132">
            <v>0</v>
          </cell>
          <cell r="F1132" t="str">
            <v>Co  90 độ PVC 114 (Loại dày)</v>
          </cell>
          <cell r="G1132" t="str">
            <v>cái</v>
          </cell>
          <cell r="H1132">
            <v>1</v>
          </cell>
          <cell r="I1132">
            <v>104800</v>
          </cell>
          <cell r="K1132">
            <v>0</v>
          </cell>
          <cell r="L1132">
            <v>0</v>
          </cell>
          <cell r="M1132">
            <v>104800</v>
          </cell>
          <cell r="N1132">
            <v>0</v>
          </cell>
          <cell r="O1132">
            <v>0</v>
          </cell>
          <cell r="P1132">
            <v>0</v>
          </cell>
          <cell r="S1132">
            <v>0</v>
          </cell>
          <cell r="T1132">
            <v>0</v>
          </cell>
        </row>
        <row r="1133">
          <cell r="B1133" t="str">
            <v>CUT114135</v>
          </cell>
          <cell r="C1133">
            <v>1</v>
          </cell>
          <cell r="E1133">
            <v>0</v>
          </cell>
          <cell r="F1133" t="str">
            <v>Co 135 độ PVC 114</v>
          </cell>
          <cell r="G1133" t="str">
            <v>cái</v>
          </cell>
          <cell r="H1133">
            <v>1</v>
          </cell>
          <cell r="I1133">
            <v>70800</v>
          </cell>
          <cell r="K1133">
            <v>0</v>
          </cell>
          <cell r="L1133">
            <v>0</v>
          </cell>
          <cell r="M1133">
            <v>70800</v>
          </cell>
          <cell r="N1133">
            <v>0</v>
          </cell>
          <cell r="O1133">
            <v>0</v>
          </cell>
          <cell r="P1133">
            <v>0</v>
          </cell>
          <cell r="S1133">
            <v>0</v>
          </cell>
          <cell r="T1133">
            <v>0</v>
          </cell>
        </row>
        <row r="1134">
          <cell r="B1134" t="str">
            <v>KEODAN</v>
          </cell>
          <cell r="C1134">
            <v>1</v>
          </cell>
          <cell r="E1134">
            <v>0</v>
          </cell>
          <cell r="F1134" t="str">
            <v>Keo dán ống PVC (100gr)</v>
          </cell>
          <cell r="G1134" t="str">
            <v>tuýp</v>
          </cell>
          <cell r="H1134">
            <v>1</v>
          </cell>
          <cell r="I1134">
            <v>11500</v>
          </cell>
          <cell r="K1134">
            <v>0</v>
          </cell>
          <cell r="L1134">
            <v>0</v>
          </cell>
          <cell r="M1134">
            <v>11500</v>
          </cell>
          <cell r="N1134">
            <v>0</v>
          </cell>
          <cell r="O1134">
            <v>0</v>
          </cell>
          <cell r="P1134">
            <v>0</v>
          </cell>
          <cell r="S1134">
            <v>0</v>
          </cell>
          <cell r="T1134">
            <v>0</v>
          </cell>
        </row>
        <row r="1135">
          <cell r="B1135" t="str">
            <v>KEOBIT</v>
          </cell>
          <cell r="C1135">
            <v>1</v>
          </cell>
          <cell r="E1135">
            <v>0</v>
          </cell>
          <cell r="F1135" t="str">
            <v>Keo silicon bít miệng ống</v>
          </cell>
          <cell r="G1135" t="str">
            <v>ống</v>
          </cell>
          <cell r="H1135">
            <v>1</v>
          </cell>
          <cell r="I1135">
            <v>45000</v>
          </cell>
          <cell r="K1135">
            <v>0</v>
          </cell>
          <cell r="L1135">
            <v>0</v>
          </cell>
          <cell r="M1135">
            <v>45000</v>
          </cell>
          <cell r="N1135">
            <v>0</v>
          </cell>
          <cell r="O1135">
            <v>0</v>
          </cell>
          <cell r="P1135">
            <v>0</v>
          </cell>
          <cell r="S1135">
            <v>0</v>
          </cell>
          <cell r="T1135">
            <v>0</v>
          </cell>
        </row>
        <row r="1136">
          <cell r="B1136" t="str">
            <v>BANGKEO</v>
          </cell>
          <cell r="C1136">
            <v>1</v>
          </cell>
          <cell r="E1136">
            <v>0</v>
          </cell>
          <cell r="F1136" t="str">
            <v>Băng keo cách điện (Màu đen)</v>
          </cell>
          <cell r="G1136" t="str">
            <v>cuộn</v>
          </cell>
          <cell r="H1136">
            <v>1</v>
          </cell>
          <cell r="I1136">
            <v>6500</v>
          </cell>
          <cell r="K1136">
            <v>0</v>
          </cell>
          <cell r="L1136">
            <v>0</v>
          </cell>
          <cell r="M1136">
            <v>6500</v>
          </cell>
          <cell r="N1136">
            <v>0</v>
          </cell>
          <cell r="O1136">
            <v>0</v>
          </cell>
          <cell r="P1136">
            <v>0</v>
          </cell>
          <cell r="S1136">
            <v>0</v>
          </cell>
          <cell r="T1136">
            <v>0</v>
          </cell>
        </row>
        <row r="1137">
          <cell r="B1137" t="str">
            <v>LPVC114CL</v>
          </cell>
          <cell r="C1137">
            <v>1</v>
          </cell>
          <cell r="E1137" t="str">
            <v>T4.8003</v>
          </cell>
          <cell r="F1137" t="str">
            <v>Lắp ống nhựa PVC D114</v>
          </cell>
          <cell r="G1137" t="str">
            <v>mét</v>
          </cell>
          <cell r="H1137">
            <v>6</v>
          </cell>
          <cell r="I1137">
            <v>0</v>
          </cell>
          <cell r="K1137">
            <v>35541</v>
          </cell>
          <cell r="L1137">
            <v>0</v>
          </cell>
          <cell r="M1137">
            <v>0</v>
          </cell>
          <cell r="N1137">
            <v>0</v>
          </cell>
          <cell r="O1137">
            <v>213246</v>
          </cell>
          <cell r="P1137">
            <v>0</v>
          </cell>
          <cell r="S1137">
            <v>0</v>
          </cell>
          <cell r="T1137">
            <v>0</v>
          </cell>
        </row>
        <row r="1138">
          <cell r="B1138" t="str">
            <v>LCAPDONGTB95</v>
          </cell>
          <cell r="C1138">
            <v>1</v>
          </cell>
          <cell r="E1138" t="str">
            <v>T4.4201</v>
          </cell>
          <cell r="F1138" t="str">
            <v>Lắp cáp đồng xuống thiết bị D ≤ 95mm2</v>
          </cell>
          <cell r="G1138" t="str">
            <v>m</v>
          </cell>
          <cell r="H1138">
            <v>15</v>
          </cell>
          <cell r="I1138">
            <v>0</v>
          </cell>
          <cell r="K1138">
            <v>11847</v>
          </cell>
          <cell r="L1138">
            <v>0</v>
          </cell>
          <cell r="M1138">
            <v>0</v>
          </cell>
          <cell r="N1138">
            <v>0</v>
          </cell>
          <cell r="O1138">
            <v>177705</v>
          </cell>
          <cell r="P1138">
            <v>0</v>
          </cell>
          <cell r="S1138">
            <v>0</v>
          </cell>
          <cell r="T1138">
            <v>0</v>
          </cell>
        </row>
        <row r="1139">
          <cell r="B1139" t="str">
            <v>LCAPDONGTB150</v>
          </cell>
          <cell r="C1139">
            <v>1</v>
          </cell>
          <cell r="E1139" t="str">
            <v>T4.4202</v>
          </cell>
          <cell r="F1139" t="str">
            <v>Lắp cáp đồng xuống thiết bị D ≤ 150mm2</v>
          </cell>
          <cell r="G1139" t="str">
            <v>m</v>
          </cell>
          <cell r="H1139">
            <v>30</v>
          </cell>
          <cell r="I1139">
            <v>0</v>
          </cell>
          <cell r="K1139">
            <v>28433</v>
          </cell>
          <cell r="L1139">
            <v>0</v>
          </cell>
          <cell r="M1139">
            <v>0</v>
          </cell>
          <cell r="N1139">
            <v>0</v>
          </cell>
          <cell r="O1139">
            <v>852990</v>
          </cell>
          <cell r="P1139">
            <v>0</v>
          </cell>
          <cell r="S1139">
            <v>0</v>
          </cell>
          <cell r="T1139">
            <v>0</v>
          </cell>
        </row>
        <row r="1140">
          <cell r="C1140">
            <v>1</v>
          </cell>
          <cell r="D1140">
            <v>7</v>
          </cell>
          <cell r="F1140" t="str">
            <v>Bộ dây dẫn hạ thế lộ lên (thay ống luồn cáp xuất)</v>
          </cell>
          <cell r="G1140" t="str">
            <v>Bộ</v>
          </cell>
          <cell r="H1140">
            <v>2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S1140">
            <v>0</v>
          </cell>
          <cell r="T1140">
            <v>0</v>
          </cell>
        </row>
        <row r="1141">
          <cell r="C1141">
            <v>0</v>
          </cell>
          <cell r="F1141" t="str">
            <v>Gồm có: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S1141">
            <v>0</v>
          </cell>
          <cell r="T1141">
            <v>0</v>
          </cell>
        </row>
        <row r="1142">
          <cell r="B1142" t="str">
            <v>CV95</v>
          </cell>
          <cell r="C1142">
            <v>1</v>
          </cell>
          <cell r="E1142">
            <v>0</v>
          </cell>
          <cell r="F1142" t="str">
            <v>Cáp đồng bọc CV95 (SDL)</v>
          </cell>
          <cell r="G1142" t="str">
            <v>mét</v>
          </cell>
          <cell r="H1142">
            <v>18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S1142">
            <v>1.008</v>
          </cell>
          <cell r="T1142">
            <v>18.143999999999998</v>
          </cell>
        </row>
        <row r="1143">
          <cell r="B1143" t="str">
            <v>CV70</v>
          </cell>
          <cell r="C1143">
            <v>1</v>
          </cell>
          <cell r="E1143">
            <v>0</v>
          </cell>
          <cell r="F1143" t="str">
            <v>Cáp đồng bọc CV70 (SDL)</v>
          </cell>
          <cell r="G1143" t="str">
            <v>mét</v>
          </cell>
          <cell r="H1143">
            <v>9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S1143">
            <v>0.73899999999999999</v>
          </cell>
          <cell r="T1143">
            <v>6.6509999999999998</v>
          </cell>
        </row>
        <row r="1144">
          <cell r="B1144" t="str">
            <v>CV95</v>
          </cell>
          <cell r="C1144">
            <v>1</v>
          </cell>
          <cell r="E1144">
            <v>0</v>
          </cell>
          <cell r="F1144" t="str">
            <v>Cáp đồng bọc CV95</v>
          </cell>
          <cell r="G1144" t="str">
            <v>mét</v>
          </cell>
          <cell r="H1144">
            <v>9</v>
          </cell>
          <cell r="I1144">
            <v>170620</v>
          </cell>
          <cell r="K1144">
            <v>0</v>
          </cell>
          <cell r="L1144">
            <v>0</v>
          </cell>
          <cell r="M1144">
            <v>1535580</v>
          </cell>
          <cell r="N1144">
            <v>0</v>
          </cell>
          <cell r="O1144">
            <v>0</v>
          </cell>
          <cell r="P1144">
            <v>0</v>
          </cell>
          <cell r="S1144">
            <v>1.008</v>
          </cell>
          <cell r="T1144">
            <v>9.0719999999999992</v>
          </cell>
        </row>
        <row r="1145">
          <cell r="B1145" t="str">
            <v>CV70</v>
          </cell>
          <cell r="C1145">
            <v>1</v>
          </cell>
          <cell r="E1145">
            <v>0</v>
          </cell>
          <cell r="F1145" t="str">
            <v>Cáp đồng bọc CV70</v>
          </cell>
          <cell r="G1145" t="str">
            <v>mét</v>
          </cell>
          <cell r="H1145">
            <v>27</v>
          </cell>
          <cell r="I1145">
            <v>124570</v>
          </cell>
          <cell r="K1145">
            <v>0</v>
          </cell>
          <cell r="L1145">
            <v>0</v>
          </cell>
          <cell r="M1145">
            <v>3363390</v>
          </cell>
          <cell r="N1145">
            <v>0</v>
          </cell>
          <cell r="O1145">
            <v>0</v>
          </cell>
          <cell r="P1145">
            <v>0</v>
          </cell>
          <cell r="S1145">
            <v>0.73899999999999999</v>
          </cell>
          <cell r="T1145">
            <v>19.952999999999999</v>
          </cell>
        </row>
        <row r="1146">
          <cell r="B1146" t="str">
            <v>CV50</v>
          </cell>
          <cell r="C1146">
            <v>1</v>
          </cell>
          <cell r="E1146">
            <v>0</v>
          </cell>
          <cell r="F1146" t="str">
            <v>Cáp đồng bọc CV50</v>
          </cell>
          <cell r="G1146" t="str">
            <v>mét</v>
          </cell>
          <cell r="H1146">
            <v>9</v>
          </cell>
          <cell r="I1146">
            <v>90810</v>
          </cell>
          <cell r="K1146">
            <v>0</v>
          </cell>
          <cell r="L1146">
            <v>0</v>
          </cell>
          <cell r="M1146">
            <v>817290</v>
          </cell>
          <cell r="N1146">
            <v>0</v>
          </cell>
          <cell r="O1146">
            <v>0</v>
          </cell>
          <cell r="P1146">
            <v>0</v>
          </cell>
          <cell r="S1146">
            <v>0.53400000000000003</v>
          </cell>
          <cell r="T1146">
            <v>4.806</v>
          </cell>
        </row>
        <row r="1147">
          <cell r="B1147" t="str">
            <v>COS95</v>
          </cell>
          <cell r="C1147">
            <v>1</v>
          </cell>
          <cell r="E1147">
            <v>0</v>
          </cell>
          <cell r="F1147" t="str">
            <v>Đầu cosse ép Cu 95mm2</v>
          </cell>
          <cell r="G1147" t="str">
            <v>cái</v>
          </cell>
          <cell r="H1147">
            <v>3</v>
          </cell>
          <cell r="I1147">
            <v>47500</v>
          </cell>
          <cell r="K1147">
            <v>0</v>
          </cell>
          <cell r="L1147">
            <v>0</v>
          </cell>
          <cell r="M1147">
            <v>142500</v>
          </cell>
          <cell r="N1147">
            <v>0</v>
          </cell>
          <cell r="O1147">
            <v>0</v>
          </cell>
          <cell r="P1147">
            <v>0</v>
          </cell>
          <cell r="S1147">
            <v>0.2</v>
          </cell>
          <cell r="T1147">
            <v>0.60000000000000009</v>
          </cell>
        </row>
        <row r="1148">
          <cell r="B1148" t="str">
            <v>COS70</v>
          </cell>
          <cell r="C1148">
            <v>1</v>
          </cell>
          <cell r="E1148">
            <v>0</v>
          </cell>
          <cell r="F1148" t="str">
            <v>Đầu cosse ép Cu 70mm2</v>
          </cell>
          <cell r="G1148" t="str">
            <v>cái</v>
          </cell>
          <cell r="H1148">
            <v>4</v>
          </cell>
          <cell r="I1148">
            <v>34500</v>
          </cell>
          <cell r="K1148">
            <v>0</v>
          </cell>
          <cell r="L1148">
            <v>0</v>
          </cell>
          <cell r="M1148">
            <v>138000</v>
          </cell>
          <cell r="N1148">
            <v>0</v>
          </cell>
          <cell r="O1148">
            <v>0</v>
          </cell>
          <cell r="P1148">
            <v>0</v>
          </cell>
          <cell r="S1148">
            <v>0.2</v>
          </cell>
          <cell r="T1148">
            <v>0.8</v>
          </cell>
        </row>
        <row r="1149">
          <cell r="B1149" t="str">
            <v>COS50</v>
          </cell>
          <cell r="C1149">
            <v>1</v>
          </cell>
          <cell r="E1149">
            <v>0</v>
          </cell>
          <cell r="F1149" t="str">
            <v>Đầu cosse ép Cu 50mm2</v>
          </cell>
          <cell r="G1149" t="str">
            <v>cái</v>
          </cell>
          <cell r="H1149">
            <v>1</v>
          </cell>
          <cell r="I1149">
            <v>24000</v>
          </cell>
          <cell r="K1149">
            <v>0</v>
          </cell>
          <cell r="L1149">
            <v>0</v>
          </cell>
          <cell r="M1149">
            <v>24000</v>
          </cell>
          <cell r="N1149">
            <v>0</v>
          </cell>
          <cell r="O1149">
            <v>0</v>
          </cell>
          <cell r="P1149">
            <v>0</v>
          </cell>
          <cell r="S1149">
            <v>0.1</v>
          </cell>
          <cell r="T1149">
            <v>0.1</v>
          </cell>
        </row>
        <row r="1150">
          <cell r="B1150" t="str">
            <v>CHCOS95</v>
          </cell>
          <cell r="C1150">
            <v>1</v>
          </cell>
          <cell r="E1150">
            <v>0</v>
          </cell>
          <cell r="F1150" t="str">
            <v>Chụp đầu cosse  95mm2</v>
          </cell>
          <cell r="G1150" t="str">
            <v>cái</v>
          </cell>
          <cell r="H1150">
            <v>3</v>
          </cell>
          <cell r="I1150">
            <v>3300</v>
          </cell>
          <cell r="K1150">
            <v>0</v>
          </cell>
          <cell r="L1150">
            <v>0</v>
          </cell>
          <cell r="M1150">
            <v>9900</v>
          </cell>
          <cell r="N1150">
            <v>0</v>
          </cell>
          <cell r="O1150">
            <v>0</v>
          </cell>
          <cell r="P1150">
            <v>0</v>
          </cell>
          <cell r="S1150">
            <v>0</v>
          </cell>
          <cell r="T1150">
            <v>0</v>
          </cell>
        </row>
        <row r="1151">
          <cell r="B1151" t="str">
            <v>CHCOS70</v>
          </cell>
          <cell r="C1151">
            <v>1</v>
          </cell>
          <cell r="E1151">
            <v>0</v>
          </cell>
          <cell r="F1151" t="str">
            <v>Chụp đầu cosse  70mm2</v>
          </cell>
          <cell r="G1151" t="str">
            <v>cái</v>
          </cell>
          <cell r="H1151">
            <v>4</v>
          </cell>
          <cell r="I1151">
            <v>2300</v>
          </cell>
          <cell r="K1151">
            <v>0</v>
          </cell>
          <cell r="L1151">
            <v>0</v>
          </cell>
          <cell r="M1151">
            <v>9200</v>
          </cell>
          <cell r="N1151">
            <v>0</v>
          </cell>
          <cell r="O1151">
            <v>0</v>
          </cell>
          <cell r="P1151">
            <v>0</v>
          </cell>
          <cell r="S1151">
            <v>0</v>
          </cell>
          <cell r="T1151">
            <v>0</v>
          </cell>
        </row>
        <row r="1152">
          <cell r="B1152" t="str">
            <v>CHCOS50</v>
          </cell>
          <cell r="C1152">
            <v>1</v>
          </cell>
          <cell r="E1152">
            <v>0</v>
          </cell>
          <cell r="F1152" t="str">
            <v>Chụp đầu cosse  50mm2</v>
          </cell>
          <cell r="G1152" t="str">
            <v>cái</v>
          </cell>
          <cell r="H1152">
            <v>1</v>
          </cell>
          <cell r="I1152">
            <v>1300</v>
          </cell>
          <cell r="K1152">
            <v>0</v>
          </cell>
          <cell r="L1152">
            <v>0</v>
          </cell>
          <cell r="M1152">
            <v>1300</v>
          </cell>
          <cell r="N1152">
            <v>0</v>
          </cell>
          <cell r="O1152">
            <v>0</v>
          </cell>
          <cell r="P1152">
            <v>0</v>
          </cell>
          <cell r="S1152">
            <v>0</v>
          </cell>
          <cell r="T1152">
            <v>0</v>
          </cell>
        </row>
        <row r="1153">
          <cell r="B1153" t="str">
            <v>PVC90</v>
          </cell>
          <cell r="C1153">
            <v>1</v>
          </cell>
          <cell r="E1153">
            <v>0</v>
          </cell>
          <cell r="F1153" t="str">
            <v xml:space="preserve">Ống PVC D90x3,8mm </v>
          </cell>
          <cell r="G1153" t="str">
            <v>m</v>
          </cell>
          <cell r="H1153">
            <v>12</v>
          </cell>
          <cell r="I1153">
            <v>63200</v>
          </cell>
          <cell r="K1153">
            <v>0</v>
          </cell>
          <cell r="L1153">
            <v>0</v>
          </cell>
          <cell r="M1153">
            <v>758400</v>
          </cell>
          <cell r="N1153">
            <v>0</v>
          </cell>
          <cell r="O1153">
            <v>0</v>
          </cell>
          <cell r="P1153">
            <v>0</v>
          </cell>
          <cell r="S1153">
            <v>2</v>
          </cell>
          <cell r="T1153">
            <v>24</v>
          </cell>
        </row>
        <row r="1154">
          <cell r="B1154" t="str">
            <v>CD90</v>
          </cell>
          <cell r="C1154">
            <v>1</v>
          </cell>
          <cell r="E1154">
            <v>0</v>
          </cell>
          <cell r="F1154" t="str">
            <v>Cổ dê kẹp ống PVC φ 90 (có giá nới)</v>
          </cell>
          <cell r="G1154" t="str">
            <v>bộ</v>
          </cell>
          <cell r="H1154">
            <v>2</v>
          </cell>
          <cell r="I1154">
            <v>74000</v>
          </cell>
          <cell r="K1154">
            <v>0</v>
          </cell>
          <cell r="L1154">
            <v>0</v>
          </cell>
          <cell r="M1154">
            <v>148000</v>
          </cell>
          <cell r="N1154">
            <v>0</v>
          </cell>
          <cell r="O1154">
            <v>0</v>
          </cell>
          <cell r="P1154">
            <v>0</v>
          </cell>
          <cell r="S1154">
            <v>1.5</v>
          </cell>
          <cell r="T1154">
            <v>3</v>
          </cell>
        </row>
        <row r="1155">
          <cell r="B1155" t="str">
            <v>CD90</v>
          </cell>
          <cell r="C1155">
            <v>1</v>
          </cell>
          <cell r="E1155">
            <v>0</v>
          </cell>
          <cell r="F1155" t="str">
            <v>Cổ dê kẹp ống PVC φ 90 (có giá nới)</v>
          </cell>
          <cell r="G1155" t="str">
            <v>bộ</v>
          </cell>
          <cell r="H1155">
            <v>2</v>
          </cell>
          <cell r="I1155">
            <v>74000</v>
          </cell>
          <cell r="K1155">
            <v>0</v>
          </cell>
          <cell r="L1155">
            <v>0</v>
          </cell>
          <cell r="M1155">
            <v>148000</v>
          </cell>
          <cell r="N1155">
            <v>0</v>
          </cell>
          <cell r="O1155">
            <v>0</v>
          </cell>
          <cell r="P1155">
            <v>0</v>
          </cell>
          <cell r="S1155">
            <v>1.5</v>
          </cell>
          <cell r="T1155">
            <v>3</v>
          </cell>
        </row>
        <row r="1156">
          <cell r="B1156" t="str">
            <v>CD90</v>
          </cell>
          <cell r="C1156">
            <v>1</v>
          </cell>
          <cell r="E1156">
            <v>0</v>
          </cell>
          <cell r="F1156" t="str">
            <v>Cổ dê kẹp ống PVC φ 90 (có giá nới)</v>
          </cell>
          <cell r="G1156" t="str">
            <v>bộ</v>
          </cell>
          <cell r="H1156">
            <v>2</v>
          </cell>
          <cell r="I1156">
            <v>74000</v>
          </cell>
          <cell r="K1156">
            <v>0</v>
          </cell>
          <cell r="L1156">
            <v>0</v>
          </cell>
          <cell r="M1156">
            <v>148000</v>
          </cell>
          <cell r="N1156">
            <v>0</v>
          </cell>
          <cell r="O1156">
            <v>0</v>
          </cell>
          <cell r="P1156">
            <v>0</v>
          </cell>
          <cell r="S1156">
            <v>1.5</v>
          </cell>
          <cell r="T1156">
            <v>3</v>
          </cell>
        </row>
        <row r="1157">
          <cell r="B1157" t="str">
            <v>CUT90Td</v>
          </cell>
          <cell r="C1157">
            <v>1</v>
          </cell>
          <cell r="E1157">
            <v>0</v>
          </cell>
          <cell r="F1157" t="str">
            <v>Co  90 độ PVC 90 (Loại dày)</v>
          </cell>
          <cell r="G1157" t="str">
            <v>cái</v>
          </cell>
          <cell r="H1157">
            <v>2</v>
          </cell>
          <cell r="I1157">
            <v>45400</v>
          </cell>
          <cell r="K1157">
            <v>0</v>
          </cell>
          <cell r="L1157">
            <v>0</v>
          </cell>
          <cell r="M1157">
            <v>90800</v>
          </cell>
          <cell r="N1157">
            <v>0</v>
          </cell>
          <cell r="O1157">
            <v>0</v>
          </cell>
          <cell r="P1157">
            <v>0</v>
          </cell>
          <cell r="S1157">
            <v>0</v>
          </cell>
          <cell r="T1157">
            <v>0</v>
          </cell>
        </row>
        <row r="1158">
          <cell r="B1158" t="str">
            <v>CUT90T</v>
          </cell>
          <cell r="C1158">
            <v>1</v>
          </cell>
          <cell r="E1158">
            <v>0</v>
          </cell>
          <cell r="F1158" t="str">
            <v>Co  90 độ PVC 90</v>
          </cell>
          <cell r="G1158" t="str">
            <v>cái</v>
          </cell>
          <cell r="H1158">
            <v>4</v>
          </cell>
          <cell r="I1158">
            <v>35200</v>
          </cell>
          <cell r="K1158">
            <v>0</v>
          </cell>
          <cell r="L1158">
            <v>0</v>
          </cell>
          <cell r="M1158">
            <v>140800</v>
          </cell>
          <cell r="N1158">
            <v>0</v>
          </cell>
          <cell r="O1158">
            <v>0</v>
          </cell>
          <cell r="P1158">
            <v>0</v>
          </cell>
          <cell r="S1158">
            <v>0</v>
          </cell>
          <cell r="T1158">
            <v>0</v>
          </cell>
        </row>
        <row r="1159">
          <cell r="B1159" t="str">
            <v>CUT90135</v>
          </cell>
          <cell r="C1159">
            <v>1</v>
          </cell>
          <cell r="E1159">
            <v>0</v>
          </cell>
          <cell r="F1159" t="str">
            <v>Co 135 độ PVC 90</v>
          </cell>
          <cell r="G1159" t="str">
            <v>cái</v>
          </cell>
          <cell r="H1159">
            <v>2</v>
          </cell>
          <cell r="I1159">
            <v>33900</v>
          </cell>
          <cell r="K1159">
            <v>0</v>
          </cell>
          <cell r="L1159">
            <v>0</v>
          </cell>
          <cell r="M1159">
            <v>67800</v>
          </cell>
          <cell r="N1159">
            <v>0</v>
          </cell>
          <cell r="O1159">
            <v>0</v>
          </cell>
          <cell r="P1159">
            <v>0</v>
          </cell>
          <cell r="S1159">
            <v>0</v>
          </cell>
          <cell r="T1159">
            <v>0</v>
          </cell>
        </row>
        <row r="1160">
          <cell r="B1160" t="str">
            <v>KVRT90</v>
          </cell>
          <cell r="C1160">
            <v>1</v>
          </cell>
          <cell r="E1160">
            <v>0</v>
          </cell>
          <cell r="F1160" t="str">
            <v>Khâu ven răng trong D90</v>
          </cell>
          <cell r="G1160" t="str">
            <v>cái</v>
          </cell>
          <cell r="H1160">
            <v>2</v>
          </cell>
          <cell r="I1160">
            <v>25800</v>
          </cell>
          <cell r="K1160">
            <v>0</v>
          </cell>
          <cell r="L1160">
            <v>0</v>
          </cell>
          <cell r="M1160">
            <v>51600</v>
          </cell>
          <cell r="N1160">
            <v>0</v>
          </cell>
          <cell r="O1160">
            <v>0</v>
          </cell>
          <cell r="P1160">
            <v>0</v>
          </cell>
          <cell r="S1160">
            <v>0</v>
          </cell>
          <cell r="T1160">
            <v>0</v>
          </cell>
        </row>
        <row r="1161">
          <cell r="B1161" t="str">
            <v>KVRN90</v>
          </cell>
          <cell r="C1161">
            <v>1</v>
          </cell>
          <cell r="E1161">
            <v>0</v>
          </cell>
          <cell r="F1161" t="str">
            <v>Khâu ven răng ngoài D90</v>
          </cell>
          <cell r="G1161" t="str">
            <v>cái</v>
          </cell>
          <cell r="H1161">
            <v>2</v>
          </cell>
          <cell r="I1161">
            <v>21500</v>
          </cell>
          <cell r="K1161">
            <v>0</v>
          </cell>
          <cell r="L1161">
            <v>0</v>
          </cell>
          <cell r="M1161">
            <v>43000</v>
          </cell>
          <cell r="N1161">
            <v>0</v>
          </cell>
          <cell r="O1161">
            <v>0</v>
          </cell>
          <cell r="P1161">
            <v>0</v>
          </cell>
          <cell r="S1161">
            <v>0</v>
          </cell>
          <cell r="T1161">
            <v>0</v>
          </cell>
        </row>
        <row r="1162">
          <cell r="B1162" t="str">
            <v>KEODAN</v>
          </cell>
          <cell r="C1162">
            <v>1</v>
          </cell>
          <cell r="E1162">
            <v>0</v>
          </cell>
          <cell r="F1162" t="str">
            <v>Keo dán ống PVC (100gr)</v>
          </cell>
          <cell r="G1162" t="str">
            <v>tuýp</v>
          </cell>
          <cell r="H1162">
            <v>1</v>
          </cell>
          <cell r="I1162">
            <v>11500</v>
          </cell>
          <cell r="K1162">
            <v>0</v>
          </cell>
          <cell r="L1162">
            <v>0</v>
          </cell>
          <cell r="M1162">
            <v>11500</v>
          </cell>
          <cell r="N1162">
            <v>0</v>
          </cell>
          <cell r="O1162">
            <v>0</v>
          </cell>
          <cell r="P1162">
            <v>0</v>
          </cell>
          <cell r="S1162">
            <v>0</v>
          </cell>
          <cell r="T1162">
            <v>0</v>
          </cell>
        </row>
        <row r="1163">
          <cell r="B1163" t="str">
            <v>KEOBIT</v>
          </cell>
          <cell r="C1163">
            <v>1</v>
          </cell>
          <cell r="E1163">
            <v>0</v>
          </cell>
          <cell r="F1163" t="str">
            <v>Keo silicon bít miệng ống</v>
          </cell>
          <cell r="G1163" t="str">
            <v>ống</v>
          </cell>
          <cell r="H1163">
            <v>2</v>
          </cell>
          <cell r="I1163">
            <v>45000</v>
          </cell>
          <cell r="K1163">
            <v>0</v>
          </cell>
          <cell r="L1163">
            <v>0</v>
          </cell>
          <cell r="M1163">
            <v>90000</v>
          </cell>
          <cell r="N1163">
            <v>0</v>
          </cell>
          <cell r="O1163">
            <v>0</v>
          </cell>
          <cell r="P1163">
            <v>0</v>
          </cell>
          <cell r="S1163">
            <v>0</v>
          </cell>
          <cell r="T1163">
            <v>0</v>
          </cell>
        </row>
        <row r="1164">
          <cell r="B1164" t="str">
            <v>BANGKEO</v>
          </cell>
          <cell r="C1164">
            <v>1</v>
          </cell>
          <cell r="E1164">
            <v>0</v>
          </cell>
          <cell r="F1164" t="str">
            <v>Băng keo cách điện (Màu đen)</v>
          </cell>
          <cell r="G1164" t="str">
            <v>cuộn</v>
          </cell>
          <cell r="H1164">
            <v>2</v>
          </cell>
          <cell r="I1164">
            <v>6500</v>
          </cell>
          <cell r="K1164">
            <v>0</v>
          </cell>
          <cell r="L1164">
            <v>0</v>
          </cell>
          <cell r="M1164">
            <v>13000</v>
          </cell>
          <cell r="N1164">
            <v>0</v>
          </cell>
          <cell r="O1164">
            <v>0</v>
          </cell>
          <cell r="P1164">
            <v>0</v>
          </cell>
          <cell r="S1164">
            <v>0</v>
          </cell>
          <cell r="T1164">
            <v>0</v>
          </cell>
        </row>
        <row r="1165">
          <cell r="B1165" t="str">
            <v>LPVC90CL</v>
          </cell>
          <cell r="C1165">
            <v>1</v>
          </cell>
          <cell r="E1165" t="str">
            <v>T4.8003</v>
          </cell>
          <cell r="F1165" t="str">
            <v>Lắp ống nhựa PVC D90</v>
          </cell>
          <cell r="G1165" t="str">
            <v>mét</v>
          </cell>
          <cell r="H1165">
            <v>12</v>
          </cell>
          <cell r="I1165">
            <v>0</v>
          </cell>
          <cell r="K1165">
            <v>35541</v>
          </cell>
          <cell r="L1165">
            <v>0</v>
          </cell>
          <cell r="M1165">
            <v>0</v>
          </cell>
          <cell r="N1165">
            <v>0</v>
          </cell>
          <cell r="O1165">
            <v>426492</v>
          </cell>
          <cell r="P1165">
            <v>0</v>
          </cell>
          <cell r="S1165">
            <v>0</v>
          </cell>
          <cell r="T1165">
            <v>0</v>
          </cell>
        </row>
        <row r="1166">
          <cell r="B1166" t="str">
            <v>LCAPDONGTB150</v>
          </cell>
          <cell r="C1166">
            <v>0</v>
          </cell>
          <cell r="E1166" t="str">
            <v>T4.4202</v>
          </cell>
          <cell r="F1166" t="str">
            <v>Lắp cáp đồng xuống thiết bị D ≤ 150mm2</v>
          </cell>
          <cell r="G1166" t="str">
            <v>m</v>
          </cell>
          <cell r="I1166">
            <v>0</v>
          </cell>
          <cell r="K1166">
            <v>28433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S1166">
            <v>0</v>
          </cell>
          <cell r="T1166">
            <v>0</v>
          </cell>
        </row>
        <row r="1167">
          <cell r="B1167" t="str">
            <v>LCAPDONGTB95</v>
          </cell>
          <cell r="C1167">
            <v>1</v>
          </cell>
          <cell r="E1167" t="str">
            <v>T4.4201</v>
          </cell>
          <cell r="F1167" t="str">
            <v>Lắp cáp đồng xuống thiết bị D ≤ 95mm2</v>
          </cell>
          <cell r="G1167" t="str">
            <v>m</v>
          </cell>
          <cell r="H1167">
            <v>72</v>
          </cell>
          <cell r="I1167">
            <v>0</v>
          </cell>
          <cell r="K1167">
            <v>11847</v>
          </cell>
          <cell r="L1167">
            <v>0</v>
          </cell>
          <cell r="M1167">
            <v>0</v>
          </cell>
          <cell r="N1167">
            <v>0</v>
          </cell>
          <cell r="O1167">
            <v>852984</v>
          </cell>
          <cell r="P1167">
            <v>0</v>
          </cell>
          <cell r="S1167">
            <v>0</v>
          </cell>
          <cell r="T1167">
            <v>0</v>
          </cell>
        </row>
        <row r="1168">
          <cell r="B1168" t="str">
            <v>BANG</v>
          </cell>
          <cell r="C1168">
            <v>0</v>
          </cell>
          <cell r="D1168">
            <v>7</v>
          </cell>
          <cell r="E1168">
            <v>0</v>
          </cell>
          <cell r="F1168" t="str">
            <v>Bảng tên trạm + bulon</v>
          </cell>
          <cell r="G1168" t="str">
            <v>bộ</v>
          </cell>
          <cell r="I1168">
            <v>100000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S1168">
            <v>0</v>
          </cell>
          <cell r="T1168">
            <v>0</v>
          </cell>
        </row>
        <row r="1169">
          <cell r="A1169" t="str">
            <v>TR3X100</v>
          </cell>
          <cell r="C1169">
            <v>1</v>
          </cell>
          <cell r="D1169" t="str">
            <v>IV</v>
          </cell>
          <cell r="E1169" t="str">
            <v>2  Trạm NC từ 2x100kVA lên 3x100kVA (Tân Xuân 7; Suối Râm 8)</v>
          </cell>
          <cell r="S1169">
            <v>0</v>
          </cell>
          <cell r="T1169">
            <v>0</v>
          </cell>
        </row>
        <row r="1170">
          <cell r="A1170" t="str">
            <v>TBTR3X100</v>
          </cell>
          <cell r="C1170">
            <v>1</v>
          </cell>
          <cell r="F1170" t="str">
            <v>A.PHẦN THIẾT BỊ</v>
          </cell>
          <cell r="M1170">
            <v>145598000</v>
          </cell>
          <cell r="N1170">
            <v>0</v>
          </cell>
          <cell r="O1170">
            <v>3154548</v>
          </cell>
          <cell r="P1170">
            <v>721210</v>
          </cell>
          <cell r="S1170">
            <v>0</v>
          </cell>
          <cell r="T1170">
            <v>1142.2</v>
          </cell>
        </row>
        <row r="1171">
          <cell r="A1171" t="str">
            <v/>
          </cell>
          <cell r="B1171" t="str">
            <v>TR1001</v>
          </cell>
          <cell r="C1171">
            <v>1</v>
          </cell>
          <cell r="E1171" t="str">
            <v>T1.1434</v>
          </cell>
          <cell r="F1171" t="str">
            <v>Máy biến áp AMORPHOUS 12,7/0,22-0,44kV 100kVA</v>
          </cell>
          <cell r="G1171" t="str">
            <v>máy</v>
          </cell>
          <cell r="H1171">
            <v>2</v>
          </cell>
          <cell r="I1171">
            <v>68939000</v>
          </cell>
          <cell r="K1171">
            <v>1056006</v>
          </cell>
          <cell r="L1171">
            <v>360605</v>
          </cell>
          <cell r="M1171">
            <v>137878000</v>
          </cell>
          <cell r="N1171">
            <v>0</v>
          </cell>
          <cell r="O1171">
            <v>2112012</v>
          </cell>
          <cell r="P1171">
            <v>721210</v>
          </cell>
          <cell r="S1171">
            <v>565</v>
          </cell>
          <cell r="T1171">
            <v>1130</v>
          </cell>
        </row>
        <row r="1172">
          <cell r="A1172" t="str">
            <v/>
          </cell>
          <cell r="B1172" t="str">
            <v>FCO100</v>
          </cell>
          <cell r="C1172">
            <v>1</v>
          </cell>
          <cell r="E1172" t="str">
            <v>T2.3505</v>
          </cell>
          <cell r="F1172" t="str">
            <v>FCO 27kV - 100A</v>
          </cell>
          <cell r="G1172" t="str">
            <v>cái</v>
          </cell>
          <cell r="H1172">
            <v>4</v>
          </cell>
          <cell r="I1172">
            <v>1020000</v>
          </cell>
          <cell r="K1172">
            <v>189552</v>
          </cell>
          <cell r="L1172">
            <v>0</v>
          </cell>
          <cell r="M1172">
            <v>4080000</v>
          </cell>
          <cell r="N1172">
            <v>0</v>
          </cell>
          <cell r="O1172">
            <v>758208</v>
          </cell>
          <cell r="P1172">
            <v>0</v>
          </cell>
          <cell r="S1172">
            <v>1.5</v>
          </cell>
          <cell r="T1172">
            <v>6</v>
          </cell>
        </row>
        <row r="1173">
          <cell r="A1173" t="str">
            <v/>
          </cell>
          <cell r="B1173" t="str">
            <v>LA18</v>
          </cell>
          <cell r="C1173">
            <v>1</v>
          </cell>
          <cell r="E1173" t="str">
            <v>T2.5004</v>
          </cell>
          <cell r="F1173" t="str">
            <v>LA 18kV 10kA</v>
          </cell>
          <cell r="G1173" t="str">
            <v>cái</v>
          </cell>
          <cell r="H1173">
            <v>4</v>
          </cell>
          <cell r="I1173">
            <v>910000</v>
          </cell>
          <cell r="K1173">
            <v>71082</v>
          </cell>
          <cell r="L1173">
            <v>0</v>
          </cell>
          <cell r="M1173">
            <v>3640000</v>
          </cell>
          <cell r="N1173">
            <v>0</v>
          </cell>
          <cell r="O1173">
            <v>284328</v>
          </cell>
          <cell r="P1173">
            <v>0</v>
          </cell>
          <cell r="S1173">
            <v>0.8</v>
          </cell>
          <cell r="T1173">
            <v>3.2</v>
          </cell>
        </row>
        <row r="1174">
          <cell r="A1174" t="str">
            <v/>
          </cell>
          <cell r="B1174" t="str">
            <v>ATM125</v>
          </cell>
          <cell r="C1174">
            <v>0</v>
          </cell>
          <cell r="E1174" t="str">
            <v>T2.8403</v>
          </cell>
          <cell r="F1174" t="str">
            <v>MCCB 3 cực 400V - 125A - 30KA (80-125A)</v>
          </cell>
          <cell r="G1174" t="str">
            <v>cái</v>
          </cell>
          <cell r="H1174">
            <v>0</v>
          </cell>
          <cell r="I1174">
            <v>2575000</v>
          </cell>
          <cell r="K1174">
            <v>450186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S1174">
            <v>2</v>
          </cell>
          <cell r="T1174">
            <v>0</v>
          </cell>
        </row>
        <row r="1175">
          <cell r="A1175" t="str">
            <v/>
          </cell>
          <cell r="B1175" t="str">
            <v>TI1005</v>
          </cell>
          <cell r="C1175">
            <v>1</v>
          </cell>
          <cell r="E1175">
            <v>0</v>
          </cell>
          <cell r="F1175" t="str">
            <v>Biến dòng 600V - 100/5A</v>
          </cell>
          <cell r="G1175" t="str">
            <v>cái</v>
          </cell>
          <cell r="H1175">
            <v>6</v>
          </cell>
          <cell r="I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S1175">
            <v>0</v>
          </cell>
          <cell r="T1175">
            <v>0</v>
          </cell>
        </row>
        <row r="1176">
          <cell r="A1176" t="str">
            <v/>
          </cell>
          <cell r="B1176" t="str">
            <v>DK3p5A</v>
          </cell>
          <cell r="C1176">
            <v>1</v>
          </cell>
          <cell r="E1176">
            <v>0</v>
          </cell>
          <cell r="F1176" t="str">
            <v>Điện kế 3 pha 4 dây 220/380V-5A</v>
          </cell>
          <cell r="G1176" t="str">
            <v>cái</v>
          </cell>
          <cell r="H1176">
            <v>2</v>
          </cell>
          <cell r="I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S1176">
            <v>1.5</v>
          </cell>
          <cell r="T1176">
            <v>3</v>
          </cell>
        </row>
        <row r="1177">
          <cell r="A1177" t="str">
            <v>VLTR3X100</v>
          </cell>
          <cell r="C1177">
            <v>1</v>
          </cell>
          <cell r="F1177" t="str">
            <v>B. PHẦN VẬT LIỆU</v>
          </cell>
          <cell r="M1177">
            <v>40433535.519999996</v>
          </cell>
          <cell r="N1177">
            <v>0</v>
          </cell>
          <cell r="O1177">
            <v>4590452.32</v>
          </cell>
          <cell r="P1177">
            <v>0</v>
          </cell>
          <cell r="S1177">
            <v>0</v>
          </cell>
          <cell r="T1177">
            <v>488.084</v>
          </cell>
        </row>
        <row r="1178">
          <cell r="C1178">
            <v>1</v>
          </cell>
          <cell r="D1178">
            <v>1</v>
          </cell>
          <cell r="F1178" t="str">
            <v>Vật liệu bảo vệ thiết bị</v>
          </cell>
          <cell r="G1178" t="str">
            <v>Bộ</v>
          </cell>
          <cell r="H1178">
            <v>2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S1178">
            <v>0</v>
          </cell>
          <cell r="T1178">
            <v>0</v>
          </cell>
        </row>
        <row r="1179">
          <cell r="A1179" t="str">
            <v/>
          </cell>
          <cell r="B1179" t="str">
            <v>CHI10K</v>
          </cell>
          <cell r="C1179">
            <v>1</v>
          </cell>
          <cell r="E1179">
            <v>0</v>
          </cell>
          <cell r="F1179" t="str">
            <v>Dây chảy 10K</v>
          </cell>
          <cell r="G1179" t="str">
            <v>Sợi</v>
          </cell>
          <cell r="H1179">
            <v>4</v>
          </cell>
          <cell r="I1179">
            <v>84000</v>
          </cell>
          <cell r="K1179">
            <v>0</v>
          </cell>
          <cell r="L1179">
            <v>0</v>
          </cell>
          <cell r="M1179">
            <v>336000</v>
          </cell>
          <cell r="N1179">
            <v>0</v>
          </cell>
          <cell r="O1179">
            <v>0</v>
          </cell>
          <cell r="P1179">
            <v>0</v>
          </cell>
          <cell r="S1179">
            <v>0</v>
          </cell>
          <cell r="T1179">
            <v>0</v>
          </cell>
        </row>
        <row r="1180">
          <cell r="A1180" t="str">
            <v/>
          </cell>
          <cell r="B1180" t="str">
            <v>CHUPFCO</v>
          </cell>
          <cell r="C1180">
            <v>1</v>
          </cell>
          <cell r="E1180">
            <v>0</v>
          </cell>
          <cell r="F1180" t="str">
            <v>Chụp đầu FCO (Trên + Dưới)</v>
          </cell>
          <cell r="G1180" t="str">
            <v>bộ</v>
          </cell>
          <cell r="H1180">
            <v>4</v>
          </cell>
          <cell r="I1180">
            <v>190000</v>
          </cell>
          <cell r="K1180">
            <v>0</v>
          </cell>
          <cell r="L1180">
            <v>0</v>
          </cell>
          <cell r="M1180">
            <v>760000</v>
          </cell>
          <cell r="N1180">
            <v>0</v>
          </cell>
          <cell r="O1180">
            <v>0</v>
          </cell>
          <cell r="P1180">
            <v>0</v>
          </cell>
          <cell r="S1180">
            <v>0</v>
          </cell>
          <cell r="T1180">
            <v>0</v>
          </cell>
        </row>
        <row r="1181">
          <cell r="A1181" t="str">
            <v/>
          </cell>
          <cell r="B1181" t="str">
            <v>CHUPLA</v>
          </cell>
          <cell r="C1181">
            <v>1</v>
          </cell>
          <cell r="E1181">
            <v>0</v>
          </cell>
          <cell r="F1181" t="str">
            <v>Chụp đầu LA</v>
          </cell>
          <cell r="G1181" t="str">
            <v>cái</v>
          </cell>
          <cell r="H1181">
            <v>4</v>
          </cell>
          <cell r="I1181">
            <v>32000</v>
          </cell>
          <cell r="K1181">
            <v>0</v>
          </cell>
          <cell r="L1181">
            <v>0</v>
          </cell>
          <cell r="M1181">
            <v>128000</v>
          </cell>
          <cell r="N1181">
            <v>0</v>
          </cell>
          <cell r="O1181">
            <v>0</v>
          </cell>
          <cell r="P1181">
            <v>0</v>
          </cell>
          <cell r="S1181">
            <v>0</v>
          </cell>
          <cell r="T1181">
            <v>0</v>
          </cell>
        </row>
        <row r="1182">
          <cell r="A1182" t="str">
            <v/>
          </cell>
          <cell r="B1182" t="str">
            <v>CHUPMBA</v>
          </cell>
          <cell r="C1182">
            <v>1</v>
          </cell>
          <cell r="E1182">
            <v>0</v>
          </cell>
          <cell r="F1182" t="str">
            <v>Chụp đầu cực MBA</v>
          </cell>
          <cell r="G1182" t="str">
            <v>cái</v>
          </cell>
          <cell r="H1182">
            <v>2</v>
          </cell>
          <cell r="I1182">
            <v>52000</v>
          </cell>
          <cell r="K1182">
            <v>0</v>
          </cell>
          <cell r="L1182">
            <v>0</v>
          </cell>
          <cell r="M1182">
            <v>104000</v>
          </cell>
          <cell r="N1182">
            <v>0</v>
          </cell>
          <cell r="O1182">
            <v>0</v>
          </cell>
          <cell r="P1182">
            <v>0</v>
          </cell>
          <cell r="S1182">
            <v>0</v>
          </cell>
          <cell r="T1182">
            <v>0</v>
          </cell>
        </row>
        <row r="1183">
          <cell r="A1183" t="str">
            <v/>
          </cell>
          <cell r="C1183">
            <v>1</v>
          </cell>
          <cell r="D1183">
            <v>2</v>
          </cell>
          <cell r="F1183" t="str">
            <v>Đà Composite bắt LA, FCO</v>
          </cell>
          <cell r="G1183" t="str">
            <v>Bộ</v>
          </cell>
          <cell r="H1183">
            <v>2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S1183">
            <v>0</v>
          </cell>
          <cell r="T1183">
            <v>0</v>
          </cell>
        </row>
        <row r="1184">
          <cell r="A1184" t="str">
            <v/>
          </cell>
          <cell r="C1184">
            <v>0</v>
          </cell>
          <cell r="F1184" t="str">
            <v>Gồm có: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S1184">
            <v>0</v>
          </cell>
          <cell r="T1184">
            <v>0</v>
          </cell>
        </row>
        <row r="1185">
          <cell r="A1185" t="str">
            <v/>
          </cell>
          <cell r="B1185" t="str">
            <v>COM2400</v>
          </cell>
          <cell r="C1185">
            <v>1</v>
          </cell>
          <cell r="E1185">
            <v>0</v>
          </cell>
          <cell r="F1185" t="str">
            <v>Đà hộp composite 110x80x5-2400</v>
          </cell>
          <cell r="G1185" t="str">
            <v>cái</v>
          </cell>
          <cell r="H1185">
            <v>2</v>
          </cell>
          <cell r="I1185">
            <v>1100000</v>
          </cell>
          <cell r="K1185">
            <v>0</v>
          </cell>
          <cell r="L1185">
            <v>0</v>
          </cell>
          <cell r="M1185">
            <v>2200000</v>
          </cell>
          <cell r="N1185">
            <v>0</v>
          </cell>
          <cell r="O1185">
            <v>0</v>
          </cell>
          <cell r="P1185">
            <v>0</v>
          </cell>
          <cell r="S1185">
            <v>9.6</v>
          </cell>
          <cell r="T1185">
            <v>19.2</v>
          </cell>
        </row>
        <row r="1186">
          <cell r="A1186" t="str">
            <v/>
          </cell>
          <cell r="B1186" t="str">
            <v>CCOM2400</v>
          </cell>
          <cell r="C1186">
            <v>1</v>
          </cell>
          <cell r="E1186">
            <v>0</v>
          </cell>
          <cell r="F1186" t="str">
            <v>Thanh chống Composite dẹp 10x40x920</v>
          </cell>
          <cell r="G1186" t="str">
            <v>cái</v>
          </cell>
          <cell r="H1186">
            <v>4</v>
          </cell>
          <cell r="I1186">
            <v>132000</v>
          </cell>
          <cell r="K1186">
            <v>0</v>
          </cell>
          <cell r="L1186">
            <v>0</v>
          </cell>
          <cell r="M1186">
            <v>528000</v>
          </cell>
          <cell r="N1186">
            <v>0</v>
          </cell>
          <cell r="O1186">
            <v>0</v>
          </cell>
          <cell r="P1186">
            <v>0</v>
          </cell>
          <cell r="S1186">
            <v>0.7</v>
          </cell>
          <cell r="T1186">
            <v>2.8</v>
          </cell>
        </row>
        <row r="1187">
          <cell r="A1187" t="str">
            <v/>
          </cell>
          <cell r="B1187" t="str">
            <v>BATLL</v>
          </cell>
          <cell r="C1187">
            <v>1</v>
          </cell>
          <cell r="E1187">
            <v>0</v>
          </cell>
          <cell r="F1187" t="str">
            <v>Bass LL bắt FCO và LA</v>
          </cell>
          <cell r="G1187" t="str">
            <v>bộ</v>
          </cell>
          <cell r="H1187">
            <v>6</v>
          </cell>
          <cell r="I1187">
            <v>65000</v>
          </cell>
          <cell r="K1187">
            <v>0</v>
          </cell>
          <cell r="L1187">
            <v>0</v>
          </cell>
          <cell r="M1187">
            <v>390000</v>
          </cell>
          <cell r="N1187">
            <v>0</v>
          </cell>
          <cell r="O1187">
            <v>0</v>
          </cell>
          <cell r="P1187">
            <v>0</v>
          </cell>
          <cell r="S1187">
            <v>0.5</v>
          </cell>
          <cell r="T1187">
            <v>3</v>
          </cell>
        </row>
        <row r="1188">
          <cell r="A1188" t="str">
            <v/>
          </cell>
          <cell r="B1188" t="str">
            <v>B16350</v>
          </cell>
          <cell r="C1188">
            <v>1</v>
          </cell>
          <cell r="E1188">
            <v>0</v>
          </cell>
          <cell r="F1188" t="str">
            <v>Boulon 16x350+ 2 long đền vuông D18-50x50x3/Zn</v>
          </cell>
          <cell r="G1188" t="str">
            <v>bộ</v>
          </cell>
          <cell r="H1188">
            <v>2</v>
          </cell>
          <cell r="I1188">
            <v>32500</v>
          </cell>
          <cell r="K1188">
            <v>0</v>
          </cell>
          <cell r="L1188">
            <v>0</v>
          </cell>
          <cell r="M1188">
            <v>65000</v>
          </cell>
          <cell r="N1188">
            <v>0</v>
          </cell>
          <cell r="O1188">
            <v>0</v>
          </cell>
          <cell r="P1188">
            <v>0</v>
          </cell>
          <cell r="S1188">
            <v>0.3</v>
          </cell>
          <cell r="T1188">
            <v>0.6</v>
          </cell>
        </row>
        <row r="1189">
          <cell r="A1189" t="str">
            <v/>
          </cell>
          <cell r="B1189" t="str">
            <v>B16300</v>
          </cell>
          <cell r="C1189">
            <v>1</v>
          </cell>
          <cell r="E1189">
            <v>0</v>
          </cell>
          <cell r="F1189" t="str">
            <v>Boulon 16x300+ 2 long đền vuông D18-50x50x3/Zn</v>
          </cell>
          <cell r="G1189" t="str">
            <v>bộ</v>
          </cell>
          <cell r="H1189">
            <v>2</v>
          </cell>
          <cell r="I1189">
            <v>30000</v>
          </cell>
          <cell r="K1189">
            <v>0</v>
          </cell>
          <cell r="L1189">
            <v>0</v>
          </cell>
          <cell r="M1189">
            <v>60000</v>
          </cell>
          <cell r="N1189">
            <v>0</v>
          </cell>
          <cell r="O1189">
            <v>0</v>
          </cell>
          <cell r="P1189">
            <v>0</v>
          </cell>
          <cell r="S1189">
            <v>0.25</v>
          </cell>
          <cell r="T1189">
            <v>0.5</v>
          </cell>
        </row>
        <row r="1190">
          <cell r="A1190" t="str">
            <v/>
          </cell>
          <cell r="B1190" t="str">
            <v>B14120</v>
          </cell>
          <cell r="C1190">
            <v>1</v>
          </cell>
          <cell r="E1190">
            <v>0</v>
          </cell>
          <cell r="F1190" t="str">
            <v>Boulon 14x120+ 2 long đền vuông D16-50x50x3/Zn</v>
          </cell>
          <cell r="G1190" t="str">
            <v>bộ</v>
          </cell>
          <cell r="H1190">
            <v>4</v>
          </cell>
          <cell r="I1190">
            <v>20000</v>
          </cell>
          <cell r="K1190">
            <v>0</v>
          </cell>
          <cell r="L1190">
            <v>0</v>
          </cell>
          <cell r="M1190">
            <v>80000</v>
          </cell>
          <cell r="N1190">
            <v>0</v>
          </cell>
          <cell r="O1190">
            <v>0</v>
          </cell>
          <cell r="P1190">
            <v>0</v>
          </cell>
          <cell r="S1190">
            <v>0.2</v>
          </cell>
          <cell r="T1190">
            <v>0.8</v>
          </cell>
        </row>
        <row r="1191">
          <cell r="A1191" t="str">
            <v/>
          </cell>
          <cell r="C1191">
            <v>1</v>
          </cell>
          <cell r="D1191">
            <v>3</v>
          </cell>
          <cell r="F1191" t="str">
            <v>Giá chùm treo 3 MBT</v>
          </cell>
          <cell r="G1191" t="str">
            <v>Bộ</v>
          </cell>
          <cell r="H1191">
            <v>2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S1191">
            <v>0</v>
          </cell>
          <cell r="T1191">
            <v>0</v>
          </cell>
        </row>
        <row r="1192">
          <cell r="A1192" t="str">
            <v/>
          </cell>
          <cell r="C1192">
            <v>0</v>
          </cell>
          <cell r="F1192" t="str">
            <v>Gồm có:</v>
          </cell>
          <cell r="H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S1192">
            <v>0</v>
          </cell>
          <cell r="T1192">
            <v>0</v>
          </cell>
        </row>
        <row r="1193">
          <cell r="A1193" t="str">
            <v/>
          </cell>
          <cell r="B1193" t="str">
            <v>GTMBA100</v>
          </cell>
          <cell r="C1193">
            <v>1</v>
          </cell>
          <cell r="E1193" t="str">
            <v>T4.9302</v>
          </cell>
          <cell r="F1193" t="str">
            <v>Giá chùm treo máy biến áp 3x100</v>
          </cell>
          <cell r="G1193" t="str">
            <v>Bộ</v>
          </cell>
          <cell r="H1193">
            <v>2</v>
          </cell>
          <cell r="I1193">
            <v>2695000</v>
          </cell>
          <cell r="K1193">
            <v>149969.16</v>
          </cell>
          <cell r="L1193">
            <v>0</v>
          </cell>
          <cell r="M1193">
            <v>5390000</v>
          </cell>
          <cell r="N1193">
            <v>0</v>
          </cell>
          <cell r="O1193">
            <v>299938.32</v>
          </cell>
          <cell r="P1193">
            <v>0</v>
          </cell>
          <cell r="S1193">
            <v>55</v>
          </cell>
          <cell r="T1193">
            <v>110</v>
          </cell>
        </row>
        <row r="1194">
          <cell r="A1194" t="str">
            <v/>
          </cell>
          <cell r="B1194" t="str">
            <v>B16350</v>
          </cell>
          <cell r="C1194">
            <v>1</v>
          </cell>
          <cell r="E1194">
            <v>0</v>
          </cell>
          <cell r="F1194" t="str">
            <v>Boulon 16x350+ 2 long đền vuông D18-50x50x3/Zn</v>
          </cell>
          <cell r="G1194" t="str">
            <v>bộ</v>
          </cell>
          <cell r="H1194">
            <v>4</v>
          </cell>
          <cell r="I1194">
            <v>32500</v>
          </cell>
          <cell r="K1194">
            <v>0</v>
          </cell>
          <cell r="L1194">
            <v>0</v>
          </cell>
          <cell r="M1194">
            <v>130000</v>
          </cell>
          <cell r="N1194">
            <v>0</v>
          </cell>
          <cell r="O1194">
            <v>0</v>
          </cell>
          <cell r="P1194">
            <v>0</v>
          </cell>
          <cell r="S1194">
            <v>0.3</v>
          </cell>
          <cell r="T1194">
            <v>1.2</v>
          </cell>
        </row>
        <row r="1195">
          <cell r="A1195" t="str">
            <v/>
          </cell>
          <cell r="B1195" t="str">
            <v>B1650</v>
          </cell>
          <cell r="C1195">
            <v>1</v>
          </cell>
          <cell r="E1195">
            <v>0</v>
          </cell>
          <cell r="F1195" t="str">
            <v>Boulon 16x50+ 2 long đền vuông D18-50x50x3/Zn</v>
          </cell>
          <cell r="G1195" t="str">
            <v>bộ</v>
          </cell>
          <cell r="H1195">
            <v>12</v>
          </cell>
          <cell r="I1195">
            <v>17000</v>
          </cell>
          <cell r="K1195">
            <v>0</v>
          </cell>
          <cell r="L1195">
            <v>0</v>
          </cell>
          <cell r="M1195">
            <v>204000</v>
          </cell>
          <cell r="N1195">
            <v>0</v>
          </cell>
          <cell r="O1195">
            <v>0</v>
          </cell>
          <cell r="P1195">
            <v>0</v>
          </cell>
          <cell r="S1195">
            <v>0.25</v>
          </cell>
          <cell r="T1195">
            <v>3</v>
          </cell>
        </row>
        <row r="1196">
          <cell r="A1196" t="str">
            <v/>
          </cell>
          <cell r="C1196">
            <v>1</v>
          </cell>
          <cell r="D1196">
            <v>4</v>
          </cell>
          <cell r="F1196" t="str">
            <v>Bộ tiếp địa Trạm 3 pha</v>
          </cell>
          <cell r="G1196" t="str">
            <v>Bộ</v>
          </cell>
          <cell r="H1196">
            <v>2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S1196">
            <v>0</v>
          </cell>
          <cell r="T1196">
            <v>0</v>
          </cell>
        </row>
        <row r="1197">
          <cell r="A1197" t="str">
            <v/>
          </cell>
          <cell r="C1197">
            <v>0</v>
          </cell>
          <cell r="F1197" t="str">
            <v>Gồm có: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S1197">
            <v>0</v>
          </cell>
          <cell r="T1197">
            <v>0</v>
          </cell>
        </row>
        <row r="1198">
          <cell r="A1198" t="str">
            <v/>
          </cell>
          <cell r="B1198" t="str">
            <v>M25</v>
          </cell>
          <cell r="C1198">
            <v>1</v>
          </cell>
          <cell r="E1198">
            <v>0</v>
          </cell>
          <cell r="F1198" t="str">
            <v>Cáp đồng trần M25mm2</v>
          </cell>
          <cell r="G1198" t="str">
            <v>kg</v>
          </cell>
          <cell r="H1198">
            <v>10.304</v>
          </cell>
          <cell r="I1198">
            <v>191630</v>
          </cell>
          <cell r="K1198">
            <v>0</v>
          </cell>
          <cell r="L1198">
            <v>0</v>
          </cell>
          <cell r="M1198">
            <v>1974555.52</v>
          </cell>
          <cell r="N1198">
            <v>0</v>
          </cell>
          <cell r="O1198">
            <v>0</v>
          </cell>
          <cell r="P1198">
            <v>0</v>
          </cell>
          <cell r="S1198">
            <v>1</v>
          </cell>
          <cell r="T1198">
            <v>10.304</v>
          </cell>
        </row>
        <row r="1199">
          <cell r="A1199" t="str">
            <v/>
          </cell>
          <cell r="B1199" t="str">
            <v>CTD</v>
          </cell>
          <cell r="C1199">
            <v>1</v>
          </cell>
          <cell r="E1199">
            <v>0</v>
          </cell>
          <cell r="F1199" t="str">
            <v>Cọc tiếp đất φ16 - 2,4m mạ Cu 16 micrômét</v>
          </cell>
          <cell r="G1199" t="str">
            <v>cọc</v>
          </cell>
          <cell r="H1199">
            <v>3</v>
          </cell>
          <cell r="I1199">
            <v>130000</v>
          </cell>
          <cell r="K1199">
            <v>0</v>
          </cell>
          <cell r="L1199">
            <v>0</v>
          </cell>
          <cell r="M1199">
            <v>390000</v>
          </cell>
          <cell r="N1199">
            <v>0</v>
          </cell>
          <cell r="O1199">
            <v>0</v>
          </cell>
          <cell r="P1199">
            <v>0</v>
          </cell>
          <cell r="Q1199" t="str">
            <v>T xuân 7</v>
          </cell>
          <cell r="S1199">
            <v>5.3</v>
          </cell>
          <cell r="T1199">
            <v>15.899999999999999</v>
          </cell>
        </row>
        <row r="1200">
          <cell r="A1200" t="str">
            <v/>
          </cell>
          <cell r="B1200" t="str">
            <v>KC</v>
          </cell>
          <cell r="C1200">
            <v>1</v>
          </cell>
          <cell r="E1200">
            <v>0</v>
          </cell>
          <cell r="F1200" t="str">
            <v>Kẹp cọc tiếp địa Cu loại lớn</v>
          </cell>
          <cell r="G1200" t="str">
            <v>bộ</v>
          </cell>
          <cell r="H1200">
            <v>3</v>
          </cell>
          <cell r="I1200">
            <v>25000</v>
          </cell>
          <cell r="K1200">
            <v>0</v>
          </cell>
          <cell r="L1200">
            <v>0</v>
          </cell>
          <cell r="M1200">
            <v>75000</v>
          </cell>
          <cell r="N1200">
            <v>0</v>
          </cell>
          <cell r="O1200">
            <v>0</v>
          </cell>
          <cell r="P1200">
            <v>0</v>
          </cell>
          <cell r="S1200">
            <v>0.05</v>
          </cell>
          <cell r="T1200">
            <v>0.15000000000000002</v>
          </cell>
        </row>
        <row r="1201">
          <cell r="A1201" t="str">
            <v/>
          </cell>
          <cell r="B1201" t="str">
            <v>OXC38</v>
          </cell>
          <cell r="C1201">
            <v>1</v>
          </cell>
          <cell r="E1201">
            <v>0</v>
          </cell>
          <cell r="F1201" t="str">
            <v xml:space="preserve">Ốc xiết cáp cỡ 38mm2 </v>
          </cell>
          <cell r="G1201" t="str">
            <v>cái</v>
          </cell>
          <cell r="H1201">
            <v>12</v>
          </cell>
          <cell r="I1201">
            <v>17000</v>
          </cell>
          <cell r="K1201">
            <v>0</v>
          </cell>
          <cell r="L1201">
            <v>0</v>
          </cell>
          <cell r="M1201">
            <v>204000</v>
          </cell>
          <cell r="N1201">
            <v>0</v>
          </cell>
          <cell r="O1201">
            <v>0</v>
          </cell>
          <cell r="P1201">
            <v>0</v>
          </cell>
          <cell r="S1201">
            <v>0</v>
          </cell>
          <cell r="T1201">
            <v>0</v>
          </cell>
        </row>
        <row r="1202">
          <cell r="A1202" t="str">
            <v/>
          </cell>
          <cell r="B1202" t="str">
            <v>KTDTBA</v>
          </cell>
          <cell r="C1202">
            <v>1</v>
          </cell>
          <cell r="E1202" t="str">
            <v>T4.7001</v>
          </cell>
          <cell r="F1202" t="str">
            <v>Kéo dây tiếp địa trong TBA</v>
          </cell>
          <cell r="G1202" t="str">
            <v>mét</v>
          </cell>
          <cell r="H1202">
            <v>46</v>
          </cell>
          <cell r="I1202">
            <v>0</v>
          </cell>
          <cell r="K1202">
            <v>6871</v>
          </cell>
          <cell r="L1202">
            <v>0</v>
          </cell>
          <cell r="M1202">
            <v>0</v>
          </cell>
          <cell r="N1202">
            <v>0</v>
          </cell>
          <cell r="O1202">
            <v>316066</v>
          </cell>
          <cell r="P1202">
            <v>0</v>
          </cell>
          <cell r="S1202">
            <v>0</v>
          </cell>
          <cell r="T1202">
            <v>0</v>
          </cell>
        </row>
        <row r="1203">
          <cell r="A1203" t="str">
            <v/>
          </cell>
          <cell r="B1203" t="str">
            <v>DCTDTBA</v>
          </cell>
          <cell r="C1203">
            <v>1</v>
          </cell>
          <cell r="E1203" t="str">
            <v>D2.8103</v>
          </cell>
          <cell r="F1203" t="str">
            <v>Đóng cọc tiếp địa trong TBA (đất cấp 3)</v>
          </cell>
          <cell r="G1203" t="str">
            <v>cọc</v>
          </cell>
          <cell r="H1203">
            <v>3</v>
          </cell>
          <cell r="I1203">
            <v>0</v>
          </cell>
          <cell r="K1203">
            <v>76928</v>
          </cell>
          <cell r="L1203">
            <v>0</v>
          </cell>
          <cell r="M1203">
            <v>0</v>
          </cell>
          <cell r="N1203">
            <v>0</v>
          </cell>
          <cell r="O1203">
            <v>230784</v>
          </cell>
          <cell r="P1203">
            <v>0</v>
          </cell>
          <cell r="S1203">
            <v>0</v>
          </cell>
          <cell r="T1203">
            <v>0</v>
          </cell>
        </row>
        <row r="1204">
          <cell r="A1204" t="str">
            <v/>
          </cell>
          <cell r="B1204" t="str">
            <v>DTD3</v>
          </cell>
          <cell r="C1204">
            <v>0</v>
          </cell>
          <cell r="E1204" t="str">
            <v>AB.11513</v>
          </cell>
          <cell r="F1204" t="str">
            <v>Đào rãnh tiếp địa đất cấp 3</v>
          </cell>
          <cell r="G1204" t="str">
            <v>m3</v>
          </cell>
          <cell r="H1204">
            <v>0</v>
          </cell>
          <cell r="I1204">
            <v>0</v>
          </cell>
          <cell r="K1204">
            <v>241580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S1204">
            <v>0</v>
          </cell>
          <cell r="T1204">
            <v>0</v>
          </cell>
        </row>
        <row r="1205">
          <cell r="A1205" t="str">
            <v/>
          </cell>
          <cell r="B1205" t="str">
            <v>DATD3</v>
          </cell>
          <cell r="C1205">
            <v>0</v>
          </cell>
          <cell r="E1205" t="str">
            <v>AB.13111</v>
          </cell>
          <cell r="F1205" t="str">
            <v>Đắp đất rãnh tiếp địa (K=0,85)</v>
          </cell>
          <cell r="G1205" t="str">
            <v>m3</v>
          </cell>
          <cell r="H1205">
            <v>0</v>
          </cell>
          <cell r="I1205">
            <v>0</v>
          </cell>
          <cell r="K1205">
            <v>100211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S1205">
            <v>0</v>
          </cell>
          <cell r="T1205">
            <v>0</v>
          </cell>
        </row>
        <row r="1206">
          <cell r="A1206" t="str">
            <v/>
          </cell>
          <cell r="C1206">
            <v>0</v>
          </cell>
          <cell r="D1206">
            <v>4</v>
          </cell>
          <cell r="F1206" t="str">
            <v>Tủ điện trạm treo 1 pha</v>
          </cell>
          <cell r="G1206" t="str">
            <v>Bộ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S1206">
            <v>0</v>
          </cell>
          <cell r="T1206">
            <v>0</v>
          </cell>
        </row>
        <row r="1207">
          <cell r="A1207" t="str">
            <v/>
          </cell>
          <cell r="C1207">
            <v>0</v>
          </cell>
          <cell r="F1207" t="str">
            <v>Gồm có:</v>
          </cell>
          <cell r="H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S1207">
            <v>0</v>
          </cell>
          <cell r="T1207">
            <v>0</v>
          </cell>
        </row>
        <row r="1208">
          <cell r="A1208" t="str">
            <v/>
          </cell>
          <cell r="B1208" t="str">
            <v>TUAP1</v>
          </cell>
          <cell r="C1208">
            <v>0</v>
          </cell>
          <cell r="E1208" t="str">
            <v>T5.1001</v>
          </cell>
          <cell r="F1208" t="str">
            <v>Tủ trạm treo + khóa + boulon + Bakelit + Collier (1 pha)</v>
          </cell>
          <cell r="G1208" t="str">
            <v>cái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S1208">
            <v>45</v>
          </cell>
          <cell r="T1208">
            <v>0</v>
          </cell>
        </row>
        <row r="1209">
          <cell r="C1209">
            <v>1</v>
          </cell>
          <cell r="D1209">
            <v>5</v>
          </cell>
          <cell r="F1209" t="str">
            <v>Bộ dây dẫn trung thế trạm 1 pha</v>
          </cell>
          <cell r="G1209" t="str">
            <v>Bộ</v>
          </cell>
          <cell r="H1209">
            <v>2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S1209">
            <v>0</v>
          </cell>
          <cell r="T1209">
            <v>0</v>
          </cell>
        </row>
        <row r="1210">
          <cell r="C1210">
            <v>0</v>
          </cell>
          <cell r="F1210" t="str">
            <v>Gồm có: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S1210">
            <v>0</v>
          </cell>
          <cell r="T1210">
            <v>0</v>
          </cell>
        </row>
        <row r="1211">
          <cell r="B1211" t="str">
            <v>CXV25</v>
          </cell>
          <cell r="C1211">
            <v>1</v>
          </cell>
          <cell r="E1211">
            <v>0</v>
          </cell>
          <cell r="F1211" t="str">
            <v>Cáp 24KV C/XLPE/PVC 25mm2</v>
          </cell>
          <cell r="G1211" t="str">
            <v>mét</v>
          </cell>
          <cell r="H1211">
            <v>24</v>
          </cell>
          <cell r="I1211">
            <v>69890</v>
          </cell>
          <cell r="K1211">
            <v>0</v>
          </cell>
          <cell r="L1211">
            <v>0</v>
          </cell>
          <cell r="M1211">
            <v>1677360</v>
          </cell>
          <cell r="N1211">
            <v>0</v>
          </cell>
          <cell r="O1211">
            <v>0</v>
          </cell>
          <cell r="P1211">
            <v>0</v>
          </cell>
          <cell r="S1211">
            <v>0.75</v>
          </cell>
          <cell r="T1211">
            <v>18</v>
          </cell>
        </row>
        <row r="1212">
          <cell r="B1212" t="str">
            <v>KQ4</v>
          </cell>
          <cell r="C1212">
            <v>1</v>
          </cell>
          <cell r="E1212">
            <v>0</v>
          </cell>
          <cell r="F1212" t="str">
            <v>Kẹp quai 4/0 (quai đồng 8mm)</v>
          </cell>
          <cell r="G1212" t="str">
            <v>cái</v>
          </cell>
          <cell r="H1212">
            <v>6</v>
          </cell>
          <cell r="I1212">
            <v>63000</v>
          </cell>
          <cell r="K1212">
            <v>0</v>
          </cell>
          <cell r="L1212">
            <v>0</v>
          </cell>
          <cell r="M1212">
            <v>378000</v>
          </cell>
          <cell r="N1212">
            <v>0</v>
          </cell>
          <cell r="O1212">
            <v>0</v>
          </cell>
          <cell r="P1212">
            <v>0</v>
          </cell>
          <cell r="S1212">
            <v>0.3</v>
          </cell>
          <cell r="T1212">
            <v>1.7999999999999998</v>
          </cell>
        </row>
        <row r="1213">
          <cell r="B1213" t="str">
            <v>CKQ</v>
          </cell>
          <cell r="C1213">
            <v>1</v>
          </cell>
          <cell r="E1213">
            <v>0</v>
          </cell>
          <cell r="F1213" t="str">
            <v>Chụp cách điện kẹp quai</v>
          </cell>
          <cell r="G1213" t="str">
            <v>cái</v>
          </cell>
          <cell r="H1213">
            <v>6</v>
          </cell>
          <cell r="I1213">
            <v>122000</v>
          </cell>
          <cell r="K1213">
            <v>0</v>
          </cell>
          <cell r="L1213">
            <v>0</v>
          </cell>
          <cell r="M1213">
            <v>732000</v>
          </cell>
          <cell r="N1213">
            <v>0</v>
          </cell>
          <cell r="O1213">
            <v>0</v>
          </cell>
          <cell r="P1213">
            <v>0</v>
          </cell>
          <cell r="S1213">
            <v>0.2</v>
          </cell>
          <cell r="T1213">
            <v>1.2000000000000002</v>
          </cell>
        </row>
        <row r="1214">
          <cell r="B1214" t="str">
            <v>HL2</v>
          </cell>
          <cell r="C1214">
            <v>1</v>
          </cell>
          <cell r="E1214">
            <v>0</v>
          </cell>
          <cell r="F1214" t="str">
            <v>Kẹp hotline 2/0</v>
          </cell>
          <cell r="G1214" t="str">
            <v>cái</v>
          </cell>
          <cell r="H1214">
            <v>4</v>
          </cell>
          <cell r="I1214">
            <v>68000</v>
          </cell>
          <cell r="K1214">
            <v>0</v>
          </cell>
          <cell r="L1214">
            <v>0</v>
          </cell>
          <cell r="M1214">
            <v>272000</v>
          </cell>
          <cell r="N1214">
            <v>0</v>
          </cell>
          <cell r="O1214">
            <v>0</v>
          </cell>
          <cell r="P1214">
            <v>0</v>
          </cell>
          <cell r="S1214">
            <v>0.1</v>
          </cell>
          <cell r="T1214">
            <v>0.4</v>
          </cell>
        </row>
        <row r="1215">
          <cell r="B1215" t="str">
            <v>LCAPDONGTB95</v>
          </cell>
          <cell r="C1215">
            <v>1</v>
          </cell>
          <cell r="E1215" t="str">
            <v>T4.4201</v>
          </cell>
          <cell r="F1215" t="str">
            <v>Lắp cáp đồng xuống thiết bị D ≤ 95mm2</v>
          </cell>
          <cell r="G1215" t="str">
            <v>m</v>
          </cell>
          <cell r="H1215">
            <v>24</v>
          </cell>
          <cell r="I1215">
            <v>0</v>
          </cell>
          <cell r="K1215">
            <v>11847</v>
          </cell>
          <cell r="L1215">
            <v>0</v>
          </cell>
          <cell r="M1215">
            <v>0</v>
          </cell>
          <cell r="N1215">
            <v>0</v>
          </cell>
          <cell r="O1215">
            <v>284328</v>
          </cell>
          <cell r="P1215">
            <v>0</v>
          </cell>
          <cell r="S1215">
            <v>0</v>
          </cell>
          <cell r="T1215">
            <v>0</v>
          </cell>
        </row>
        <row r="1216">
          <cell r="C1216">
            <v>1</v>
          </cell>
          <cell r="D1216">
            <v>6</v>
          </cell>
          <cell r="F1216" t="str">
            <v>Bộ dây dẫn hạ thế lộ xuống (thay ống, cáp xuất)</v>
          </cell>
          <cell r="G1216" t="str">
            <v>Bộ</v>
          </cell>
          <cell r="H1216">
            <v>2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S1216">
            <v>0</v>
          </cell>
          <cell r="T1216">
            <v>0</v>
          </cell>
        </row>
        <row r="1217">
          <cell r="C1217">
            <v>0</v>
          </cell>
          <cell r="F1217" t="str">
            <v>Gồm có: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S1217">
            <v>0</v>
          </cell>
          <cell r="T1217">
            <v>0</v>
          </cell>
        </row>
        <row r="1218">
          <cell r="B1218" t="str">
            <v>CV150</v>
          </cell>
          <cell r="C1218">
            <v>1</v>
          </cell>
          <cell r="E1218">
            <v>0</v>
          </cell>
          <cell r="F1218" t="str">
            <v>Cáp đồng bọc CV150 (Suối Râm 8 BS 1 sợi)</v>
          </cell>
          <cell r="G1218" t="str">
            <v>mét</v>
          </cell>
          <cell r="H1218">
            <v>40</v>
          </cell>
          <cell r="I1218">
            <v>274250</v>
          </cell>
          <cell r="K1218">
            <v>0</v>
          </cell>
          <cell r="L1218">
            <v>0</v>
          </cell>
          <cell r="M1218">
            <v>10970000</v>
          </cell>
          <cell r="N1218">
            <v>0</v>
          </cell>
          <cell r="O1218">
            <v>0</v>
          </cell>
          <cell r="P1218">
            <v>0</v>
          </cell>
          <cell r="Q1218" t="str">
            <v>10m*3sợi*lộ*TBA</v>
          </cell>
          <cell r="S1218">
            <v>1.5980000000000001</v>
          </cell>
          <cell r="T1218">
            <v>63.92</v>
          </cell>
        </row>
        <row r="1219">
          <cell r="B1219" t="str">
            <v>CV95</v>
          </cell>
          <cell r="C1219">
            <v>1</v>
          </cell>
          <cell r="E1219">
            <v>0</v>
          </cell>
          <cell r="F1219" t="str">
            <v>Cáp đồng bọc CV95</v>
          </cell>
          <cell r="G1219" t="str">
            <v>mét</v>
          </cell>
          <cell r="H1219">
            <v>20</v>
          </cell>
          <cell r="I1219">
            <v>170620</v>
          </cell>
          <cell r="K1219">
            <v>0</v>
          </cell>
          <cell r="L1219">
            <v>0</v>
          </cell>
          <cell r="M1219">
            <v>3412400</v>
          </cell>
          <cell r="N1219">
            <v>0</v>
          </cell>
          <cell r="O1219">
            <v>0</v>
          </cell>
          <cell r="P1219">
            <v>0</v>
          </cell>
          <cell r="S1219">
            <v>1.008</v>
          </cell>
          <cell r="T1219">
            <v>20.16</v>
          </cell>
        </row>
        <row r="1220">
          <cell r="B1220" t="str">
            <v>CVV4X4</v>
          </cell>
          <cell r="C1220">
            <v>1</v>
          </cell>
          <cell r="E1220">
            <v>0</v>
          </cell>
          <cell r="F1220" t="str">
            <v>Cáp điều khiển CVV 4x4,0mm2</v>
          </cell>
          <cell r="G1220" t="str">
            <v>mét</v>
          </cell>
          <cell r="H1220">
            <v>4</v>
          </cell>
          <cell r="I1220">
            <v>56700</v>
          </cell>
          <cell r="K1220">
            <v>0</v>
          </cell>
          <cell r="L1220">
            <v>0</v>
          </cell>
          <cell r="M1220">
            <v>226800</v>
          </cell>
          <cell r="N1220">
            <v>0</v>
          </cell>
          <cell r="O1220">
            <v>0</v>
          </cell>
          <cell r="P1220">
            <v>0</v>
          </cell>
          <cell r="S1220">
            <v>3.024</v>
          </cell>
          <cell r="T1220">
            <v>12.096</v>
          </cell>
        </row>
        <row r="1221">
          <cell r="B1221" t="str">
            <v>COS150</v>
          </cell>
          <cell r="C1221">
            <v>1</v>
          </cell>
          <cell r="E1221">
            <v>0</v>
          </cell>
          <cell r="F1221" t="str">
            <v>Đầu cosse ép Cu 150mm2</v>
          </cell>
          <cell r="G1221" t="str">
            <v>cái</v>
          </cell>
          <cell r="H1221">
            <v>4</v>
          </cell>
          <cell r="I1221">
            <v>94500</v>
          </cell>
          <cell r="K1221">
            <v>0</v>
          </cell>
          <cell r="L1221">
            <v>0</v>
          </cell>
          <cell r="M1221">
            <v>378000</v>
          </cell>
          <cell r="N1221">
            <v>0</v>
          </cell>
          <cell r="O1221">
            <v>0</v>
          </cell>
          <cell r="P1221">
            <v>0</v>
          </cell>
          <cell r="S1221">
            <v>0.2</v>
          </cell>
          <cell r="T1221">
            <v>0.8</v>
          </cell>
        </row>
        <row r="1222">
          <cell r="B1222" t="str">
            <v>COS95</v>
          </cell>
          <cell r="C1222">
            <v>1</v>
          </cell>
          <cell r="E1222">
            <v>0</v>
          </cell>
          <cell r="F1222" t="str">
            <v>Đầu cosse ép Cu 95mm2</v>
          </cell>
          <cell r="G1222" t="str">
            <v>cái</v>
          </cell>
          <cell r="H1222">
            <v>1</v>
          </cell>
          <cell r="I1222">
            <v>47500</v>
          </cell>
          <cell r="K1222">
            <v>0</v>
          </cell>
          <cell r="L1222">
            <v>0</v>
          </cell>
          <cell r="M1222">
            <v>47500</v>
          </cell>
          <cell r="N1222">
            <v>0</v>
          </cell>
          <cell r="O1222">
            <v>0</v>
          </cell>
          <cell r="P1222">
            <v>0</v>
          </cell>
          <cell r="S1222">
            <v>0.2</v>
          </cell>
          <cell r="T1222">
            <v>0.2</v>
          </cell>
        </row>
        <row r="1223">
          <cell r="B1223" t="str">
            <v>CHCOS150</v>
          </cell>
          <cell r="C1223">
            <v>1</v>
          </cell>
          <cell r="E1223">
            <v>0</v>
          </cell>
          <cell r="F1223" t="str">
            <v>Chụp đầu cosse  150mm2</v>
          </cell>
          <cell r="G1223" t="str">
            <v>cái</v>
          </cell>
          <cell r="H1223">
            <v>4</v>
          </cell>
          <cell r="I1223">
            <v>4600</v>
          </cell>
          <cell r="K1223">
            <v>0</v>
          </cell>
          <cell r="L1223">
            <v>0</v>
          </cell>
          <cell r="M1223">
            <v>18400</v>
          </cell>
          <cell r="N1223">
            <v>0</v>
          </cell>
          <cell r="O1223">
            <v>0</v>
          </cell>
          <cell r="P1223">
            <v>0</v>
          </cell>
          <cell r="S1223">
            <v>0</v>
          </cell>
          <cell r="T1223">
            <v>0</v>
          </cell>
        </row>
        <row r="1224">
          <cell r="B1224" t="str">
            <v>CHCOS95</v>
          </cell>
          <cell r="C1224">
            <v>1</v>
          </cell>
          <cell r="E1224">
            <v>0</v>
          </cell>
          <cell r="F1224" t="str">
            <v>Chụp đầu cosse  95mm2</v>
          </cell>
          <cell r="G1224" t="str">
            <v>cái</v>
          </cell>
          <cell r="H1224">
            <v>1</v>
          </cell>
          <cell r="I1224">
            <v>3300</v>
          </cell>
          <cell r="K1224">
            <v>0</v>
          </cell>
          <cell r="L1224">
            <v>0</v>
          </cell>
          <cell r="M1224">
            <v>3300</v>
          </cell>
          <cell r="N1224">
            <v>0</v>
          </cell>
          <cell r="O1224">
            <v>0</v>
          </cell>
          <cell r="P1224">
            <v>0</v>
          </cell>
          <cell r="S1224">
            <v>0</v>
          </cell>
          <cell r="T1224">
            <v>0</v>
          </cell>
        </row>
        <row r="1225">
          <cell r="B1225" t="str">
            <v>PVC114</v>
          </cell>
          <cell r="C1225">
            <v>1</v>
          </cell>
          <cell r="E1225">
            <v>0</v>
          </cell>
          <cell r="F1225" t="str">
            <v xml:space="preserve">Ống PVC D114x4,9mm </v>
          </cell>
          <cell r="G1225" t="str">
            <v>m</v>
          </cell>
          <cell r="H1225">
            <v>12</v>
          </cell>
          <cell r="I1225">
            <v>103700</v>
          </cell>
          <cell r="K1225">
            <v>0</v>
          </cell>
          <cell r="L1225">
            <v>0</v>
          </cell>
          <cell r="M1225">
            <v>1244400</v>
          </cell>
          <cell r="N1225">
            <v>0</v>
          </cell>
          <cell r="O1225">
            <v>0</v>
          </cell>
          <cell r="P1225">
            <v>0</v>
          </cell>
          <cell r="S1225">
            <v>2</v>
          </cell>
          <cell r="T1225">
            <v>24</v>
          </cell>
        </row>
        <row r="1226">
          <cell r="B1226" t="str">
            <v>CD114</v>
          </cell>
          <cell r="C1226">
            <v>1</v>
          </cell>
          <cell r="E1226">
            <v>0</v>
          </cell>
          <cell r="F1226" t="str">
            <v>Cổ dê kẹp ống PVC φ 114 (có giá nới)</v>
          </cell>
          <cell r="G1226" t="str">
            <v>bộ</v>
          </cell>
          <cell r="H1226">
            <v>2</v>
          </cell>
          <cell r="I1226">
            <v>74000</v>
          </cell>
          <cell r="K1226">
            <v>0</v>
          </cell>
          <cell r="L1226">
            <v>0</v>
          </cell>
          <cell r="M1226">
            <v>148000</v>
          </cell>
          <cell r="N1226">
            <v>0</v>
          </cell>
          <cell r="O1226">
            <v>0</v>
          </cell>
          <cell r="P1226">
            <v>0</v>
          </cell>
          <cell r="S1226">
            <v>1.5</v>
          </cell>
          <cell r="T1226">
            <v>3</v>
          </cell>
        </row>
        <row r="1227">
          <cell r="B1227" t="str">
            <v>CD114</v>
          </cell>
          <cell r="C1227">
            <v>1</v>
          </cell>
          <cell r="E1227">
            <v>0</v>
          </cell>
          <cell r="F1227" t="str">
            <v>Cổ dê kẹp ống PVC φ 114 (có giá nới)</v>
          </cell>
          <cell r="G1227" t="str">
            <v>bộ</v>
          </cell>
          <cell r="H1227">
            <v>2</v>
          </cell>
          <cell r="I1227">
            <v>74000</v>
          </cell>
          <cell r="K1227">
            <v>0</v>
          </cell>
          <cell r="L1227">
            <v>0</v>
          </cell>
          <cell r="M1227">
            <v>148000</v>
          </cell>
          <cell r="N1227">
            <v>0</v>
          </cell>
          <cell r="O1227">
            <v>0</v>
          </cell>
          <cell r="P1227">
            <v>0</v>
          </cell>
          <cell r="S1227">
            <v>1.5</v>
          </cell>
          <cell r="T1227">
            <v>3</v>
          </cell>
        </row>
        <row r="1228">
          <cell r="B1228" t="str">
            <v>CD114</v>
          </cell>
          <cell r="C1228">
            <v>1</v>
          </cell>
          <cell r="E1228">
            <v>0</v>
          </cell>
          <cell r="F1228" t="str">
            <v>Cổ dê kẹp ống PVC φ 114 (có giá nới)</v>
          </cell>
          <cell r="G1228" t="str">
            <v>bộ</v>
          </cell>
          <cell r="H1228">
            <v>2</v>
          </cell>
          <cell r="I1228">
            <v>74000</v>
          </cell>
          <cell r="K1228">
            <v>0</v>
          </cell>
          <cell r="L1228">
            <v>0</v>
          </cell>
          <cell r="M1228">
            <v>148000</v>
          </cell>
          <cell r="N1228">
            <v>0</v>
          </cell>
          <cell r="O1228">
            <v>0</v>
          </cell>
          <cell r="P1228">
            <v>0</v>
          </cell>
          <cell r="S1228">
            <v>1.5</v>
          </cell>
          <cell r="T1228">
            <v>3</v>
          </cell>
        </row>
        <row r="1229">
          <cell r="B1229" t="str">
            <v>CUT114TD</v>
          </cell>
          <cell r="C1229">
            <v>1</v>
          </cell>
          <cell r="E1229">
            <v>0</v>
          </cell>
          <cell r="F1229" t="str">
            <v>Co  90 độ PVC 114 (Loại dày)</v>
          </cell>
          <cell r="G1229" t="str">
            <v>cái</v>
          </cell>
          <cell r="H1229">
            <v>2</v>
          </cell>
          <cell r="I1229">
            <v>104800</v>
          </cell>
          <cell r="K1229">
            <v>0</v>
          </cell>
          <cell r="L1229">
            <v>0</v>
          </cell>
          <cell r="M1229">
            <v>209600</v>
          </cell>
          <cell r="N1229">
            <v>0</v>
          </cell>
          <cell r="O1229">
            <v>0</v>
          </cell>
          <cell r="P1229">
            <v>0</v>
          </cell>
          <cell r="S1229">
            <v>0</v>
          </cell>
          <cell r="T1229">
            <v>0</v>
          </cell>
        </row>
        <row r="1230">
          <cell r="B1230" t="str">
            <v>CUT114135</v>
          </cell>
          <cell r="C1230">
            <v>1</v>
          </cell>
          <cell r="E1230">
            <v>0</v>
          </cell>
          <cell r="F1230" t="str">
            <v>Co 135 độ PVC 114</v>
          </cell>
          <cell r="G1230" t="str">
            <v>cái</v>
          </cell>
          <cell r="H1230">
            <v>2</v>
          </cell>
          <cell r="I1230">
            <v>70800</v>
          </cell>
          <cell r="K1230">
            <v>0</v>
          </cell>
          <cell r="L1230">
            <v>0</v>
          </cell>
          <cell r="M1230">
            <v>141600</v>
          </cell>
          <cell r="N1230">
            <v>0</v>
          </cell>
          <cell r="O1230">
            <v>0</v>
          </cell>
          <cell r="P1230">
            <v>0</v>
          </cell>
          <cell r="S1230">
            <v>0</v>
          </cell>
          <cell r="T1230">
            <v>0</v>
          </cell>
        </row>
        <row r="1231">
          <cell r="B1231" t="str">
            <v>KEODAN</v>
          </cell>
          <cell r="C1231">
            <v>1</v>
          </cell>
          <cell r="E1231">
            <v>0</v>
          </cell>
          <cell r="F1231" t="str">
            <v>Keo dán ống PVC (100gr)</v>
          </cell>
          <cell r="G1231" t="str">
            <v>tuýp</v>
          </cell>
          <cell r="H1231">
            <v>2</v>
          </cell>
          <cell r="I1231">
            <v>11500</v>
          </cell>
          <cell r="K1231">
            <v>0</v>
          </cell>
          <cell r="L1231">
            <v>0</v>
          </cell>
          <cell r="M1231">
            <v>23000</v>
          </cell>
          <cell r="N1231">
            <v>0</v>
          </cell>
          <cell r="O1231">
            <v>0</v>
          </cell>
          <cell r="P1231">
            <v>0</v>
          </cell>
          <cell r="S1231">
            <v>0</v>
          </cell>
          <cell r="T1231">
            <v>0</v>
          </cell>
        </row>
        <row r="1232">
          <cell r="B1232" t="str">
            <v>KEOBIT</v>
          </cell>
          <cell r="C1232">
            <v>1</v>
          </cell>
          <cell r="E1232">
            <v>0</v>
          </cell>
          <cell r="F1232" t="str">
            <v>Keo silicon bít miệng ống</v>
          </cell>
          <cell r="G1232" t="str">
            <v>ống</v>
          </cell>
          <cell r="H1232">
            <v>2</v>
          </cell>
          <cell r="I1232">
            <v>45000</v>
          </cell>
          <cell r="K1232">
            <v>0</v>
          </cell>
          <cell r="L1232">
            <v>0</v>
          </cell>
          <cell r="M1232">
            <v>90000</v>
          </cell>
          <cell r="N1232">
            <v>0</v>
          </cell>
          <cell r="O1232">
            <v>0</v>
          </cell>
          <cell r="P1232">
            <v>0</v>
          </cell>
          <cell r="S1232">
            <v>0</v>
          </cell>
          <cell r="T1232">
            <v>0</v>
          </cell>
        </row>
        <row r="1233">
          <cell r="B1233" t="str">
            <v>BANGKEO</v>
          </cell>
          <cell r="C1233">
            <v>1</v>
          </cell>
          <cell r="E1233">
            <v>0</v>
          </cell>
          <cell r="F1233" t="str">
            <v>Băng keo cách điện (Màu đen)</v>
          </cell>
          <cell r="G1233" t="str">
            <v>cuộn</v>
          </cell>
          <cell r="H1233">
            <v>2</v>
          </cell>
          <cell r="I1233">
            <v>6500</v>
          </cell>
          <cell r="K1233">
            <v>0</v>
          </cell>
          <cell r="L1233">
            <v>0</v>
          </cell>
          <cell r="M1233">
            <v>13000</v>
          </cell>
          <cell r="N1233">
            <v>0</v>
          </cell>
          <cell r="O1233">
            <v>0</v>
          </cell>
          <cell r="P1233">
            <v>0</v>
          </cell>
          <cell r="S1233">
            <v>0</v>
          </cell>
          <cell r="T1233">
            <v>0</v>
          </cell>
        </row>
        <row r="1234">
          <cell r="B1234" t="str">
            <v>LPVC114CL</v>
          </cell>
          <cell r="C1234">
            <v>1</v>
          </cell>
          <cell r="E1234" t="str">
            <v>T4.8003</v>
          </cell>
          <cell r="F1234" t="str">
            <v>Lắp ống nhựa PVC D114</v>
          </cell>
          <cell r="G1234" t="str">
            <v>mét</v>
          </cell>
          <cell r="H1234">
            <v>12</v>
          </cell>
          <cell r="I1234">
            <v>0</v>
          </cell>
          <cell r="K1234">
            <v>35541</v>
          </cell>
          <cell r="L1234">
            <v>0</v>
          </cell>
          <cell r="M1234">
            <v>0</v>
          </cell>
          <cell r="N1234">
            <v>0</v>
          </cell>
          <cell r="O1234">
            <v>426492</v>
          </cell>
          <cell r="P1234">
            <v>0</v>
          </cell>
          <cell r="S1234">
            <v>0</v>
          </cell>
          <cell r="T1234">
            <v>0</v>
          </cell>
        </row>
        <row r="1235">
          <cell r="B1235" t="str">
            <v>LCAPDONGTB150</v>
          </cell>
          <cell r="C1235">
            <v>1</v>
          </cell>
          <cell r="E1235" t="str">
            <v>T4.4202</v>
          </cell>
          <cell r="F1235" t="str">
            <v>Lắp cáp đồng xuống thiết bị D ≤ 150mm2</v>
          </cell>
          <cell r="G1235" t="str">
            <v>m</v>
          </cell>
          <cell r="H1235">
            <v>60</v>
          </cell>
          <cell r="I1235">
            <v>0</v>
          </cell>
          <cell r="K1235">
            <v>28433</v>
          </cell>
          <cell r="L1235">
            <v>0</v>
          </cell>
          <cell r="M1235">
            <v>0</v>
          </cell>
          <cell r="N1235">
            <v>0</v>
          </cell>
          <cell r="O1235">
            <v>1705980</v>
          </cell>
          <cell r="P1235">
            <v>0</v>
          </cell>
          <cell r="S1235">
            <v>0</v>
          </cell>
          <cell r="T1235">
            <v>0</v>
          </cell>
        </row>
        <row r="1236">
          <cell r="C1236">
            <v>1</v>
          </cell>
          <cell r="D1236">
            <v>7</v>
          </cell>
          <cell r="F1236" t="str">
            <v>Bộ dây dẫn hạ thế lộ lên (thay ống, cáp xuất)</v>
          </cell>
          <cell r="G1236" t="str">
            <v>Bộ</v>
          </cell>
          <cell r="H1236">
            <v>4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S1236">
            <v>0</v>
          </cell>
          <cell r="T1236">
            <v>0</v>
          </cell>
        </row>
        <row r="1237">
          <cell r="C1237">
            <v>0</v>
          </cell>
          <cell r="F1237" t="str">
            <v>Gồm có: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S1237">
            <v>0</v>
          </cell>
          <cell r="T1237">
            <v>0</v>
          </cell>
        </row>
        <row r="1238">
          <cell r="C1238">
            <v>1</v>
          </cell>
          <cell r="F1238" t="str">
            <v>Trạm Biến áp Tân Xuân 7</v>
          </cell>
        </row>
        <row r="1239">
          <cell r="B1239" t="str">
            <v>CV150</v>
          </cell>
          <cell r="C1239">
            <v>1</v>
          </cell>
          <cell r="E1239">
            <v>0</v>
          </cell>
          <cell r="F1239" t="str">
            <v>Cáp đồng bọc CV150</v>
          </cell>
          <cell r="G1239" t="str">
            <v>mét</v>
          </cell>
          <cell r="H1239">
            <v>8</v>
          </cell>
          <cell r="I1239">
            <v>274250</v>
          </cell>
          <cell r="K1239">
            <v>0</v>
          </cell>
          <cell r="L1239">
            <v>0</v>
          </cell>
          <cell r="M1239">
            <v>2194000</v>
          </cell>
          <cell r="N1239">
            <v>0</v>
          </cell>
          <cell r="O1239">
            <v>0</v>
          </cell>
          <cell r="P1239">
            <v>0</v>
          </cell>
          <cell r="S1239">
            <v>1.5980000000000001</v>
          </cell>
          <cell r="T1239">
            <v>12.784000000000001</v>
          </cell>
        </row>
        <row r="1240">
          <cell r="B1240" t="str">
            <v>CV95</v>
          </cell>
          <cell r="C1240">
            <v>1</v>
          </cell>
          <cell r="E1240">
            <v>0</v>
          </cell>
          <cell r="F1240" t="str">
            <v>Cáp đồng bọc CV95</v>
          </cell>
          <cell r="G1240" t="str">
            <v>mét</v>
          </cell>
          <cell r="H1240">
            <v>8</v>
          </cell>
          <cell r="I1240">
            <v>170620</v>
          </cell>
          <cell r="K1240">
            <v>0</v>
          </cell>
          <cell r="L1240">
            <v>0</v>
          </cell>
          <cell r="M1240">
            <v>1364960</v>
          </cell>
          <cell r="N1240">
            <v>0</v>
          </cell>
          <cell r="O1240">
            <v>0</v>
          </cell>
          <cell r="P1240">
            <v>0</v>
          </cell>
          <cell r="S1240">
            <v>1.008</v>
          </cell>
          <cell r="T1240">
            <v>8.0640000000000001</v>
          </cell>
        </row>
        <row r="1241">
          <cell r="B1241" t="str">
            <v>CV95</v>
          </cell>
          <cell r="C1241">
            <v>1</v>
          </cell>
          <cell r="E1241">
            <v>0</v>
          </cell>
          <cell r="F1241" t="str">
            <v>Cáp đồng bọc CV95 (SDL)</v>
          </cell>
          <cell r="G1241" t="str">
            <v>mét</v>
          </cell>
          <cell r="H1241">
            <v>24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S1241">
            <v>1.008</v>
          </cell>
          <cell r="T1241">
            <v>24.192</v>
          </cell>
        </row>
        <row r="1242">
          <cell r="B1242" t="str">
            <v>CV150</v>
          </cell>
          <cell r="C1242">
            <v>1</v>
          </cell>
          <cell r="E1242">
            <v>0</v>
          </cell>
          <cell r="F1242" t="str">
            <v>Cáp đồng bọc CV150 (SDL dây từ lộ xuống hh làm TH lên)</v>
          </cell>
          <cell r="G1242" t="str">
            <v>mét</v>
          </cell>
          <cell r="H1242">
            <v>16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S1242">
            <v>1.5980000000000001</v>
          </cell>
          <cell r="T1242">
            <v>25.568000000000001</v>
          </cell>
        </row>
        <row r="1243">
          <cell r="B1243" t="str">
            <v>CV70</v>
          </cell>
          <cell r="C1243">
            <v>1</v>
          </cell>
          <cell r="E1243">
            <v>0</v>
          </cell>
          <cell r="F1243" t="str">
            <v>Cáp đồng bọc CV70 (SDL)</v>
          </cell>
          <cell r="G1243" t="str">
            <v>mét</v>
          </cell>
          <cell r="H1243">
            <v>8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S1243">
            <v>0.73899999999999999</v>
          </cell>
          <cell r="T1243">
            <v>5.9119999999999999</v>
          </cell>
        </row>
        <row r="1244">
          <cell r="B1244" t="str">
            <v>COS150</v>
          </cell>
          <cell r="C1244">
            <v>1</v>
          </cell>
          <cell r="E1244">
            <v>0</v>
          </cell>
          <cell r="F1244" t="str">
            <v>Đầu cosse ép Cu 150mm2</v>
          </cell>
          <cell r="G1244" t="str">
            <v>cái</v>
          </cell>
          <cell r="H1244">
            <v>1</v>
          </cell>
          <cell r="I1244">
            <v>94500</v>
          </cell>
          <cell r="K1244">
            <v>0</v>
          </cell>
          <cell r="L1244">
            <v>0</v>
          </cell>
          <cell r="M1244">
            <v>94500</v>
          </cell>
          <cell r="N1244">
            <v>0</v>
          </cell>
          <cell r="O1244">
            <v>0</v>
          </cell>
          <cell r="P1244">
            <v>0</v>
          </cell>
          <cell r="S1244">
            <v>0.2</v>
          </cell>
          <cell r="T1244">
            <v>0.2</v>
          </cell>
        </row>
        <row r="1245">
          <cell r="B1245" t="str">
            <v>CHCOS150</v>
          </cell>
          <cell r="C1245">
            <v>1</v>
          </cell>
          <cell r="E1245">
            <v>0</v>
          </cell>
          <cell r="F1245" t="str">
            <v>Chụp đầu cosse  150mm2</v>
          </cell>
          <cell r="G1245" t="str">
            <v>cái</v>
          </cell>
          <cell r="H1245">
            <v>1</v>
          </cell>
          <cell r="I1245">
            <v>4600</v>
          </cell>
          <cell r="K1245">
            <v>0</v>
          </cell>
          <cell r="L1245">
            <v>0</v>
          </cell>
          <cell r="M1245">
            <v>4600</v>
          </cell>
          <cell r="N1245">
            <v>0</v>
          </cell>
          <cell r="O1245">
            <v>0</v>
          </cell>
          <cell r="P1245">
            <v>0</v>
          </cell>
          <cell r="S1245">
            <v>0</v>
          </cell>
          <cell r="T1245">
            <v>0</v>
          </cell>
        </row>
        <row r="1246">
          <cell r="B1246" t="str">
            <v>COS95</v>
          </cell>
          <cell r="C1246">
            <v>1</v>
          </cell>
          <cell r="E1246">
            <v>0</v>
          </cell>
          <cell r="F1246" t="str">
            <v>Đầu cosse ép Cu 95mm2</v>
          </cell>
          <cell r="G1246" t="str">
            <v>cái</v>
          </cell>
          <cell r="H1246">
            <v>1</v>
          </cell>
          <cell r="I1246">
            <v>47500</v>
          </cell>
          <cell r="K1246">
            <v>0</v>
          </cell>
          <cell r="L1246">
            <v>0</v>
          </cell>
          <cell r="M1246">
            <v>47500</v>
          </cell>
          <cell r="N1246">
            <v>0</v>
          </cell>
          <cell r="O1246">
            <v>0</v>
          </cell>
          <cell r="P1246">
            <v>0</v>
          </cell>
          <cell r="S1246">
            <v>0.2</v>
          </cell>
          <cell r="T1246">
            <v>0.2</v>
          </cell>
        </row>
        <row r="1247">
          <cell r="B1247" t="str">
            <v>CHCOS95</v>
          </cell>
          <cell r="C1247">
            <v>1</v>
          </cell>
          <cell r="E1247">
            <v>0</v>
          </cell>
          <cell r="F1247" t="str">
            <v>Chụp đầu cosse  95mm2</v>
          </cell>
          <cell r="G1247" t="str">
            <v>cái</v>
          </cell>
          <cell r="H1247">
            <v>1</v>
          </cell>
          <cell r="I1247">
            <v>3300</v>
          </cell>
          <cell r="K1247">
            <v>0</v>
          </cell>
          <cell r="L1247">
            <v>0</v>
          </cell>
          <cell r="M1247">
            <v>3300</v>
          </cell>
          <cell r="N1247">
            <v>0</v>
          </cell>
          <cell r="O1247">
            <v>0</v>
          </cell>
          <cell r="P1247">
            <v>0</v>
          </cell>
          <cell r="S1247">
            <v>0</v>
          </cell>
          <cell r="T1247">
            <v>0</v>
          </cell>
        </row>
        <row r="1248">
          <cell r="C1248">
            <v>1</v>
          </cell>
          <cell r="F1248" t="str">
            <v>Trạm Biến áp Suối Râm 8</v>
          </cell>
        </row>
        <row r="1249">
          <cell r="B1249" t="str">
            <v>CV95</v>
          </cell>
          <cell r="C1249">
            <v>1</v>
          </cell>
          <cell r="E1249">
            <v>0</v>
          </cell>
          <cell r="F1249" t="str">
            <v>Cáp đồng bọc CV95</v>
          </cell>
          <cell r="G1249" t="str">
            <v>mét</v>
          </cell>
          <cell r="H1249">
            <v>18</v>
          </cell>
          <cell r="I1249">
            <v>170620</v>
          </cell>
          <cell r="K1249">
            <v>0</v>
          </cell>
          <cell r="L1249">
            <v>0</v>
          </cell>
          <cell r="M1249">
            <v>3071160</v>
          </cell>
          <cell r="N1249">
            <v>0</v>
          </cell>
          <cell r="O1249">
            <v>0</v>
          </cell>
          <cell r="P1249">
            <v>0</v>
          </cell>
          <cell r="S1249">
            <v>1.008</v>
          </cell>
          <cell r="T1249">
            <v>18.143999999999998</v>
          </cell>
        </row>
        <row r="1250">
          <cell r="B1250" t="str">
            <v>CV95</v>
          </cell>
          <cell r="C1250">
            <v>1</v>
          </cell>
          <cell r="E1250">
            <v>0</v>
          </cell>
          <cell r="F1250" t="str">
            <v>Cáp đồng bọc CV95 (SDL)</v>
          </cell>
          <cell r="G1250" t="str">
            <v>mét</v>
          </cell>
          <cell r="H1250">
            <v>36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S1250">
            <v>1.008</v>
          </cell>
          <cell r="T1250">
            <v>36.287999999999997</v>
          </cell>
        </row>
        <row r="1251">
          <cell r="B1251" t="str">
            <v>CV70</v>
          </cell>
          <cell r="C1251">
            <v>1</v>
          </cell>
          <cell r="E1251">
            <v>0</v>
          </cell>
          <cell r="F1251" t="str">
            <v>Cáp đồng bọc CV70 (SDL)</v>
          </cell>
          <cell r="G1251" t="str">
            <v>mét</v>
          </cell>
          <cell r="H1251">
            <v>18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S1251">
            <v>0.73899999999999999</v>
          </cell>
          <cell r="T1251">
            <v>13.302</v>
          </cell>
        </row>
        <row r="1252">
          <cell r="B1252" t="str">
            <v>COS95</v>
          </cell>
          <cell r="C1252">
            <v>1</v>
          </cell>
          <cell r="E1252">
            <v>0</v>
          </cell>
          <cell r="F1252" t="str">
            <v>Đầu cosse ép Cu 95mm2</v>
          </cell>
          <cell r="G1252" t="str">
            <v>cái</v>
          </cell>
          <cell r="H1252">
            <v>2</v>
          </cell>
          <cell r="I1252">
            <v>47500</v>
          </cell>
          <cell r="K1252">
            <v>0</v>
          </cell>
          <cell r="L1252">
            <v>0</v>
          </cell>
          <cell r="M1252">
            <v>95000</v>
          </cell>
          <cell r="N1252">
            <v>0</v>
          </cell>
          <cell r="O1252">
            <v>0</v>
          </cell>
          <cell r="P1252">
            <v>0</v>
          </cell>
          <cell r="S1252">
            <v>0.2</v>
          </cell>
          <cell r="T1252">
            <v>0.4</v>
          </cell>
        </row>
        <row r="1253">
          <cell r="B1253" t="str">
            <v>CHCOS95</v>
          </cell>
          <cell r="C1253">
            <v>1</v>
          </cell>
          <cell r="E1253">
            <v>0</v>
          </cell>
          <cell r="F1253" t="str">
            <v>Chụp đầu cosse  95mm2</v>
          </cell>
          <cell r="G1253" t="str">
            <v>cái</v>
          </cell>
          <cell r="H1253">
            <v>2</v>
          </cell>
          <cell r="I1253">
            <v>3300</v>
          </cell>
          <cell r="K1253">
            <v>0</v>
          </cell>
          <cell r="L1253">
            <v>0</v>
          </cell>
          <cell r="M1253">
            <v>6600</v>
          </cell>
          <cell r="N1253">
            <v>0</v>
          </cell>
          <cell r="O1253">
            <v>0</v>
          </cell>
          <cell r="P1253">
            <v>0</v>
          </cell>
          <cell r="S1253">
            <v>0</v>
          </cell>
          <cell r="T1253">
            <v>0</v>
          </cell>
        </row>
        <row r="1254">
          <cell r="B1254" t="str">
            <v>PVC90</v>
          </cell>
          <cell r="C1254">
            <v>1</v>
          </cell>
          <cell r="E1254">
            <v>0</v>
          </cell>
          <cell r="F1254" t="str">
            <v>Ống PVC D90x3,8mm  (SDL)</v>
          </cell>
          <cell r="G1254" t="str">
            <v>m</v>
          </cell>
          <cell r="H1254">
            <v>12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S1254">
            <v>2</v>
          </cell>
          <cell r="T1254">
            <v>24</v>
          </cell>
        </row>
        <row r="1255">
          <cell r="B1255" t="str">
            <v>CD114</v>
          </cell>
          <cell r="C1255">
            <v>0</v>
          </cell>
          <cell r="E1255">
            <v>0</v>
          </cell>
          <cell r="F1255" t="str">
            <v>Cổ dê kẹp ống PVC φ 114 (có giá nới)</v>
          </cell>
          <cell r="G1255" t="str">
            <v>bộ</v>
          </cell>
          <cell r="I1255">
            <v>74000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S1255">
            <v>1.5</v>
          </cell>
          <cell r="T1255">
            <v>0</v>
          </cell>
        </row>
        <row r="1256">
          <cell r="B1256" t="str">
            <v>CD114</v>
          </cell>
          <cell r="C1256">
            <v>0</v>
          </cell>
          <cell r="E1256">
            <v>0</v>
          </cell>
          <cell r="F1256" t="str">
            <v>Cổ dê kẹp ống PVC φ 114 (có giá nới)</v>
          </cell>
          <cell r="G1256" t="str">
            <v>bộ</v>
          </cell>
          <cell r="I1256">
            <v>74000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S1256">
            <v>1.5</v>
          </cell>
          <cell r="T1256">
            <v>0</v>
          </cell>
        </row>
        <row r="1257">
          <cell r="B1257" t="str">
            <v>CD114</v>
          </cell>
          <cell r="C1257">
            <v>0</v>
          </cell>
          <cell r="E1257">
            <v>0</v>
          </cell>
          <cell r="F1257" t="str">
            <v>Cổ dê kẹp ống PVC φ 114 (có giá nới)</v>
          </cell>
          <cell r="G1257" t="str">
            <v>bộ</v>
          </cell>
          <cell r="I1257">
            <v>74000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S1257">
            <v>1.5</v>
          </cell>
          <cell r="T1257">
            <v>0</v>
          </cell>
        </row>
        <row r="1258">
          <cell r="B1258" t="str">
            <v>CUT114T</v>
          </cell>
          <cell r="C1258">
            <v>0</v>
          </cell>
          <cell r="E1258">
            <v>0</v>
          </cell>
          <cell r="F1258" t="str">
            <v>Co  90 độ PVC 114</v>
          </cell>
          <cell r="G1258" t="str">
            <v>cái</v>
          </cell>
          <cell r="I1258">
            <v>65500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S1258">
            <v>0</v>
          </cell>
          <cell r="T1258">
            <v>0</v>
          </cell>
        </row>
        <row r="1259">
          <cell r="B1259" t="str">
            <v>CUT114135</v>
          </cell>
          <cell r="C1259">
            <v>0</v>
          </cell>
          <cell r="E1259">
            <v>0</v>
          </cell>
          <cell r="F1259" t="str">
            <v>Co 135 độ PVC 114</v>
          </cell>
          <cell r="G1259" t="str">
            <v>cái</v>
          </cell>
          <cell r="I1259">
            <v>70800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S1259">
            <v>0</v>
          </cell>
          <cell r="T1259">
            <v>0</v>
          </cell>
        </row>
        <row r="1260">
          <cell r="B1260" t="str">
            <v>KEODAN</v>
          </cell>
          <cell r="C1260">
            <v>1</v>
          </cell>
          <cell r="E1260">
            <v>0</v>
          </cell>
          <cell r="F1260" t="str">
            <v>Keo dán ống PVC (100gr)</v>
          </cell>
          <cell r="G1260" t="str">
            <v>tuýp</v>
          </cell>
          <cell r="H1260">
            <v>4</v>
          </cell>
          <cell r="I1260">
            <v>11500</v>
          </cell>
          <cell r="K1260">
            <v>0</v>
          </cell>
          <cell r="L1260">
            <v>0</v>
          </cell>
          <cell r="M1260">
            <v>46000</v>
          </cell>
          <cell r="N1260">
            <v>0</v>
          </cell>
          <cell r="O1260">
            <v>0</v>
          </cell>
          <cell r="P1260">
            <v>0</v>
          </cell>
          <cell r="S1260">
            <v>0</v>
          </cell>
          <cell r="T1260">
            <v>0</v>
          </cell>
        </row>
        <row r="1261">
          <cell r="B1261" t="str">
            <v>KEOBIT</v>
          </cell>
          <cell r="C1261">
            <v>1</v>
          </cell>
          <cell r="E1261">
            <v>0</v>
          </cell>
          <cell r="F1261" t="str">
            <v>Keo silicon bít miệng ống</v>
          </cell>
          <cell r="G1261" t="str">
            <v>ống</v>
          </cell>
          <cell r="H1261">
            <v>4</v>
          </cell>
          <cell r="I1261">
            <v>45000</v>
          </cell>
          <cell r="K1261">
            <v>0</v>
          </cell>
          <cell r="L1261">
            <v>0</v>
          </cell>
          <cell r="M1261">
            <v>180000</v>
          </cell>
          <cell r="N1261">
            <v>0</v>
          </cell>
          <cell r="O1261">
            <v>0</v>
          </cell>
          <cell r="P1261">
            <v>0</v>
          </cell>
          <cell r="S1261">
            <v>0</v>
          </cell>
          <cell r="T1261">
            <v>0</v>
          </cell>
        </row>
        <row r="1262">
          <cell r="B1262" t="str">
            <v>BANGKEO</v>
          </cell>
          <cell r="C1262">
            <v>1</v>
          </cell>
          <cell r="E1262">
            <v>0</v>
          </cell>
          <cell r="F1262" t="str">
            <v>Băng keo cách điện (Màu đen)</v>
          </cell>
          <cell r="G1262" t="str">
            <v>cuộn</v>
          </cell>
          <cell r="H1262">
            <v>4</v>
          </cell>
          <cell r="I1262">
            <v>6500</v>
          </cell>
          <cell r="K1262">
            <v>0</v>
          </cell>
          <cell r="L1262">
            <v>0</v>
          </cell>
          <cell r="M1262">
            <v>26000</v>
          </cell>
          <cell r="N1262">
            <v>0</v>
          </cell>
          <cell r="O1262">
            <v>0</v>
          </cell>
          <cell r="P1262">
            <v>0</v>
          </cell>
          <cell r="S1262">
            <v>0</v>
          </cell>
          <cell r="T1262">
            <v>0</v>
          </cell>
        </row>
        <row r="1263">
          <cell r="B1263" t="str">
            <v>LPVC90CL</v>
          </cell>
          <cell r="C1263">
            <v>1</v>
          </cell>
          <cell r="E1263" t="str">
            <v>T4.8003</v>
          </cell>
          <cell r="F1263" t="str">
            <v>Lắp ống nhựa PVC D90</v>
          </cell>
          <cell r="G1263" t="str">
            <v>mét</v>
          </cell>
          <cell r="H1263">
            <v>12</v>
          </cell>
          <cell r="I1263">
            <v>0</v>
          </cell>
          <cell r="K1263">
            <v>35541</v>
          </cell>
          <cell r="L1263">
            <v>0</v>
          </cell>
          <cell r="M1263">
            <v>0</v>
          </cell>
          <cell r="N1263">
            <v>0</v>
          </cell>
          <cell r="O1263">
            <v>426492</v>
          </cell>
          <cell r="P1263">
            <v>0</v>
          </cell>
          <cell r="S1263">
            <v>0</v>
          </cell>
          <cell r="T1263">
            <v>0</v>
          </cell>
        </row>
        <row r="1264">
          <cell r="B1264" t="str">
            <v>LCAPDONGTB95</v>
          </cell>
          <cell r="C1264">
            <v>1</v>
          </cell>
          <cell r="E1264" t="str">
            <v>T4.4201</v>
          </cell>
          <cell r="F1264" t="str">
            <v>Lắp cáp đồng xuống thiết bị D ≤ 95mm2</v>
          </cell>
          <cell r="G1264" t="str">
            <v>m</v>
          </cell>
          <cell r="H1264">
            <v>76</v>
          </cell>
          <cell r="I1264">
            <v>0</v>
          </cell>
          <cell r="K1264">
            <v>11847</v>
          </cell>
          <cell r="L1264">
            <v>0</v>
          </cell>
          <cell r="M1264">
            <v>0</v>
          </cell>
          <cell r="N1264">
            <v>0</v>
          </cell>
          <cell r="O1264">
            <v>900372</v>
          </cell>
          <cell r="P1264">
            <v>0</v>
          </cell>
          <cell r="S1264">
            <v>0</v>
          </cell>
          <cell r="T1264">
            <v>0</v>
          </cell>
        </row>
        <row r="1265">
          <cell r="A1265" t="str">
            <v>TRNC3X50</v>
          </cell>
          <cell r="C1265">
            <v>1</v>
          </cell>
          <cell r="D1265" t="str">
            <v>V</v>
          </cell>
          <cell r="E1265" t="str">
            <v>2 Trạm NC từ 75kVA lên 75+2x50kVA và 100kVA lên 100+2x50kVA (Tân Xuân 7A (75kVA), Xuân Quế 1 (100kVA), di dời)</v>
          </cell>
          <cell r="S1265">
            <v>0</v>
          </cell>
          <cell r="T1265">
            <v>0</v>
          </cell>
        </row>
        <row r="1266">
          <cell r="A1266" t="str">
            <v>TBTRNC3X50</v>
          </cell>
          <cell r="C1266">
            <v>1</v>
          </cell>
          <cell r="F1266" t="str">
            <v>A.PHẦN THIẾT BỊ</v>
          </cell>
          <cell r="M1266">
            <v>183940000</v>
          </cell>
          <cell r="N1266">
            <v>0</v>
          </cell>
          <cell r="O1266">
            <v>4028876</v>
          </cell>
          <cell r="P1266">
            <v>1442420</v>
          </cell>
          <cell r="S1266">
            <v>0</v>
          </cell>
          <cell r="T1266">
            <v>1578.2</v>
          </cell>
        </row>
        <row r="1267">
          <cell r="A1267" t="str">
            <v/>
          </cell>
          <cell r="B1267" t="str">
            <v>TR501</v>
          </cell>
          <cell r="C1267">
            <v>1</v>
          </cell>
          <cell r="E1267" t="str">
            <v>T1.1432</v>
          </cell>
          <cell r="F1267" t="str">
            <v>Máy biến áp AMORPHOUS 12,7/0,22-0,44kV 50kVA</v>
          </cell>
          <cell r="G1267" t="str">
            <v>máy</v>
          </cell>
          <cell r="H1267">
            <v>4</v>
          </cell>
          <cell r="I1267">
            <v>44055000</v>
          </cell>
          <cell r="K1267">
            <v>746585</v>
          </cell>
          <cell r="L1267">
            <v>360605</v>
          </cell>
          <cell r="M1267">
            <v>176220000</v>
          </cell>
          <cell r="N1267">
            <v>0</v>
          </cell>
          <cell r="O1267">
            <v>2986340</v>
          </cell>
          <cell r="P1267">
            <v>1442420</v>
          </cell>
          <cell r="S1267">
            <v>390</v>
          </cell>
          <cell r="T1267">
            <v>1560</v>
          </cell>
        </row>
        <row r="1268">
          <cell r="A1268" t="str">
            <v/>
          </cell>
          <cell r="B1268" t="str">
            <v>FCO100</v>
          </cell>
          <cell r="C1268">
            <v>1</v>
          </cell>
          <cell r="E1268" t="str">
            <v>T2.3505</v>
          </cell>
          <cell r="F1268" t="str">
            <v>FCO 27kV - 100A</v>
          </cell>
          <cell r="G1268" t="str">
            <v>cái</v>
          </cell>
          <cell r="H1268">
            <v>4</v>
          </cell>
          <cell r="I1268">
            <v>1020000</v>
          </cell>
          <cell r="K1268">
            <v>189552</v>
          </cell>
          <cell r="L1268">
            <v>0</v>
          </cell>
          <cell r="M1268">
            <v>4080000</v>
          </cell>
          <cell r="N1268">
            <v>0</v>
          </cell>
          <cell r="O1268">
            <v>758208</v>
          </cell>
          <cell r="P1268">
            <v>0</v>
          </cell>
          <cell r="S1268">
            <v>1.5</v>
          </cell>
          <cell r="T1268">
            <v>6</v>
          </cell>
        </row>
        <row r="1269">
          <cell r="A1269" t="str">
            <v/>
          </cell>
          <cell r="B1269" t="str">
            <v>LA18</v>
          </cell>
          <cell r="C1269">
            <v>1</v>
          </cell>
          <cell r="E1269" t="str">
            <v>T2.5004</v>
          </cell>
          <cell r="F1269" t="str">
            <v>LA 18kV 10kA</v>
          </cell>
          <cell r="G1269" t="str">
            <v>cái</v>
          </cell>
          <cell r="H1269">
            <v>4</v>
          </cell>
          <cell r="I1269">
            <v>910000</v>
          </cell>
          <cell r="K1269">
            <v>71082</v>
          </cell>
          <cell r="L1269">
            <v>0</v>
          </cell>
          <cell r="M1269">
            <v>3640000</v>
          </cell>
          <cell r="N1269">
            <v>0</v>
          </cell>
          <cell r="O1269">
            <v>284328</v>
          </cell>
          <cell r="P1269">
            <v>0</v>
          </cell>
          <cell r="S1269">
            <v>0.8</v>
          </cell>
          <cell r="T1269">
            <v>3.2</v>
          </cell>
        </row>
        <row r="1270">
          <cell r="A1270" t="str">
            <v/>
          </cell>
          <cell r="B1270" t="str">
            <v>TI250</v>
          </cell>
          <cell r="C1270">
            <v>1</v>
          </cell>
          <cell r="E1270">
            <v>0</v>
          </cell>
          <cell r="F1270" t="str">
            <v>Biến dòng 600V - 250/5A</v>
          </cell>
          <cell r="G1270" t="str">
            <v>cái</v>
          </cell>
          <cell r="H1270">
            <v>6</v>
          </cell>
          <cell r="I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S1270">
            <v>1</v>
          </cell>
          <cell r="T1270">
            <v>6</v>
          </cell>
        </row>
        <row r="1271">
          <cell r="A1271" t="str">
            <v/>
          </cell>
          <cell r="B1271" t="str">
            <v>DK3p5A</v>
          </cell>
          <cell r="C1271">
            <v>1</v>
          </cell>
          <cell r="E1271">
            <v>0</v>
          </cell>
          <cell r="F1271" t="str">
            <v>Điện kế 3 pha 4 dây 220/380V-5A</v>
          </cell>
          <cell r="G1271" t="str">
            <v>cái</v>
          </cell>
          <cell r="H1271">
            <v>2</v>
          </cell>
          <cell r="I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S1271">
            <v>1.5</v>
          </cell>
          <cell r="T1271">
            <v>3</v>
          </cell>
        </row>
        <row r="1272">
          <cell r="A1272" t="str">
            <v>VLTRNC3X50</v>
          </cell>
          <cell r="C1272">
            <v>1</v>
          </cell>
          <cell r="F1272" t="str">
            <v>B. PHẦN VẬT LIỆU</v>
          </cell>
          <cell r="M1272">
            <v>34969682.480000004</v>
          </cell>
          <cell r="N1272">
            <v>0</v>
          </cell>
          <cell r="O1272">
            <v>8886586.7200000007</v>
          </cell>
          <cell r="P1272">
            <v>0</v>
          </cell>
          <cell r="S1272">
            <v>0</v>
          </cell>
          <cell r="T1272">
            <v>579.39799999999991</v>
          </cell>
        </row>
        <row r="1273">
          <cell r="C1273">
            <v>1</v>
          </cell>
          <cell r="D1273">
            <v>1</v>
          </cell>
          <cell r="F1273" t="str">
            <v>Vật liệu bảo vệ thiết bị</v>
          </cell>
          <cell r="G1273" t="str">
            <v>Bộ</v>
          </cell>
          <cell r="H1273">
            <v>2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S1273">
            <v>0</v>
          </cell>
          <cell r="T1273">
            <v>0</v>
          </cell>
        </row>
        <row r="1274">
          <cell r="A1274" t="str">
            <v/>
          </cell>
          <cell r="B1274" t="str">
            <v>CHI6K</v>
          </cell>
          <cell r="C1274">
            <v>1</v>
          </cell>
          <cell r="E1274">
            <v>0</v>
          </cell>
          <cell r="F1274" t="str">
            <v>Dây chảy 6K</v>
          </cell>
          <cell r="G1274" t="str">
            <v>Sợi</v>
          </cell>
          <cell r="H1274">
            <v>4</v>
          </cell>
          <cell r="I1274">
            <v>84000</v>
          </cell>
          <cell r="K1274">
            <v>0</v>
          </cell>
          <cell r="L1274">
            <v>0</v>
          </cell>
          <cell r="M1274">
            <v>336000</v>
          </cell>
          <cell r="N1274">
            <v>0</v>
          </cell>
          <cell r="O1274">
            <v>0</v>
          </cell>
          <cell r="P1274">
            <v>0</v>
          </cell>
          <cell r="S1274">
            <v>0</v>
          </cell>
          <cell r="T1274">
            <v>0</v>
          </cell>
        </row>
        <row r="1275">
          <cell r="A1275" t="str">
            <v/>
          </cell>
          <cell r="B1275" t="str">
            <v>CHUPFCO</v>
          </cell>
          <cell r="C1275">
            <v>1</v>
          </cell>
          <cell r="E1275">
            <v>0</v>
          </cell>
          <cell r="F1275" t="str">
            <v>Chụp đầu FCO (Trên + Dưới)</v>
          </cell>
          <cell r="G1275" t="str">
            <v>bộ</v>
          </cell>
          <cell r="H1275">
            <v>4</v>
          </cell>
          <cell r="I1275">
            <v>190000</v>
          </cell>
          <cell r="K1275">
            <v>0</v>
          </cell>
          <cell r="L1275">
            <v>0</v>
          </cell>
          <cell r="M1275">
            <v>760000</v>
          </cell>
          <cell r="N1275">
            <v>0</v>
          </cell>
          <cell r="O1275">
            <v>0</v>
          </cell>
          <cell r="P1275">
            <v>0</v>
          </cell>
          <cell r="S1275">
            <v>0</v>
          </cell>
          <cell r="T1275">
            <v>0</v>
          </cell>
        </row>
        <row r="1276">
          <cell r="A1276" t="str">
            <v/>
          </cell>
          <cell r="B1276" t="str">
            <v>CHUPLA</v>
          </cell>
          <cell r="C1276">
            <v>1</v>
          </cell>
          <cell r="E1276">
            <v>0</v>
          </cell>
          <cell r="F1276" t="str">
            <v>Chụp đầu LA</v>
          </cell>
          <cell r="G1276" t="str">
            <v>cái</v>
          </cell>
          <cell r="H1276">
            <v>4</v>
          </cell>
          <cell r="I1276">
            <v>32000</v>
          </cell>
          <cell r="K1276">
            <v>0</v>
          </cell>
          <cell r="L1276">
            <v>0</v>
          </cell>
          <cell r="M1276">
            <v>128000</v>
          </cell>
          <cell r="N1276">
            <v>0</v>
          </cell>
          <cell r="O1276">
            <v>0</v>
          </cell>
          <cell r="P1276">
            <v>0</v>
          </cell>
          <cell r="S1276">
            <v>0</v>
          </cell>
          <cell r="T1276">
            <v>0</v>
          </cell>
        </row>
        <row r="1277">
          <cell r="A1277" t="str">
            <v/>
          </cell>
          <cell r="B1277" t="str">
            <v>CHUPMBA</v>
          </cell>
          <cell r="C1277">
            <v>1</v>
          </cell>
          <cell r="E1277">
            <v>0</v>
          </cell>
          <cell r="F1277" t="str">
            <v>Chụp đầu cực MBA</v>
          </cell>
          <cell r="G1277" t="str">
            <v>cái</v>
          </cell>
          <cell r="H1277">
            <v>4</v>
          </cell>
          <cell r="I1277">
            <v>52000</v>
          </cell>
          <cell r="K1277">
            <v>0</v>
          </cell>
          <cell r="L1277">
            <v>0</v>
          </cell>
          <cell r="M1277">
            <v>208000</v>
          </cell>
          <cell r="N1277">
            <v>0</v>
          </cell>
          <cell r="O1277">
            <v>0</v>
          </cell>
          <cell r="P1277">
            <v>0</v>
          </cell>
          <cell r="S1277">
            <v>0</v>
          </cell>
          <cell r="T1277">
            <v>0</v>
          </cell>
        </row>
        <row r="1278">
          <cell r="A1278" t="str">
            <v/>
          </cell>
          <cell r="C1278">
            <v>1</v>
          </cell>
          <cell r="D1278">
            <v>2</v>
          </cell>
          <cell r="F1278" t="str">
            <v>Đà Composite bắt LA, FCO</v>
          </cell>
          <cell r="G1278" t="str">
            <v>Bộ</v>
          </cell>
          <cell r="H1278">
            <v>2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S1278">
            <v>0</v>
          </cell>
          <cell r="T1278">
            <v>0</v>
          </cell>
        </row>
        <row r="1279">
          <cell r="A1279" t="str">
            <v/>
          </cell>
          <cell r="C1279">
            <v>0</v>
          </cell>
          <cell r="F1279" t="str">
            <v>Gồm có: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S1279">
            <v>0</v>
          </cell>
          <cell r="T1279">
            <v>0</v>
          </cell>
        </row>
        <row r="1280">
          <cell r="A1280" t="str">
            <v/>
          </cell>
          <cell r="B1280" t="str">
            <v>COM2400</v>
          </cell>
          <cell r="C1280">
            <v>1</v>
          </cell>
          <cell r="E1280">
            <v>0</v>
          </cell>
          <cell r="F1280" t="str">
            <v>Đà hộp composite 110x80x5-2400</v>
          </cell>
          <cell r="G1280" t="str">
            <v>cái</v>
          </cell>
          <cell r="H1280">
            <v>2</v>
          </cell>
          <cell r="I1280">
            <v>1100000</v>
          </cell>
          <cell r="K1280">
            <v>0</v>
          </cell>
          <cell r="L1280">
            <v>0</v>
          </cell>
          <cell r="M1280">
            <v>2200000</v>
          </cell>
          <cell r="N1280">
            <v>0</v>
          </cell>
          <cell r="O1280">
            <v>0</v>
          </cell>
          <cell r="P1280">
            <v>0</v>
          </cell>
          <cell r="S1280">
            <v>9.6</v>
          </cell>
          <cell r="T1280">
            <v>19.2</v>
          </cell>
        </row>
        <row r="1281">
          <cell r="A1281" t="str">
            <v/>
          </cell>
          <cell r="B1281" t="str">
            <v>CCOM2400</v>
          </cell>
          <cell r="C1281">
            <v>1</v>
          </cell>
          <cell r="E1281">
            <v>0</v>
          </cell>
          <cell r="F1281" t="str">
            <v>Thanh chống Composite dẹp 10x40x920</v>
          </cell>
          <cell r="G1281" t="str">
            <v>cái</v>
          </cell>
          <cell r="H1281">
            <v>4</v>
          </cell>
          <cell r="I1281">
            <v>132000</v>
          </cell>
          <cell r="K1281">
            <v>0</v>
          </cell>
          <cell r="L1281">
            <v>0</v>
          </cell>
          <cell r="M1281">
            <v>528000</v>
          </cell>
          <cell r="N1281">
            <v>0</v>
          </cell>
          <cell r="O1281">
            <v>0</v>
          </cell>
          <cell r="P1281">
            <v>0</v>
          </cell>
          <cell r="S1281">
            <v>0.7</v>
          </cell>
          <cell r="T1281">
            <v>2.8</v>
          </cell>
        </row>
        <row r="1282">
          <cell r="A1282" t="str">
            <v/>
          </cell>
          <cell r="B1282" t="str">
            <v>BATLL</v>
          </cell>
          <cell r="C1282">
            <v>1</v>
          </cell>
          <cell r="E1282">
            <v>0</v>
          </cell>
          <cell r="F1282" t="str">
            <v>Bass LL bắt FCO và LA</v>
          </cell>
          <cell r="G1282" t="str">
            <v>bộ</v>
          </cell>
          <cell r="H1282">
            <v>6</v>
          </cell>
          <cell r="I1282">
            <v>65000</v>
          </cell>
          <cell r="K1282">
            <v>0</v>
          </cell>
          <cell r="L1282">
            <v>0</v>
          </cell>
          <cell r="M1282">
            <v>390000</v>
          </cell>
          <cell r="N1282">
            <v>0</v>
          </cell>
          <cell r="O1282">
            <v>0</v>
          </cell>
          <cell r="P1282">
            <v>0</v>
          </cell>
          <cell r="S1282">
            <v>0.5</v>
          </cell>
          <cell r="T1282">
            <v>3</v>
          </cell>
        </row>
        <row r="1283">
          <cell r="A1283" t="str">
            <v/>
          </cell>
          <cell r="B1283" t="str">
            <v>B16350</v>
          </cell>
          <cell r="C1283">
            <v>1</v>
          </cell>
          <cell r="E1283">
            <v>0</v>
          </cell>
          <cell r="F1283" t="str">
            <v>Boulon 16x350+ 2 long đền vuông D18-50x50x3/Zn</v>
          </cell>
          <cell r="G1283" t="str">
            <v>bộ</v>
          </cell>
          <cell r="H1283">
            <v>2</v>
          </cell>
          <cell r="I1283">
            <v>32500</v>
          </cell>
          <cell r="K1283">
            <v>0</v>
          </cell>
          <cell r="L1283">
            <v>0</v>
          </cell>
          <cell r="M1283">
            <v>65000</v>
          </cell>
          <cell r="N1283">
            <v>0</v>
          </cell>
          <cell r="O1283">
            <v>0</v>
          </cell>
          <cell r="P1283">
            <v>0</v>
          </cell>
          <cell r="S1283">
            <v>0.3</v>
          </cell>
          <cell r="T1283">
            <v>0.6</v>
          </cell>
        </row>
        <row r="1284">
          <cell r="A1284" t="str">
            <v/>
          </cell>
          <cell r="B1284" t="str">
            <v>B16300</v>
          </cell>
          <cell r="C1284">
            <v>1</v>
          </cell>
          <cell r="E1284">
            <v>0</v>
          </cell>
          <cell r="F1284" t="str">
            <v>Boulon 16x300+ 2 long đền vuông D18-50x50x3/Zn</v>
          </cell>
          <cell r="G1284" t="str">
            <v>bộ</v>
          </cell>
          <cell r="H1284">
            <v>2</v>
          </cell>
          <cell r="I1284">
            <v>30000</v>
          </cell>
          <cell r="K1284">
            <v>0</v>
          </cell>
          <cell r="L1284">
            <v>0</v>
          </cell>
          <cell r="M1284">
            <v>60000</v>
          </cell>
          <cell r="N1284">
            <v>0</v>
          </cell>
          <cell r="O1284">
            <v>0</v>
          </cell>
          <cell r="P1284">
            <v>0</v>
          </cell>
          <cell r="S1284">
            <v>0.25</v>
          </cell>
          <cell r="T1284">
            <v>0.5</v>
          </cell>
        </row>
        <row r="1285">
          <cell r="A1285" t="str">
            <v/>
          </cell>
          <cell r="B1285" t="str">
            <v>B14120</v>
          </cell>
          <cell r="C1285">
            <v>1</v>
          </cell>
          <cell r="E1285">
            <v>0</v>
          </cell>
          <cell r="F1285" t="str">
            <v>Boulon 14x120+ 2 long đền vuông D16-50x50x3/Zn</v>
          </cell>
          <cell r="G1285" t="str">
            <v>bộ</v>
          </cell>
          <cell r="H1285">
            <v>4</v>
          </cell>
          <cell r="I1285">
            <v>20000</v>
          </cell>
          <cell r="K1285">
            <v>0</v>
          </cell>
          <cell r="L1285">
            <v>0</v>
          </cell>
          <cell r="M1285">
            <v>80000</v>
          </cell>
          <cell r="N1285">
            <v>0</v>
          </cell>
          <cell r="O1285">
            <v>0</v>
          </cell>
          <cell r="P1285">
            <v>0</v>
          </cell>
          <cell r="S1285">
            <v>0.2</v>
          </cell>
          <cell r="T1285">
            <v>0.8</v>
          </cell>
        </row>
        <row r="1286">
          <cell r="A1286" t="str">
            <v/>
          </cell>
          <cell r="B1286" t="str">
            <v>LCOM2400</v>
          </cell>
          <cell r="C1286">
            <v>1</v>
          </cell>
          <cell r="E1286" t="str">
            <v>D2.6011</v>
          </cell>
          <cell r="F1286" t="str">
            <v>Lắp đà composite 2400mm đơn</v>
          </cell>
          <cell r="G1286" t="str">
            <v>bộ</v>
          </cell>
          <cell r="H1286">
            <v>2</v>
          </cell>
          <cell r="I1286">
            <v>0</v>
          </cell>
          <cell r="K1286">
            <v>167950</v>
          </cell>
          <cell r="L1286">
            <v>0</v>
          </cell>
          <cell r="M1286">
            <v>0</v>
          </cell>
          <cell r="N1286">
            <v>0</v>
          </cell>
          <cell r="O1286">
            <v>335900</v>
          </cell>
          <cell r="P1286">
            <v>0</v>
          </cell>
          <cell r="S1286">
            <v>0</v>
          </cell>
          <cell r="T1286">
            <v>0</v>
          </cell>
        </row>
        <row r="1287">
          <cell r="A1287" t="str">
            <v/>
          </cell>
          <cell r="C1287">
            <v>1</v>
          </cell>
          <cell r="D1287">
            <v>3</v>
          </cell>
          <cell r="F1287" t="str">
            <v>Giá chùm treo 3 MBT</v>
          </cell>
          <cell r="G1287" t="str">
            <v>Bộ</v>
          </cell>
          <cell r="H1287">
            <v>2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S1287">
            <v>0</v>
          </cell>
          <cell r="T1287">
            <v>0</v>
          </cell>
        </row>
        <row r="1288">
          <cell r="A1288" t="str">
            <v/>
          </cell>
          <cell r="C1288">
            <v>0</v>
          </cell>
          <cell r="F1288" t="str">
            <v>Gồm có: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S1288">
            <v>0</v>
          </cell>
          <cell r="T1288">
            <v>0</v>
          </cell>
        </row>
        <row r="1289">
          <cell r="A1289" t="str">
            <v/>
          </cell>
          <cell r="B1289" t="str">
            <v>GTMBA100</v>
          </cell>
          <cell r="C1289">
            <v>1</v>
          </cell>
          <cell r="E1289" t="str">
            <v>T4.9302</v>
          </cell>
          <cell r="F1289" t="str">
            <v>Giá chùm treo máy biến áp 3x100</v>
          </cell>
          <cell r="G1289" t="str">
            <v>Bộ</v>
          </cell>
          <cell r="H1289">
            <v>2</v>
          </cell>
          <cell r="I1289">
            <v>2695000</v>
          </cell>
          <cell r="K1289">
            <v>149969.16</v>
          </cell>
          <cell r="L1289">
            <v>0</v>
          </cell>
          <cell r="M1289">
            <v>5390000</v>
          </cell>
          <cell r="N1289">
            <v>0</v>
          </cell>
          <cell r="O1289">
            <v>299938.32</v>
          </cell>
          <cell r="P1289">
            <v>0</v>
          </cell>
          <cell r="S1289">
            <v>55</v>
          </cell>
          <cell r="T1289">
            <v>110</v>
          </cell>
        </row>
        <row r="1290">
          <cell r="A1290" t="str">
            <v/>
          </cell>
          <cell r="B1290" t="str">
            <v>B16350</v>
          </cell>
          <cell r="C1290">
            <v>1</v>
          </cell>
          <cell r="E1290">
            <v>0</v>
          </cell>
          <cell r="F1290" t="str">
            <v>Boulon 16x350+ 2 long đền vuông D18-50x50x3/Zn</v>
          </cell>
          <cell r="G1290" t="str">
            <v>bộ</v>
          </cell>
          <cell r="H1290">
            <v>4</v>
          </cell>
          <cell r="I1290">
            <v>32500</v>
          </cell>
          <cell r="K1290">
            <v>0</v>
          </cell>
          <cell r="L1290">
            <v>0</v>
          </cell>
          <cell r="M1290">
            <v>130000</v>
          </cell>
          <cell r="N1290">
            <v>0</v>
          </cell>
          <cell r="O1290">
            <v>0</v>
          </cell>
          <cell r="P1290">
            <v>0</v>
          </cell>
          <cell r="S1290">
            <v>0.3</v>
          </cell>
          <cell r="T1290">
            <v>1.2</v>
          </cell>
        </row>
        <row r="1291">
          <cell r="A1291" t="str">
            <v/>
          </cell>
          <cell r="B1291" t="str">
            <v>B1650</v>
          </cell>
          <cell r="C1291">
            <v>1</v>
          </cell>
          <cell r="E1291">
            <v>0</v>
          </cell>
          <cell r="F1291" t="str">
            <v>Boulon 16x50+ 2 long đền vuông D18-50x50x3/Zn</v>
          </cell>
          <cell r="G1291" t="str">
            <v>bộ</v>
          </cell>
          <cell r="H1291">
            <v>12</v>
          </cell>
          <cell r="I1291">
            <v>17000</v>
          </cell>
          <cell r="K1291">
            <v>0</v>
          </cell>
          <cell r="L1291">
            <v>0</v>
          </cell>
          <cell r="M1291">
            <v>204000</v>
          </cell>
          <cell r="N1291">
            <v>0</v>
          </cell>
          <cell r="O1291">
            <v>0</v>
          </cell>
          <cell r="P1291">
            <v>0</v>
          </cell>
          <cell r="S1291">
            <v>0.25</v>
          </cell>
          <cell r="T1291">
            <v>3</v>
          </cell>
        </row>
        <row r="1292">
          <cell r="A1292" t="str">
            <v/>
          </cell>
          <cell r="C1292">
            <v>1</v>
          </cell>
          <cell r="D1292">
            <v>4</v>
          </cell>
          <cell r="F1292" t="str">
            <v>Bộ tiếp địa Trạm 3 pha</v>
          </cell>
          <cell r="G1292" t="str">
            <v>Bộ</v>
          </cell>
          <cell r="H1292">
            <v>2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S1292">
            <v>0</v>
          </cell>
          <cell r="T1292">
            <v>0</v>
          </cell>
        </row>
        <row r="1293">
          <cell r="A1293" t="str">
            <v/>
          </cell>
          <cell r="C1293">
            <v>0</v>
          </cell>
          <cell r="F1293" t="str">
            <v>Gồm có: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S1293">
            <v>0</v>
          </cell>
          <cell r="T1293">
            <v>0</v>
          </cell>
        </row>
        <row r="1294">
          <cell r="A1294" t="str">
            <v/>
          </cell>
          <cell r="B1294" t="str">
            <v>M25</v>
          </cell>
          <cell r="C1294">
            <v>1</v>
          </cell>
          <cell r="E1294">
            <v>0</v>
          </cell>
          <cell r="F1294" t="str">
            <v>Cáp đồng trần M25mm2</v>
          </cell>
          <cell r="G1294" t="str">
            <v>kg</v>
          </cell>
          <cell r="H1294">
            <v>23.295999999999999</v>
          </cell>
          <cell r="I1294">
            <v>191630</v>
          </cell>
          <cell r="K1294">
            <v>0</v>
          </cell>
          <cell r="L1294">
            <v>0</v>
          </cell>
          <cell r="M1294">
            <v>4464212.4799999995</v>
          </cell>
          <cell r="N1294">
            <v>0</v>
          </cell>
          <cell r="O1294">
            <v>0</v>
          </cell>
          <cell r="P1294">
            <v>0</v>
          </cell>
          <cell r="S1294">
            <v>1</v>
          </cell>
          <cell r="T1294">
            <v>23.295999999999999</v>
          </cell>
        </row>
        <row r="1295">
          <cell r="A1295" t="str">
            <v/>
          </cell>
          <cell r="B1295" t="str">
            <v>CTD</v>
          </cell>
          <cell r="C1295">
            <v>1</v>
          </cell>
          <cell r="E1295">
            <v>0</v>
          </cell>
          <cell r="F1295" t="str">
            <v>Cọc tiếp đất φ16 - 2,4m mạ Cu 16 micrômét</v>
          </cell>
          <cell r="G1295" t="str">
            <v>cọc</v>
          </cell>
          <cell r="H1295">
            <v>18</v>
          </cell>
          <cell r="I1295">
            <v>130000</v>
          </cell>
          <cell r="K1295">
            <v>0</v>
          </cell>
          <cell r="L1295">
            <v>0</v>
          </cell>
          <cell r="M1295">
            <v>2340000</v>
          </cell>
          <cell r="N1295">
            <v>0</v>
          </cell>
          <cell r="O1295">
            <v>0</v>
          </cell>
          <cell r="P1295">
            <v>0</v>
          </cell>
          <cell r="S1295">
            <v>5.3</v>
          </cell>
          <cell r="T1295">
            <v>95.399999999999991</v>
          </cell>
        </row>
        <row r="1296">
          <cell r="A1296" t="str">
            <v/>
          </cell>
          <cell r="B1296" t="str">
            <v>KC</v>
          </cell>
          <cell r="C1296">
            <v>1</v>
          </cell>
          <cell r="E1296">
            <v>0</v>
          </cell>
          <cell r="F1296" t="str">
            <v>Kẹp cọc tiếp địa Cu loại lớn</v>
          </cell>
          <cell r="G1296" t="str">
            <v>bộ</v>
          </cell>
          <cell r="H1296">
            <v>18</v>
          </cell>
          <cell r="I1296">
            <v>25000</v>
          </cell>
          <cell r="K1296">
            <v>0</v>
          </cell>
          <cell r="L1296">
            <v>0</v>
          </cell>
          <cell r="M1296">
            <v>450000</v>
          </cell>
          <cell r="N1296">
            <v>0</v>
          </cell>
          <cell r="O1296">
            <v>0</v>
          </cell>
          <cell r="P1296">
            <v>0</v>
          </cell>
          <cell r="S1296">
            <v>0.05</v>
          </cell>
          <cell r="T1296">
            <v>0.9</v>
          </cell>
        </row>
        <row r="1297">
          <cell r="A1297" t="str">
            <v/>
          </cell>
          <cell r="B1297" t="str">
            <v>OXC38</v>
          </cell>
          <cell r="C1297">
            <v>1</v>
          </cell>
          <cell r="E1297">
            <v>0</v>
          </cell>
          <cell r="F1297" t="str">
            <v xml:space="preserve">Ốc xiết cáp cỡ 38mm2 </v>
          </cell>
          <cell r="G1297" t="str">
            <v>cái</v>
          </cell>
          <cell r="H1297">
            <v>12</v>
          </cell>
          <cell r="I1297">
            <v>17000</v>
          </cell>
          <cell r="K1297">
            <v>0</v>
          </cell>
          <cell r="L1297">
            <v>0</v>
          </cell>
          <cell r="M1297">
            <v>204000</v>
          </cell>
          <cell r="N1297">
            <v>0</v>
          </cell>
          <cell r="O1297">
            <v>0</v>
          </cell>
          <cell r="P1297">
            <v>0</v>
          </cell>
          <cell r="S1297">
            <v>0</v>
          </cell>
          <cell r="T1297">
            <v>0</v>
          </cell>
        </row>
        <row r="1298">
          <cell r="A1298" t="str">
            <v/>
          </cell>
          <cell r="B1298" t="str">
            <v>KE50</v>
          </cell>
          <cell r="C1298">
            <v>1</v>
          </cell>
          <cell r="E1298">
            <v>0</v>
          </cell>
          <cell r="F1298" t="str">
            <v>Kẹp ép WR cỡ dây 50mm2</v>
          </cell>
          <cell r="G1298" t="str">
            <v>cái</v>
          </cell>
          <cell r="H1298">
            <v>4</v>
          </cell>
          <cell r="I1298">
            <v>8500</v>
          </cell>
          <cell r="K1298">
            <v>0</v>
          </cell>
          <cell r="L1298">
            <v>0</v>
          </cell>
          <cell r="M1298">
            <v>34000</v>
          </cell>
          <cell r="N1298">
            <v>0</v>
          </cell>
          <cell r="O1298">
            <v>0</v>
          </cell>
          <cell r="P1298">
            <v>0</v>
          </cell>
          <cell r="S1298">
            <v>0.2</v>
          </cell>
          <cell r="T1298">
            <v>0.8</v>
          </cell>
        </row>
        <row r="1299">
          <cell r="A1299" t="str">
            <v/>
          </cell>
          <cell r="B1299" t="str">
            <v>KTDTBA</v>
          </cell>
          <cell r="C1299">
            <v>1</v>
          </cell>
          <cell r="E1299" t="str">
            <v>T4.7001</v>
          </cell>
          <cell r="F1299" t="str">
            <v>Kéo dây tiếp địa trong TBA</v>
          </cell>
          <cell r="G1299" t="str">
            <v>mét</v>
          </cell>
          <cell r="H1299">
            <v>104</v>
          </cell>
          <cell r="I1299">
            <v>0</v>
          </cell>
          <cell r="K1299">
            <v>6871</v>
          </cell>
          <cell r="L1299">
            <v>0</v>
          </cell>
          <cell r="M1299">
            <v>0</v>
          </cell>
          <cell r="N1299">
            <v>0</v>
          </cell>
          <cell r="O1299">
            <v>714584</v>
          </cell>
          <cell r="P1299">
            <v>0</v>
          </cell>
          <cell r="S1299">
            <v>0</v>
          </cell>
          <cell r="T1299">
            <v>0</v>
          </cell>
        </row>
        <row r="1300">
          <cell r="A1300" t="str">
            <v/>
          </cell>
          <cell r="B1300" t="str">
            <v>DCTDTBA</v>
          </cell>
          <cell r="C1300">
            <v>1</v>
          </cell>
          <cell r="E1300" t="str">
            <v>D2.8103</v>
          </cell>
          <cell r="F1300" t="str">
            <v>Đóng cọc tiếp địa trong TBA (đất cấp 3)</v>
          </cell>
          <cell r="G1300" t="str">
            <v>cọc</v>
          </cell>
          <cell r="H1300">
            <v>18</v>
          </cell>
          <cell r="I1300">
            <v>0</v>
          </cell>
          <cell r="K1300">
            <v>76928</v>
          </cell>
          <cell r="L1300">
            <v>0</v>
          </cell>
          <cell r="M1300">
            <v>0</v>
          </cell>
          <cell r="N1300">
            <v>0</v>
          </cell>
          <cell r="O1300">
            <v>1384704</v>
          </cell>
          <cell r="P1300">
            <v>0</v>
          </cell>
          <cell r="S1300">
            <v>0</v>
          </cell>
          <cell r="T1300">
            <v>0</v>
          </cell>
        </row>
        <row r="1301">
          <cell r="A1301" t="str">
            <v/>
          </cell>
          <cell r="B1301" t="str">
            <v>DTD3</v>
          </cell>
          <cell r="C1301">
            <v>1</v>
          </cell>
          <cell r="E1301" t="str">
            <v>AB.11513</v>
          </cell>
          <cell r="F1301" t="str">
            <v>Đào rãnh tiếp địa đất cấp 3</v>
          </cell>
          <cell r="G1301" t="str">
            <v>m3</v>
          </cell>
          <cell r="H1301">
            <v>2.4000000000000004</v>
          </cell>
          <cell r="I1301">
            <v>0</v>
          </cell>
          <cell r="K1301">
            <v>241580</v>
          </cell>
          <cell r="L1301">
            <v>0</v>
          </cell>
          <cell r="M1301">
            <v>0</v>
          </cell>
          <cell r="N1301">
            <v>0</v>
          </cell>
          <cell r="O1301">
            <v>579792.00000000012</v>
          </cell>
          <cell r="P1301">
            <v>0</v>
          </cell>
          <cell r="S1301">
            <v>0</v>
          </cell>
          <cell r="T1301">
            <v>0</v>
          </cell>
        </row>
        <row r="1302">
          <cell r="A1302" t="str">
            <v/>
          </cell>
          <cell r="B1302" t="str">
            <v>DATD3</v>
          </cell>
          <cell r="C1302">
            <v>1</v>
          </cell>
          <cell r="E1302" t="str">
            <v>AB.13111</v>
          </cell>
          <cell r="F1302" t="str">
            <v>Đắp đất rãnh tiếp địa (K=0,85)</v>
          </cell>
          <cell r="G1302" t="str">
            <v>m3</v>
          </cell>
          <cell r="H1302">
            <v>2.4000000000000004</v>
          </cell>
          <cell r="I1302">
            <v>0</v>
          </cell>
          <cell r="K1302">
            <v>100211</v>
          </cell>
          <cell r="L1302">
            <v>0</v>
          </cell>
          <cell r="M1302">
            <v>0</v>
          </cell>
          <cell r="N1302">
            <v>0</v>
          </cell>
          <cell r="O1302">
            <v>240506.40000000002</v>
          </cell>
          <cell r="P1302">
            <v>0</v>
          </cell>
          <cell r="S1302">
            <v>0</v>
          </cell>
          <cell r="T1302">
            <v>0</v>
          </cell>
        </row>
        <row r="1303">
          <cell r="A1303" t="str">
            <v/>
          </cell>
          <cell r="C1303">
            <v>0</v>
          </cell>
          <cell r="F1303" t="str">
            <v>Tủ điện trạm treo 1 pha</v>
          </cell>
          <cell r="G1303" t="str">
            <v>Bộ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S1303">
            <v>0</v>
          </cell>
          <cell r="T1303">
            <v>0</v>
          </cell>
        </row>
        <row r="1304">
          <cell r="A1304" t="str">
            <v/>
          </cell>
          <cell r="C1304">
            <v>0</v>
          </cell>
          <cell r="F1304" t="str">
            <v>Gồm có: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S1304">
            <v>0</v>
          </cell>
          <cell r="T1304">
            <v>0</v>
          </cell>
        </row>
        <row r="1305">
          <cell r="A1305" t="str">
            <v/>
          </cell>
          <cell r="B1305" t="str">
            <v>TUAP1</v>
          </cell>
          <cell r="C1305">
            <v>0</v>
          </cell>
          <cell r="E1305" t="str">
            <v>T5.1001</v>
          </cell>
          <cell r="F1305" t="str">
            <v>Tủ trạm treo + khóa + boulon + Bakelit + Collier (1 pha)</v>
          </cell>
          <cell r="G1305" t="str">
            <v>cái</v>
          </cell>
          <cell r="I1305">
            <v>3484174</v>
          </cell>
          <cell r="K1305">
            <v>838715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S1305">
            <v>45</v>
          </cell>
          <cell r="T1305">
            <v>0</v>
          </cell>
        </row>
        <row r="1306">
          <cell r="C1306">
            <v>1</v>
          </cell>
          <cell r="D1306">
            <v>5</v>
          </cell>
          <cell r="F1306" t="str">
            <v>Bộ dây dẫn trung thế trạm 1 pha</v>
          </cell>
          <cell r="G1306" t="str">
            <v>Bộ</v>
          </cell>
          <cell r="H1306">
            <v>2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S1306">
            <v>0</v>
          </cell>
          <cell r="T1306">
            <v>0</v>
          </cell>
        </row>
        <row r="1307">
          <cell r="C1307">
            <v>0</v>
          </cell>
          <cell r="F1307" t="str">
            <v>Gồm có: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S1307">
            <v>0</v>
          </cell>
          <cell r="T1307">
            <v>0</v>
          </cell>
        </row>
        <row r="1308">
          <cell r="B1308" t="str">
            <v>CXV25</v>
          </cell>
          <cell r="C1308">
            <v>1</v>
          </cell>
          <cell r="E1308">
            <v>0</v>
          </cell>
          <cell r="F1308" t="str">
            <v>Cáp 24KV C/XLPE/PVC 25mm2</v>
          </cell>
          <cell r="G1308" t="str">
            <v>mét</v>
          </cell>
          <cell r="H1308">
            <v>24</v>
          </cell>
          <cell r="I1308">
            <v>69890</v>
          </cell>
          <cell r="K1308">
            <v>0</v>
          </cell>
          <cell r="L1308">
            <v>0</v>
          </cell>
          <cell r="M1308">
            <v>1677360</v>
          </cell>
          <cell r="N1308">
            <v>0</v>
          </cell>
          <cell r="O1308">
            <v>0</v>
          </cell>
          <cell r="P1308">
            <v>0</v>
          </cell>
          <cell r="S1308">
            <v>0.75</v>
          </cell>
          <cell r="T1308">
            <v>18</v>
          </cell>
        </row>
        <row r="1309">
          <cell r="B1309" t="str">
            <v>KQ4</v>
          </cell>
          <cell r="C1309">
            <v>1</v>
          </cell>
          <cell r="E1309">
            <v>0</v>
          </cell>
          <cell r="F1309" t="str">
            <v>Kẹp quai 4/0 (quai đồng 8mm)</v>
          </cell>
          <cell r="G1309" t="str">
            <v>cái</v>
          </cell>
          <cell r="H1309">
            <v>4</v>
          </cell>
          <cell r="I1309">
            <v>63000</v>
          </cell>
          <cell r="K1309">
            <v>0</v>
          </cell>
          <cell r="L1309">
            <v>0</v>
          </cell>
          <cell r="M1309">
            <v>252000</v>
          </cell>
          <cell r="N1309">
            <v>0</v>
          </cell>
          <cell r="O1309">
            <v>0</v>
          </cell>
          <cell r="P1309">
            <v>0</v>
          </cell>
          <cell r="S1309">
            <v>0.3</v>
          </cell>
          <cell r="T1309">
            <v>1.2</v>
          </cell>
        </row>
        <row r="1310">
          <cell r="B1310" t="str">
            <v>CKQ</v>
          </cell>
          <cell r="C1310">
            <v>1</v>
          </cell>
          <cell r="E1310">
            <v>0</v>
          </cell>
          <cell r="F1310" t="str">
            <v>Chụp cách điện kẹp quai</v>
          </cell>
          <cell r="G1310" t="str">
            <v>cái</v>
          </cell>
          <cell r="H1310">
            <v>4</v>
          </cell>
          <cell r="I1310">
            <v>122000</v>
          </cell>
          <cell r="K1310">
            <v>0</v>
          </cell>
          <cell r="L1310">
            <v>0</v>
          </cell>
          <cell r="M1310">
            <v>488000</v>
          </cell>
          <cell r="N1310">
            <v>0</v>
          </cell>
          <cell r="O1310">
            <v>0</v>
          </cell>
          <cell r="P1310">
            <v>0</v>
          </cell>
          <cell r="S1310">
            <v>0.2</v>
          </cell>
          <cell r="T1310">
            <v>0.8</v>
          </cell>
        </row>
        <row r="1311">
          <cell r="B1311" t="str">
            <v>HL2</v>
          </cell>
          <cell r="C1311">
            <v>1</v>
          </cell>
          <cell r="E1311">
            <v>0</v>
          </cell>
          <cell r="F1311" t="str">
            <v>Kẹp hotline 2/0</v>
          </cell>
          <cell r="G1311" t="str">
            <v>cái</v>
          </cell>
          <cell r="H1311">
            <v>4</v>
          </cell>
          <cell r="I1311">
            <v>68000</v>
          </cell>
          <cell r="K1311">
            <v>0</v>
          </cell>
          <cell r="L1311">
            <v>0</v>
          </cell>
          <cell r="M1311">
            <v>272000</v>
          </cell>
          <cell r="N1311">
            <v>0</v>
          </cell>
          <cell r="O1311">
            <v>0</v>
          </cell>
          <cell r="P1311">
            <v>0</v>
          </cell>
          <cell r="S1311">
            <v>0.1</v>
          </cell>
          <cell r="T1311">
            <v>0.4</v>
          </cell>
        </row>
        <row r="1312">
          <cell r="B1312" t="str">
            <v>LCAPDONGTB95</v>
          </cell>
          <cell r="C1312">
            <v>1</v>
          </cell>
          <cell r="E1312" t="str">
            <v>T4.4201</v>
          </cell>
          <cell r="F1312" t="str">
            <v>Lắp cáp đồng xuống thiết bị D ≤ 95mm2</v>
          </cell>
          <cell r="G1312" t="str">
            <v>m</v>
          </cell>
          <cell r="H1312">
            <v>24</v>
          </cell>
          <cell r="I1312">
            <v>0</v>
          </cell>
          <cell r="K1312">
            <v>11847</v>
          </cell>
          <cell r="L1312">
            <v>0</v>
          </cell>
          <cell r="M1312">
            <v>0</v>
          </cell>
          <cell r="N1312">
            <v>0</v>
          </cell>
          <cell r="O1312">
            <v>284328</v>
          </cell>
          <cell r="P1312">
            <v>0</v>
          </cell>
          <cell r="S1312">
            <v>0</v>
          </cell>
          <cell r="T1312">
            <v>0</v>
          </cell>
        </row>
        <row r="1313">
          <cell r="C1313">
            <v>1</v>
          </cell>
          <cell r="D1313">
            <v>6</v>
          </cell>
          <cell r="F1313" t="str">
            <v>Bộ dây dẫn hạ thế lộ xuống</v>
          </cell>
          <cell r="G1313" t="str">
            <v>Bộ</v>
          </cell>
          <cell r="H1313">
            <v>2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S1313">
            <v>0</v>
          </cell>
          <cell r="T1313">
            <v>0</v>
          </cell>
        </row>
        <row r="1314">
          <cell r="C1314">
            <v>0</v>
          </cell>
          <cell r="F1314" t="str">
            <v>Gồm có: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S1314">
            <v>0</v>
          </cell>
          <cell r="T1314">
            <v>0</v>
          </cell>
        </row>
        <row r="1315">
          <cell r="B1315" t="str">
            <v>CV120</v>
          </cell>
          <cell r="C1315">
            <v>1</v>
          </cell>
          <cell r="E1315">
            <v>0</v>
          </cell>
          <cell r="F1315" t="str">
            <v>Cáp đồng bọc CV120</v>
          </cell>
          <cell r="G1315" t="str">
            <v>mét</v>
          </cell>
          <cell r="H1315">
            <v>20</v>
          </cell>
          <cell r="I1315">
            <v>213430</v>
          </cell>
          <cell r="K1315">
            <v>0</v>
          </cell>
          <cell r="L1315">
            <v>0</v>
          </cell>
          <cell r="M1315">
            <v>4268600</v>
          </cell>
          <cell r="N1315">
            <v>0</v>
          </cell>
          <cell r="O1315">
            <v>0</v>
          </cell>
          <cell r="P1315">
            <v>0</v>
          </cell>
          <cell r="S1315">
            <v>1.2350000000000001</v>
          </cell>
          <cell r="T1315">
            <v>24.700000000000003</v>
          </cell>
        </row>
        <row r="1316">
          <cell r="B1316" t="str">
            <v>CV70</v>
          </cell>
          <cell r="C1316">
            <v>1</v>
          </cell>
          <cell r="E1316">
            <v>0</v>
          </cell>
          <cell r="F1316" t="str">
            <v>Cáp đồng bọc CV70</v>
          </cell>
          <cell r="G1316" t="str">
            <v>mét</v>
          </cell>
          <cell r="H1316">
            <v>10</v>
          </cell>
          <cell r="I1316">
            <v>124570</v>
          </cell>
          <cell r="K1316">
            <v>0</v>
          </cell>
          <cell r="L1316">
            <v>0</v>
          </cell>
          <cell r="M1316">
            <v>1245700</v>
          </cell>
          <cell r="N1316">
            <v>0</v>
          </cell>
          <cell r="O1316">
            <v>0</v>
          </cell>
          <cell r="P1316">
            <v>0</v>
          </cell>
          <cell r="S1316">
            <v>0.73899999999999999</v>
          </cell>
          <cell r="T1316">
            <v>7.39</v>
          </cell>
        </row>
        <row r="1317">
          <cell r="B1317" t="str">
            <v>CV120</v>
          </cell>
          <cell r="C1317">
            <v>1</v>
          </cell>
          <cell r="E1317">
            <v>0</v>
          </cell>
          <cell r="F1317" t="str">
            <v>Cáp đồng bọc CV120 (SDL)</v>
          </cell>
          <cell r="G1317" t="str">
            <v>mét</v>
          </cell>
          <cell r="H1317">
            <v>40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S1317">
            <v>1.2350000000000001</v>
          </cell>
          <cell r="T1317">
            <v>49.400000000000006</v>
          </cell>
        </row>
        <row r="1318">
          <cell r="B1318" t="str">
            <v>CV70</v>
          </cell>
          <cell r="C1318">
            <v>1</v>
          </cell>
          <cell r="E1318">
            <v>0</v>
          </cell>
          <cell r="F1318" t="str">
            <v>Cáp đồng bọc CV70 (SDL)</v>
          </cell>
          <cell r="G1318" t="str">
            <v>mét</v>
          </cell>
          <cell r="H1318">
            <v>20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S1318">
            <v>0.73899999999999999</v>
          </cell>
          <cell r="T1318">
            <v>14.78</v>
          </cell>
        </row>
        <row r="1319">
          <cell r="B1319" t="str">
            <v>CVV4X4</v>
          </cell>
          <cell r="C1319">
            <v>1</v>
          </cell>
          <cell r="E1319">
            <v>0</v>
          </cell>
          <cell r="F1319" t="str">
            <v>Cáp điều khiển CVV 4x4,0mm2</v>
          </cell>
          <cell r="G1319" t="str">
            <v>mét</v>
          </cell>
          <cell r="H1319">
            <v>4</v>
          </cell>
          <cell r="I1319">
            <v>56700</v>
          </cell>
          <cell r="K1319">
            <v>0</v>
          </cell>
          <cell r="L1319">
            <v>0</v>
          </cell>
          <cell r="M1319">
            <v>226800</v>
          </cell>
          <cell r="N1319">
            <v>0</v>
          </cell>
          <cell r="O1319">
            <v>0</v>
          </cell>
          <cell r="P1319">
            <v>0</v>
          </cell>
          <cell r="S1319">
            <v>3.024</v>
          </cell>
          <cell r="T1319">
            <v>12.096</v>
          </cell>
        </row>
        <row r="1320">
          <cell r="B1320" t="str">
            <v>COS120</v>
          </cell>
          <cell r="C1320">
            <v>1</v>
          </cell>
          <cell r="E1320">
            <v>0</v>
          </cell>
          <cell r="F1320" t="str">
            <v>Đầu cosse ép Cu 120mm2</v>
          </cell>
          <cell r="G1320" t="str">
            <v>cái</v>
          </cell>
          <cell r="H1320">
            <v>2</v>
          </cell>
          <cell r="I1320">
            <v>68500</v>
          </cell>
          <cell r="K1320">
            <v>0</v>
          </cell>
          <cell r="L1320">
            <v>0</v>
          </cell>
          <cell r="M1320">
            <v>137000</v>
          </cell>
          <cell r="N1320">
            <v>0</v>
          </cell>
          <cell r="O1320">
            <v>0</v>
          </cell>
          <cell r="P1320">
            <v>0</v>
          </cell>
          <cell r="S1320">
            <v>0.1</v>
          </cell>
          <cell r="T1320">
            <v>0.2</v>
          </cell>
        </row>
        <row r="1321">
          <cell r="B1321" t="str">
            <v>CHCOS120</v>
          </cell>
          <cell r="C1321">
            <v>1</v>
          </cell>
          <cell r="E1321">
            <v>0</v>
          </cell>
          <cell r="F1321" t="str">
            <v>Chụp đầu cosse  120mm2</v>
          </cell>
          <cell r="G1321" t="str">
            <v>cái</v>
          </cell>
          <cell r="H1321">
            <v>2</v>
          </cell>
          <cell r="I1321">
            <v>3900</v>
          </cell>
          <cell r="K1321">
            <v>0</v>
          </cell>
          <cell r="L1321">
            <v>0</v>
          </cell>
          <cell r="M1321">
            <v>7800</v>
          </cell>
          <cell r="N1321">
            <v>0</v>
          </cell>
          <cell r="O1321">
            <v>0</v>
          </cell>
          <cell r="P1321">
            <v>0</v>
          </cell>
          <cell r="S1321">
            <v>0</v>
          </cell>
          <cell r="T1321">
            <v>0</v>
          </cell>
        </row>
        <row r="1322">
          <cell r="B1322" t="str">
            <v>PVC114</v>
          </cell>
          <cell r="C1322">
            <v>0</v>
          </cell>
          <cell r="E1322">
            <v>0</v>
          </cell>
          <cell r="F1322" t="str">
            <v xml:space="preserve">Ống PVC D114x4,9mm </v>
          </cell>
          <cell r="G1322" t="str">
            <v>m</v>
          </cell>
          <cell r="I1322">
            <v>103700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S1322">
            <v>2</v>
          </cell>
          <cell r="T1322">
            <v>0</v>
          </cell>
        </row>
        <row r="1323">
          <cell r="B1323" t="str">
            <v>PVC90</v>
          </cell>
          <cell r="C1323">
            <v>1</v>
          </cell>
          <cell r="E1323">
            <v>0</v>
          </cell>
          <cell r="F1323" t="str">
            <v>Ống PVC D90x3,8mm  (SDL)</v>
          </cell>
          <cell r="G1323" t="str">
            <v>m</v>
          </cell>
          <cell r="H1323">
            <v>12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S1323">
            <v>2</v>
          </cell>
          <cell r="T1323">
            <v>24</v>
          </cell>
        </row>
        <row r="1324">
          <cell r="B1324" t="str">
            <v>CD114</v>
          </cell>
          <cell r="C1324">
            <v>0</v>
          </cell>
          <cell r="E1324">
            <v>0</v>
          </cell>
          <cell r="F1324" t="str">
            <v>Cổ dê kẹp ống PVC φ 114 (có giá nới)</v>
          </cell>
          <cell r="G1324" t="str">
            <v>bộ</v>
          </cell>
          <cell r="I1324">
            <v>74000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S1324">
            <v>1.5</v>
          </cell>
          <cell r="T1324">
            <v>0</v>
          </cell>
        </row>
        <row r="1325">
          <cell r="B1325" t="str">
            <v>CD114</v>
          </cell>
          <cell r="C1325">
            <v>0</v>
          </cell>
          <cell r="E1325">
            <v>0</v>
          </cell>
          <cell r="F1325" t="str">
            <v>Cổ dê kẹp ống PVC φ 114 (có giá nới)</v>
          </cell>
          <cell r="G1325" t="str">
            <v>bộ</v>
          </cell>
          <cell r="I1325">
            <v>74000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S1325">
            <v>1.5</v>
          </cell>
          <cell r="T1325">
            <v>0</v>
          </cell>
        </row>
        <row r="1326">
          <cell r="B1326" t="str">
            <v>CD114</v>
          </cell>
          <cell r="C1326">
            <v>0</v>
          </cell>
          <cell r="E1326">
            <v>0</v>
          </cell>
          <cell r="F1326" t="str">
            <v>Cổ dê kẹp ống PVC φ 114 (có giá nới)</v>
          </cell>
          <cell r="G1326" t="str">
            <v>bộ</v>
          </cell>
          <cell r="I1326">
            <v>74000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S1326">
            <v>1.5</v>
          </cell>
          <cell r="T1326">
            <v>0</v>
          </cell>
        </row>
        <row r="1327">
          <cell r="B1327" t="str">
            <v>CUT114Td</v>
          </cell>
          <cell r="C1327">
            <v>0</v>
          </cell>
          <cell r="E1327">
            <v>0</v>
          </cell>
          <cell r="F1327" t="str">
            <v>Co  90 độ PVC 114 (Loại dày)</v>
          </cell>
          <cell r="G1327" t="str">
            <v>cái</v>
          </cell>
          <cell r="I1327">
            <v>104800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S1327">
            <v>0</v>
          </cell>
          <cell r="T1327">
            <v>0</v>
          </cell>
        </row>
        <row r="1328">
          <cell r="B1328" t="str">
            <v>CUT114135</v>
          </cell>
          <cell r="C1328">
            <v>0</v>
          </cell>
          <cell r="E1328">
            <v>0</v>
          </cell>
          <cell r="F1328" t="str">
            <v>Co 135 độ PVC 114</v>
          </cell>
          <cell r="G1328" t="str">
            <v>cái</v>
          </cell>
          <cell r="I1328">
            <v>70800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S1328">
            <v>0</v>
          </cell>
          <cell r="T1328">
            <v>0</v>
          </cell>
        </row>
        <row r="1329">
          <cell r="B1329" t="str">
            <v>KEODAN</v>
          </cell>
          <cell r="C1329">
            <v>1</v>
          </cell>
          <cell r="E1329">
            <v>0</v>
          </cell>
          <cell r="F1329" t="str">
            <v>Keo dán ống PVC (100gr)</v>
          </cell>
          <cell r="G1329" t="str">
            <v>tuýp</v>
          </cell>
          <cell r="H1329">
            <v>1</v>
          </cell>
          <cell r="I1329">
            <v>11500</v>
          </cell>
          <cell r="K1329">
            <v>0</v>
          </cell>
          <cell r="L1329">
            <v>0</v>
          </cell>
          <cell r="M1329">
            <v>11500</v>
          </cell>
          <cell r="N1329">
            <v>0</v>
          </cell>
          <cell r="O1329">
            <v>0</v>
          </cell>
          <cell r="P1329">
            <v>0</v>
          </cell>
          <cell r="S1329">
            <v>0</v>
          </cell>
          <cell r="T1329">
            <v>0</v>
          </cell>
        </row>
        <row r="1330">
          <cell r="B1330" t="str">
            <v>KEOBIT</v>
          </cell>
          <cell r="C1330">
            <v>1</v>
          </cell>
          <cell r="E1330">
            <v>0</v>
          </cell>
          <cell r="F1330" t="str">
            <v>Keo silicon bít miệng ống</v>
          </cell>
          <cell r="G1330" t="str">
            <v>ống</v>
          </cell>
          <cell r="H1330">
            <v>2</v>
          </cell>
          <cell r="I1330">
            <v>45000</v>
          </cell>
          <cell r="K1330">
            <v>0</v>
          </cell>
          <cell r="L1330">
            <v>0</v>
          </cell>
          <cell r="M1330">
            <v>90000</v>
          </cell>
          <cell r="N1330">
            <v>0</v>
          </cell>
          <cell r="O1330">
            <v>0</v>
          </cell>
          <cell r="P1330">
            <v>0</v>
          </cell>
          <cell r="S1330">
            <v>0</v>
          </cell>
          <cell r="T1330">
            <v>0</v>
          </cell>
        </row>
        <row r="1331">
          <cell r="B1331" t="str">
            <v>BANGKEO</v>
          </cell>
          <cell r="C1331">
            <v>1</v>
          </cell>
          <cell r="E1331">
            <v>0</v>
          </cell>
          <cell r="F1331" t="str">
            <v>Băng keo cách điện (Màu đen)</v>
          </cell>
          <cell r="G1331" t="str">
            <v>cuộn</v>
          </cell>
          <cell r="H1331">
            <v>2</v>
          </cell>
          <cell r="I1331">
            <v>6500</v>
          </cell>
          <cell r="K1331">
            <v>0</v>
          </cell>
          <cell r="L1331">
            <v>0</v>
          </cell>
          <cell r="M1331">
            <v>13000</v>
          </cell>
          <cell r="N1331">
            <v>0</v>
          </cell>
          <cell r="O1331">
            <v>0</v>
          </cell>
          <cell r="P1331">
            <v>0</v>
          </cell>
          <cell r="S1331">
            <v>0</v>
          </cell>
          <cell r="T1331">
            <v>0</v>
          </cell>
        </row>
        <row r="1332">
          <cell r="B1332" t="str">
            <v>LPVC90CL</v>
          </cell>
          <cell r="C1332">
            <v>1</v>
          </cell>
          <cell r="E1332" t="str">
            <v>T4.8003</v>
          </cell>
          <cell r="F1332" t="str">
            <v>Lắp ống nhựa PVC D90</v>
          </cell>
          <cell r="G1332" t="str">
            <v>mét</v>
          </cell>
          <cell r="H1332">
            <v>12</v>
          </cell>
          <cell r="I1332">
            <v>0</v>
          </cell>
          <cell r="K1332">
            <v>35541</v>
          </cell>
          <cell r="L1332">
            <v>0</v>
          </cell>
          <cell r="M1332">
            <v>0</v>
          </cell>
          <cell r="N1332">
            <v>0</v>
          </cell>
          <cell r="O1332">
            <v>426492</v>
          </cell>
          <cell r="P1332">
            <v>0</v>
          </cell>
          <cell r="S1332">
            <v>0</v>
          </cell>
          <cell r="T1332">
            <v>0</v>
          </cell>
        </row>
        <row r="1333">
          <cell r="B1333" t="str">
            <v>LPVC114CL</v>
          </cell>
          <cell r="C1333">
            <v>0</v>
          </cell>
          <cell r="E1333" t="str">
            <v>T4.8003</v>
          </cell>
          <cell r="F1333" t="str">
            <v>Lắp ống nhựa PVC D114</v>
          </cell>
          <cell r="G1333" t="str">
            <v>mét</v>
          </cell>
          <cell r="H1333">
            <v>0</v>
          </cell>
          <cell r="I1333">
            <v>0</v>
          </cell>
          <cell r="K1333">
            <v>35541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S1333">
            <v>0</v>
          </cell>
          <cell r="T1333">
            <v>0</v>
          </cell>
        </row>
        <row r="1334">
          <cell r="B1334" t="str">
            <v>LCAPDONGTB95</v>
          </cell>
          <cell r="C1334">
            <v>1</v>
          </cell>
          <cell r="E1334" t="str">
            <v>T4.4201</v>
          </cell>
          <cell r="F1334" t="str">
            <v>Lắp cáp đồng xuống thiết bị D ≤ 95mm2</v>
          </cell>
          <cell r="G1334" t="str">
            <v>m</v>
          </cell>
          <cell r="H1334">
            <v>30</v>
          </cell>
          <cell r="K1334">
            <v>11847</v>
          </cell>
          <cell r="L1334">
            <v>0</v>
          </cell>
          <cell r="M1334">
            <v>0</v>
          </cell>
          <cell r="N1334">
            <v>0</v>
          </cell>
          <cell r="O1334">
            <v>355410</v>
          </cell>
          <cell r="P1334">
            <v>0</v>
          </cell>
          <cell r="S1334">
            <v>0</v>
          </cell>
          <cell r="T1334">
            <v>0</v>
          </cell>
        </row>
        <row r="1335">
          <cell r="B1335" t="str">
            <v>LCAPDONGTB150</v>
          </cell>
          <cell r="C1335">
            <v>1</v>
          </cell>
          <cell r="E1335" t="str">
            <v>T4.4202</v>
          </cell>
          <cell r="F1335" t="str">
            <v>Lắp cáp đồng xuống thiết bị D ≤ 150mm2</v>
          </cell>
          <cell r="G1335" t="str">
            <v>m</v>
          </cell>
          <cell r="H1335">
            <v>60</v>
          </cell>
          <cell r="K1335">
            <v>28433</v>
          </cell>
          <cell r="L1335">
            <v>0</v>
          </cell>
          <cell r="M1335">
            <v>0</v>
          </cell>
          <cell r="N1335">
            <v>0</v>
          </cell>
          <cell r="O1335">
            <v>1705980</v>
          </cell>
          <cell r="P1335">
            <v>0</v>
          </cell>
          <cell r="S1335">
            <v>0</v>
          </cell>
          <cell r="T1335">
            <v>0</v>
          </cell>
        </row>
        <row r="1336">
          <cell r="C1336">
            <v>1</v>
          </cell>
          <cell r="D1336">
            <v>7</v>
          </cell>
          <cell r="F1336" t="str">
            <v>Bộ dây dẫn hạ thế lộ lên (thay ống Xuân Quế 1)</v>
          </cell>
          <cell r="G1336" t="str">
            <v>Bộ</v>
          </cell>
          <cell r="H1336">
            <v>4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S1336">
            <v>0</v>
          </cell>
          <cell r="T1336">
            <v>0</v>
          </cell>
        </row>
        <row r="1337">
          <cell r="C1337">
            <v>0</v>
          </cell>
          <cell r="F1337" t="str">
            <v>Gồm có: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S1337">
            <v>0</v>
          </cell>
          <cell r="T1337">
            <v>0</v>
          </cell>
        </row>
        <row r="1338">
          <cell r="B1338" t="str">
            <v>CV95</v>
          </cell>
          <cell r="C1338">
            <v>0</v>
          </cell>
          <cell r="E1338">
            <v>0</v>
          </cell>
          <cell r="F1338" t="str">
            <v>Cáp đồng bọc CV95</v>
          </cell>
          <cell r="G1338" t="str">
            <v>mét</v>
          </cell>
          <cell r="I1338">
            <v>170620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S1338">
            <v>1.008</v>
          </cell>
          <cell r="T1338">
            <v>0</v>
          </cell>
        </row>
        <row r="1339">
          <cell r="B1339" t="str">
            <v>CV70</v>
          </cell>
          <cell r="C1339">
            <v>1</v>
          </cell>
          <cell r="E1339">
            <v>0</v>
          </cell>
          <cell r="F1339" t="str">
            <v>Cáp đồng bọc CV70</v>
          </cell>
          <cell r="G1339" t="str">
            <v>mét</v>
          </cell>
          <cell r="H1339">
            <v>36</v>
          </cell>
          <cell r="I1339">
            <v>124570</v>
          </cell>
          <cell r="K1339">
            <v>0</v>
          </cell>
          <cell r="L1339">
            <v>0</v>
          </cell>
          <cell r="M1339">
            <v>4484520</v>
          </cell>
          <cell r="N1339">
            <v>0</v>
          </cell>
          <cell r="O1339">
            <v>0</v>
          </cell>
          <cell r="P1339">
            <v>0</v>
          </cell>
          <cell r="S1339">
            <v>0.73899999999999999</v>
          </cell>
          <cell r="T1339">
            <v>26.603999999999999</v>
          </cell>
        </row>
        <row r="1340">
          <cell r="B1340" t="str">
            <v>CV50</v>
          </cell>
          <cell r="C1340">
            <v>1</v>
          </cell>
          <cell r="E1340">
            <v>0</v>
          </cell>
          <cell r="F1340" t="str">
            <v>Cáp đồng bọc CV50</v>
          </cell>
          <cell r="G1340" t="str">
            <v>mét</v>
          </cell>
          <cell r="H1340">
            <v>9</v>
          </cell>
          <cell r="I1340">
            <v>90810</v>
          </cell>
          <cell r="K1340">
            <v>0</v>
          </cell>
          <cell r="L1340">
            <v>0</v>
          </cell>
          <cell r="M1340">
            <v>817290</v>
          </cell>
          <cell r="N1340">
            <v>0</v>
          </cell>
          <cell r="O1340">
            <v>0</v>
          </cell>
          <cell r="P1340">
            <v>0</v>
          </cell>
          <cell r="Q1340" t="str">
            <v>XQ1</v>
          </cell>
          <cell r="S1340">
            <v>0.53400000000000003</v>
          </cell>
          <cell r="T1340">
            <v>4.806</v>
          </cell>
        </row>
        <row r="1341">
          <cell r="B1341" t="str">
            <v>CV70</v>
          </cell>
          <cell r="C1341">
            <v>1</v>
          </cell>
          <cell r="E1341">
            <v>0</v>
          </cell>
          <cell r="F1341" t="str">
            <v>Cáp đồng bọc CV70 (SDL HH)</v>
          </cell>
          <cell r="G1341" t="str">
            <v>mét</v>
          </cell>
          <cell r="H1341">
            <v>72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S1341">
            <v>0.73899999999999999</v>
          </cell>
          <cell r="T1341">
            <v>53.207999999999998</v>
          </cell>
        </row>
        <row r="1342">
          <cell r="B1342" t="str">
            <v>CV50</v>
          </cell>
          <cell r="C1342">
            <v>1</v>
          </cell>
          <cell r="E1342">
            <v>0</v>
          </cell>
          <cell r="F1342" t="str">
            <v>Cáp đồng bọc CV50 (SDL HH)</v>
          </cell>
          <cell r="G1342" t="str">
            <v>mét</v>
          </cell>
          <cell r="H1342">
            <v>27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 t="str">
            <v>2 sợi TX7;
 1 sợi XQ1</v>
          </cell>
          <cell r="S1342">
            <v>0.53400000000000003</v>
          </cell>
          <cell r="T1342">
            <v>14.418000000000001</v>
          </cell>
        </row>
        <row r="1343">
          <cell r="B1343" t="str">
            <v>COS95</v>
          </cell>
          <cell r="C1343">
            <v>0</v>
          </cell>
          <cell r="E1343">
            <v>0</v>
          </cell>
          <cell r="F1343" t="str">
            <v>Đầu cosse ép Cu 95mm2</v>
          </cell>
          <cell r="G1343" t="str">
            <v>cái</v>
          </cell>
          <cell r="I1343">
            <v>47500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S1343">
            <v>0.2</v>
          </cell>
          <cell r="T1343">
            <v>0</v>
          </cell>
        </row>
        <row r="1344">
          <cell r="B1344" t="str">
            <v>COS70</v>
          </cell>
          <cell r="C1344">
            <v>1</v>
          </cell>
          <cell r="E1344">
            <v>0</v>
          </cell>
          <cell r="F1344" t="str">
            <v>Đầu cosse ép Cu 70mm2</v>
          </cell>
          <cell r="G1344" t="str">
            <v>cái</v>
          </cell>
          <cell r="H1344">
            <v>4</v>
          </cell>
          <cell r="I1344">
            <v>34500</v>
          </cell>
          <cell r="K1344">
            <v>0</v>
          </cell>
          <cell r="L1344">
            <v>0</v>
          </cell>
          <cell r="M1344">
            <v>138000</v>
          </cell>
          <cell r="N1344">
            <v>0</v>
          </cell>
          <cell r="O1344">
            <v>0</v>
          </cell>
          <cell r="P1344">
            <v>0</v>
          </cell>
          <cell r="S1344">
            <v>0.2</v>
          </cell>
          <cell r="T1344">
            <v>0.8</v>
          </cell>
        </row>
        <row r="1345">
          <cell r="B1345" t="str">
            <v>COS50</v>
          </cell>
          <cell r="C1345">
            <v>1</v>
          </cell>
          <cell r="E1345">
            <v>0</v>
          </cell>
          <cell r="F1345" t="str">
            <v>Đầu cosse ép Cu 50mm2</v>
          </cell>
          <cell r="G1345" t="str">
            <v>cái</v>
          </cell>
          <cell r="H1345">
            <v>1</v>
          </cell>
          <cell r="I1345">
            <v>24000</v>
          </cell>
          <cell r="K1345">
            <v>0</v>
          </cell>
          <cell r="L1345">
            <v>0</v>
          </cell>
          <cell r="M1345">
            <v>24000</v>
          </cell>
          <cell r="N1345">
            <v>0</v>
          </cell>
          <cell r="O1345">
            <v>0</v>
          </cell>
          <cell r="P1345">
            <v>0</v>
          </cell>
          <cell r="S1345">
            <v>0.1</v>
          </cell>
          <cell r="T1345">
            <v>0.1</v>
          </cell>
        </row>
        <row r="1346">
          <cell r="B1346" t="str">
            <v>CHCOS95</v>
          </cell>
          <cell r="C1346">
            <v>0</v>
          </cell>
          <cell r="E1346">
            <v>0</v>
          </cell>
          <cell r="F1346" t="str">
            <v>Chụp đầu cosse  95mm2</v>
          </cell>
          <cell r="G1346" t="str">
            <v>cái</v>
          </cell>
          <cell r="H1346">
            <v>0</v>
          </cell>
          <cell r="I1346">
            <v>3300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S1346">
            <v>0</v>
          </cell>
          <cell r="T1346">
            <v>0</v>
          </cell>
        </row>
        <row r="1347">
          <cell r="B1347" t="str">
            <v>CHCOS70</v>
          </cell>
          <cell r="C1347">
            <v>1</v>
          </cell>
          <cell r="E1347">
            <v>0</v>
          </cell>
          <cell r="F1347" t="str">
            <v>Chụp đầu cosse  70mm2</v>
          </cell>
          <cell r="G1347" t="str">
            <v>cái</v>
          </cell>
          <cell r="H1347">
            <v>4</v>
          </cell>
          <cell r="I1347">
            <v>2300</v>
          </cell>
          <cell r="K1347">
            <v>0</v>
          </cell>
          <cell r="L1347">
            <v>0</v>
          </cell>
          <cell r="M1347">
            <v>9200</v>
          </cell>
          <cell r="N1347">
            <v>0</v>
          </cell>
          <cell r="O1347">
            <v>0</v>
          </cell>
          <cell r="P1347">
            <v>0</v>
          </cell>
          <cell r="S1347">
            <v>0</v>
          </cell>
          <cell r="T1347">
            <v>0</v>
          </cell>
        </row>
        <row r="1348">
          <cell r="B1348" t="str">
            <v>CHCOS50</v>
          </cell>
          <cell r="C1348">
            <v>1</v>
          </cell>
          <cell r="E1348">
            <v>0</v>
          </cell>
          <cell r="F1348" t="str">
            <v>Chụp đầu cosse  50mm2</v>
          </cell>
          <cell r="G1348" t="str">
            <v>cái</v>
          </cell>
          <cell r="H1348">
            <v>1</v>
          </cell>
          <cell r="I1348">
            <v>1300</v>
          </cell>
          <cell r="K1348">
            <v>0</v>
          </cell>
          <cell r="L1348">
            <v>0</v>
          </cell>
          <cell r="M1348">
            <v>1300</v>
          </cell>
          <cell r="N1348">
            <v>0</v>
          </cell>
          <cell r="O1348">
            <v>0</v>
          </cell>
          <cell r="P1348">
            <v>0</v>
          </cell>
          <cell r="S1348">
            <v>0</v>
          </cell>
          <cell r="T1348">
            <v>0</v>
          </cell>
        </row>
        <row r="1349">
          <cell r="B1349" t="str">
            <v>PVC90</v>
          </cell>
          <cell r="C1349">
            <v>1</v>
          </cell>
          <cell r="E1349">
            <v>0</v>
          </cell>
          <cell r="F1349" t="str">
            <v xml:space="preserve">Ống PVC D90x3,8mm </v>
          </cell>
          <cell r="G1349" t="str">
            <v>m</v>
          </cell>
          <cell r="H1349">
            <v>12</v>
          </cell>
          <cell r="I1349">
            <v>63200</v>
          </cell>
          <cell r="K1349">
            <v>0</v>
          </cell>
          <cell r="L1349">
            <v>0</v>
          </cell>
          <cell r="M1349">
            <v>758400</v>
          </cell>
          <cell r="N1349">
            <v>0</v>
          </cell>
          <cell r="O1349">
            <v>0</v>
          </cell>
          <cell r="P1349">
            <v>0</v>
          </cell>
          <cell r="Q1349" t="str">
            <v>XQ1</v>
          </cell>
          <cell r="S1349">
            <v>2</v>
          </cell>
          <cell r="T1349">
            <v>24</v>
          </cell>
        </row>
        <row r="1350">
          <cell r="B1350" t="str">
            <v>PVC90</v>
          </cell>
          <cell r="C1350">
            <v>1</v>
          </cell>
          <cell r="E1350">
            <v>0</v>
          </cell>
          <cell r="F1350" t="str">
            <v>Ống PVC D90x3,8mm  (SDL)</v>
          </cell>
          <cell r="G1350" t="str">
            <v>m</v>
          </cell>
          <cell r="H1350">
            <v>12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 t="str">
            <v>TX7A</v>
          </cell>
          <cell r="S1350">
            <v>2</v>
          </cell>
          <cell r="T1350">
            <v>24</v>
          </cell>
        </row>
        <row r="1351">
          <cell r="B1351" t="str">
            <v>CD90</v>
          </cell>
          <cell r="C1351">
            <v>1</v>
          </cell>
          <cell r="F1351" t="str">
            <v>Cổ dê kẹp ống PVC φ 90 (có giá nới) (CD: 250)</v>
          </cell>
          <cell r="G1351" t="str">
            <v>bộ</v>
          </cell>
          <cell r="H1351">
            <v>2</v>
          </cell>
          <cell r="I1351">
            <v>74000</v>
          </cell>
          <cell r="L1351">
            <v>0</v>
          </cell>
          <cell r="M1351">
            <v>148000</v>
          </cell>
          <cell r="N1351">
            <v>0</v>
          </cell>
          <cell r="O1351">
            <v>0</v>
          </cell>
          <cell r="P1351">
            <v>0</v>
          </cell>
          <cell r="S1351">
            <v>1.5</v>
          </cell>
          <cell r="T1351">
            <v>3</v>
          </cell>
        </row>
        <row r="1352">
          <cell r="B1352" t="str">
            <v>CD90</v>
          </cell>
          <cell r="C1352">
            <v>1</v>
          </cell>
          <cell r="F1352" t="str">
            <v>Cổ dê kẹp ống PVC φ 90 (có giá nới) (CD: 280)</v>
          </cell>
          <cell r="G1352" t="str">
            <v>bộ</v>
          </cell>
          <cell r="H1352">
            <v>2</v>
          </cell>
          <cell r="I1352">
            <v>74000</v>
          </cell>
          <cell r="L1352">
            <v>0</v>
          </cell>
          <cell r="M1352">
            <v>148000</v>
          </cell>
          <cell r="N1352">
            <v>0</v>
          </cell>
          <cell r="O1352">
            <v>0</v>
          </cell>
          <cell r="P1352">
            <v>0</v>
          </cell>
          <cell r="S1352">
            <v>1.5</v>
          </cell>
          <cell r="T1352">
            <v>3</v>
          </cell>
        </row>
        <row r="1353">
          <cell r="B1353" t="str">
            <v>CD90</v>
          </cell>
          <cell r="C1353">
            <v>1</v>
          </cell>
          <cell r="F1353" t="str">
            <v>Cổ dê kẹp ống PVC φ 90 (có giá nới) (CD: 320)</v>
          </cell>
          <cell r="G1353" t="str">
            <v>bộ</v>
          </cell>
          <cell r="H1353">
            <v>2</v>
          </cell>
          <cell r="I1353">
            <v>74000</v>
          </cell>
          <cell r="L1353">
            <v>0</v>
          </cell>
          <cell r="M1353">
            <v>148000</v>
          </cell>
          <cell r="N1353">
            <v>0</v>
          </cell>
          <cell r="O1353">
            <v>0</v>
          </cell>
          <cell r="P1353">
            <v>0</v>
          </cell>
          <cell r="S1353">
            <v>1.5</v>
          </cell>
          <cell r="T1353">
            <v>3</v>
          </cell>
        </row>
        <row r="1354">
          <cell r="B1354" t="str">
            <v>CUT90TD</v>
          </cell>
          <cell r="C1354">
            <v>1</v>
          </cell>
          <cell r="E1354">
            <v>0</v>
          </cell>
          <cell r="F1354" t="str">
            <v>Co  90 độ PVC 90 (Loại dày)</v>
          </cell>
          <cell r="G1354" t="str">
            <v>cái</v>
          </cell>
          <cell r="H1354">
            <v>2</v>
          </cell>
          <cell r="I1354">
            <v>45400</v>
          </cell>
          <cell r="K1354">
            <v>0</v>
          </cell>
          <cell r="L1354">
            <v>0</v>
          </cell>
          <cell r="M1354">
            <v>90800</v>
          </cell>
          <cell r="N1354">
            <v>0</v>
          </cell>
          <cell r="O1354">
            <v>0</v>
          </cell>
          <cell r="P1354">
            <v>0</v>
          </cell>
          <cell r="S1354">
            <v>0</v>
          </cell>
          <cell r="T1354">
            <v>0</v>
          </cell>
        </row>
        <row r="1355">
          <cell r="B1355" t="str">
            <v>CUT90T</v>
          </cell>
          <cell r="C1355">
            <v>1</v>
          </cell>
          <cell r="E1355">
            <v>0</v>
          </cell>
          <cell r="F1355" t="str">
            <v>Co  90 độ PVC 90</v>
          </cell>
          <cell r="G1355" t="str">
            <v>cái</v>
          </cell>
          <cell r="H1355">
            <v>4</v>
          </cell>
          <cell r="I1355">
            <v>35200</v>
          </cell>
          <cell r="K1355">
            <v>0</v>
          </cell>
          <cell r="L1355">
            <v>0</v>
          </cell>
          <cell r="M1355">
            <v>140800</v>
          </cell>
          <cell r="N1355">
            <v>0</v>
          </cell>
          <cell r="O1355">
            <v>0</v>
          </cell>
          <cell r="P1355">
            <v>0</v>
          </cell>
          <cell r="S1355">
            <v>0</v>
          </cell>
          <cell r="T1355">
            <v>0</v>
          </cell>
        </row>
        <row r="1356">
          <cell r="B1356" t="str">
            <v>CUT90135</v>
          </cell>
          <cell r="C1356">
            <v>1</v>
          </cell>
          <cell r="E1356">
            <v>0</v>
          </cell>
          <cell r="F1356" t="str">
            <v>Co 135 độ PVC 90</v>
          </cell>
          <cell r="G1356" t="str">
            <v>cái</v>
          </cell>
          <cell r="H1356">
            <v>2</v>
          </cell>
          <cell r="I1356">
            <v>33900</v>
          </cell>
          <cell r="K1356">
            <v>0</v>
          </cell>
          <cell r="L1356">
            <v>0</v>
          </cell>
          <cell r="M1356">
            <v>67800</v>
          </cell>
          <cell r="N1356">
            <v>0</v>
          </cell>
          <cell r="O1356">
            <v>0</v>
          </cell>
          <cell r="P1356">
            <v>0</v>
          </cell>
          <cell r="S1356">
            <v>0</v>
          </cell>
          <cell r="T1356">
            <v>0</v>
          </cell>
        </row>
        <row r="1357">
          <cell r="B1357" t="str">
            <v>KVRT90</v>
          </cell>
          <cell r="C1357">
            <v>1</v>
          </cell>
          <cell r="E1357">
            <v>0</v>
          </cell>
          <cell r="F1357" t="str">
            <v>Khâu ven răng trong D90</v>
          </cell>
          <cell r="G1357" t="str">
            <v>cái</v>
          </cell>
          <cell r="H1357">
            <v>2</v>
          </cell>
          <cell r="I1357">
            <v>25800</v>
          </cell>
          <cell r="K1357">
            <v>0</v>
          </cell>
          <cell r="L1357">
            <v>0</v>
          </cell>
          <cell r="M1357">
            <v>51600</v>
          </cell>
          <cell r="N1357">
            <v>0</v>
          </cell>
          <cell r="O1357">
            <v>0</v>
          </cell>
          <cell r="P1357">
            <v>0</v>
          </cell>
          <cell r="S1357">
            <v>0</v>
          </cell>
          <cell r="T1357">
            <v>0</v>
          </cell>
        </row>
        <row r="1358">
          <cell r="B1358" t="str">
            <v>KVRN90</v>
          </cell>
          <cell r="C1358">
            <v>1</v>
          </cell>
          <cell r="E1358">
            <v>0</v>
          </cell>
          <cell r="F1358" t="str">
            <v>Khâu ven răng ngoài D90</v>
          </cell>
          <cell r="G1358" t="str">
            <v>cái</v>
          </cell>
          <cell r="H1358">
            <v>2</v>
          </cell>
          <cell r="I1358">
            <v>21500</v>
          </cell>
          <cell r="K1358">
            <v>0</v>
          </cell>
          <cell r="L1358">
            <v>0</v>
          </cell>
          <cell r="M1358">
            <v>43000</v>
          </cell>
          <cell r="N1358">
            <v>0</v>
          </cell>
          <cell r="O1358">
            <v>0</v>
          </cell>
          <cell r="P1358">
            <v>0</v>
          </cell>
          <cell r="S1358">
            <v>0</v>
          </cell>
          <cell r="T1358">
            <v>0</v>
          </cell>
        </row>
        <row r="1359">
          <cell r="B1359" t="str">
            <v>KEODAN</v>
          </cell>
          <cell r="C1359">
            <v>1</v>
          </cell>
          <cell r="E1359">
            <v>0</v>
          </cell>
          <cell r="F1359" t="str">
            <v>Keo dán ống PVC (100gr)</v>
          </cell>
          <cell r="G1359" t="str">
            <v>tuýp</v>
          </cell>
          <cell r="H1359">
            <v>2</v>
          </cell>
          <cell r="I1359">
            <v>11500</v>
          </cell>
          <cell r="K1359">
            <v>0</v>
          </cell>
          <cell r="L1359">
            <v>0</v>
          </cell>
          <cell r="M1359">
            <v>23000</v>
          </cell>
          <cell r="N1359">
            <v>0</v>
          </cell>
          <cell r="O1359">
            <v>0</v>
          </cell>
          <cell r="P1359">
            <v>0</v>
          </cell>
          <cell r="S1359">
            <v>0</v>
          </cell>
          <cell r="T1359">
            <v>0</v>
          </cell>
        </row>
        <row r="1360">
          <cell r="B1360" t="str">
            <v>KEOBIT</v>
          </cell>
          <cell r="C1360">
            <v>1</v>
          </cell>
          <cell r="E1360">
            <v>0</v>
          </cell>
          <cell r="F1360" t="str">
            <v>Keo silicon bít miệng ống</v>
          </cell>
          <cell r="G1360" t="str">
            <v>ống</v>
          </cell>
          <cell r="H1360">
            <v>4</v>
          </cell>
          <cell r="I1360">
            <v>45000</v>
          </cell>
          <cell r="K1360">
            <v>0</v>
          </cell>
          <cell r="L1360">
            <v>0</v>
          </cell>
          <cell r="M1360">
            <v>180000</v>
          </cell>
          <cell r="N1360">
            <v>0</v>
          </cell>
          <cell r="O1360">
            <v>0</v>
          </cell>
          <cell r="P1360">
            <v>0</v>
          </cell>
          <cell r="S1360">
            <v>0</v>
          </cell>
          <cell r="T1360">
            <v>0</v>
          </cell>
        </row>
        <row r="1361">
          <cell r="B1361" t="str">
            <v>ON120</v>
          </cell>
          <cell r="C1361">
            <v>1</v>
          </cell>
          <cell r="E1361">
            <v>0</v>
          </cell>
          <cell r="F1361" t="str">
            <v>Ống nối dây AC cỡ 120mm2 (Không lõi thép)</v>
          </cell>
          <cell r="G1361" t="str">
            <v>cái</v>
          </cell>
          <cell r="H1361">
            <v>4</v>
          </cell>
          <cell r="I1361">
            <v>65500</v>
          </cell>
          <cell r="K1361">
            <v>0</v>
          </cell>
          <cell r="L1361">
            <v>0</v>
          </cell>
          <cell r="M1361">
            <v>262000</v>
          </cell>
          <cell r="N1361">
            <v>0</v>
          </cell>
          <cell r="O1361">
            <v>0</v>
          </cell>
          <cell r="P1361">
            <v>0</v>
          </cell>
          <cell r="S1361">
            <v>2</v>
          </cell>
          <cell r="T1361">
            <v>8</v>
          </cell>
        </row>
        <row r="1362">
          <cell r="B1362" t="str">
            <v>OBCD</v>
          </cell>
          <cell r="C1362">
            <v>1</v>
          </cell>
          <cell r="E1362">
            <v>0</v>
          </cell>
          <cell r="F1362" t="str">
            <v>Ống bọc cách điện D30</v>
          </cell>
          <cell r="G1362" t="str">
            <v>mét</v>
          </cell>
          <cell r="H1362">
            <v>8</v>
          </cell>
          <cell r="I1362">
            <v>95000</v>
          </cell>
          <cell r="K1362">
            <v>0</v>
          </cell>
          <cell r="L1362">
            <v>0</v>
          </cell>
          <cell r="M1362">
            <v>760000</v>
          </cell>
          <cell r="N1362">
            <v>0</v>
          </cell>
          <cell r="O1362">
            <v>0</v>
          </cell>
          <cell r="P1362">
            <v>0</v>
          </cell>
          <cell r="S1362">
            <v>0</v>
          </cell>
          <cell r="T1362">
            <v>0</v>
          </cell>
        </row>
        <row r="1363">
          <cell r="B1363" t="str">
            <v>BANGKEO</v>
          </cell>
          <cell r="C1363">
            <v>1</v>
          </cell>
          <cell r="E1363">
            <v>0</v>
          </cell>
          <cell r="F1363" t="str">
            <v>Băng keo cách điện (Màu đen)</v>
          </cell>
          <cell r="G1363" t="str">
            <v>cuộn</v>
          </cell>
          <cell r="H1363">
            <v>2</v>
          </cell>
          <cell r="I1363">
            <v>6500</v>
          </cell>
          <cell r="K1363">
            <v>0</v>
          </cell>
          <cell r="L1363">
            <v>0</v>
          </cell>
          <cell r="M1363">
            <v>13000</v>
          </cell>
          <cell r="N1363">
            <v>0</v>
          </cell>
          <cell r="O1363">
            <v>0</v>
          </cell>
          <cell r="P1363">
            <v>0</v>
          </cell>
          <cell r="S1363">
            <v>0</v>
          </cell>
          <cell r="T1363">
            <v>0</v>
          </cell>
        </row>
        <row r="1364">
          <cell r="B1364" t="str">
            <v>LPVC90CL</v>
          </cell>
          <cell r="C1364">
            <v>1</v>
          </cell>
          <cell r="E1364" t="str">
            <v>T4.8003</v>
          </cell>
          <cell r="F1364" t="str">
            <v>Lắp ống nhựa PVC D90</v>
          </cell>
          <cell r="G1364" t="str">
            <v>mét</v>
          </cell>
          <cell r="H1364">
            <v>12</v>
          </cell>
          <cell r="I1364">
            <v>0</v>
          </cell>
          <cell r="K1364">
            <v>35541</v>
          </cell>
          <cell r="L1364">
            <v>0</v>
          </cell>
          <cell r="M1364">
            <v>0</v>
          </cell>
          <cell r="N1364">
            <v>0</v>
          </cell>
          <cell r="O1364">
            <v>426492</v>
          </cell>
          <cell r="P1364">
            <v>0</v>
          </cell>
          <cell r="S1364">
            <v>0</v>
          </cell>
          <cell r="T1364">
            <v>0</v>
          </cell>
        </row>
        <row r="1365">
          <cell r="B1365" t="str">
            <v>LPVC114CL</v>
          </cell>
          <cell r="C1365">
            <v>1</v>
          </cell>
          <cell r="E1365" t="str">
            <v>T4.8003</v>
          </cell>
          <cell r="F1365" t="str">
            <v>Lắp ống nhựa PVC D114</v>
          </cell>
          <cell r="G1365" t="str">
            <v>mét</v>
          </cell>
          <cell r="H1365">
            <v>12</v>
          </cell>
          <cell r="I1365">
            <v>0</v>
          </cell>
          <cell r="K1365">
            <v>35541</v>
          </cell>
          <cell r="L1365">
            <v>0</v>
          </cell>
          <cell r="M1365">
            <v>0</v>
          </cell>
          <cell r="N1365">
            <v>0</v>
          </cell>
          <cell r="O1365">
            <v>426492</v>
          </cell>
          <cell r="P1365">
            <v>0</v>
          </cell>
          <cell r="S1365">
            <v>0</v>
          </cell>
          <cell r="T1365">
            <v>0</v>
          </cell>
        </row>
        <row r="1366">
          <cell r="B1366" t="str">
            <v>LCAPDONGTB95</v>
          </cell>
          <cell r="C1366">
            <v>1</v>
          </cell>
          <cell r="E1366" t="str">
            <v>T4.4201</v>
          </cell>
          <cell r="F1366" t="str">
            <v>Lắp cáp đồng xuống thiết bị D ≤ 95mm2</v>
          </cell>
          <cell r="G1366" t="str">
            <v>m</v>
          </cell>
          <cell r="H1366">
            <v>144</v>
          </cell>
          <cell r="I1366">
            <v>0</v>
          </cell>
          <cell r="K1366">
            <v>11847</v>
          </cell>
          <cell r="L1366">
            <v>0</v>
          </cell>
          <cell r="M1366">
            <v>0</v>
          </cell>
          <cell r="N1366">
            <v>0</v>
          </cell>
          <cell r="O1366">
            <v>1705968</v>
          </cell>
          <cell r="P1366">
            <v>0</v>
          </cell>
          <cell r="S1366">
            <v>0</v>
          </cell>
          <cell r="T1366">
            <v>0</v>
          </cell>
        </row>
        <row r="1367">
          <cell r="A1367" t="str">
            <v>TRNC3X375</v>
          </cell>
          <cell r="C1367" t="str">
            <v>X</v>
          </cell>
          <cell r="D1367" t="str">
            <v>VII</v>
          </cell>
          <cell r="E1367" t="str">
            <v xml:space="preserve"> Nâng cấp 2x37,5kVA lên 3x37,5kVA</v>
          </cell>
          <cell r="S1367">
            <v>0</v>
          </cell>
          <cell r="T1367">
            <v>0</v>
          </cell>
        </row>
        <row r="1368">
          <cell r="A1368" t="str">
            <v>TBTR3X375</v>
          </cell>
          <cell r="C1368" t="str">
            <v>X</v>
          </cell>
          <cell r="F1368" t="str">
            <v>A.PHẦN THIẾT BỊ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S1368">
            <v>0</v>
          </cell>
          <cell r="T1368">
            <v>0</v>
          </cell>
        </row>
        <row r="1369">
          <cell r="A1369" t="str">
            <v/>
          </cell>
          <cell r="B1369" t="str">
            <v>TR371</v>
          </cell>
          <cell r="C1369" t="str">
            <v>X</v>
          </cell>
          <cell r="E1369" t="str">
            <v>T1.1432</v>
          </cell>
          <cell r="F1369" t="str">
            <v>Máy biến áp AMORPHOUS 12,7/0,22-0,44kV 37,5kVA</v>
          </cell>
          <cell r="G1369" t="str">
            <v>máy</v>
          </cell>
          <cell r="H1369">
            <v>0</v>
          </cell>
          <cell r="I1369">
            <v>0</v>
          </cell>
          <cell r="K1369">
            <v>746585</v>
          </cell>
          <cell r="L1369">
            <v>360605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S1369">
            <v>355</v>
          </cell>
          <cell r="T1369">
            <v>0</v>
          </cell>
        </row>
        <row r="1370">
          <cell r="A1370" t="str">
            <v/>
          </cell>
          <cell r="B1370" t="str">
            <v>FCO100</v>
          </cell>
          <cell r="C1370" t="str">
            <v>X</v>
          </cell>
          <cell r="E1370" t="str">
            <v>T2.3505</v>
          </cell>
          <cell r="F1370" t="str">
            <v>FCO 27kV - 100A</v>
          </cell>
          <cell r="G1370" t="str">
            <v>cái</v>
          </cell>
          <cell r="H1370">
            <v>0</v>
          </cell>
          <cell r="I1370">
            <v>1020000</v>
          </cell>
          <cell r="K1370">
            <v>189552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S1370">
            <v>1.5</v>
          </cell>
          <cell r="T1370">
            <v>0</v>
          </cell>
        </row>
        <row r="1371">
          <cell r="A1371" t="str">
            <v/>
          </cell>
          <cell r="B1371" t="str">
            <v>LA18</v>
          </cell>
          <cell r="C1371" t="str">
            <v>X</v>
          </cell>
          <cell r="E1371" t="str">
            <v>T2.5004</v>
          </cell>
          <cell r="F1371" t="str">
            <v>LA 18kV 10kA</v>
          </cell>
          <cell r="G1371" t="str">
            <v>cái</v>
          </cell>
          <cell r="H1371">
            <v>0</v>
          </cell>
          <cell r="I1371">
            <v>910000</v>
          </cell>
          <cell r="K1371">
            <v>71082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S1371">
            <v>0.8</v>
          </cell>
          <cell r="T1371">
            <v>0</v>
          </cell>
        </row>
        <row r="1372">
          <cell r="A1372" t="str">
            <v/>
          </cell>
          <cell r="B1372" t="str">
            <v>ATM250</v>
          </cell>
          <cell r="C1372" t="str">
            <v>X</v>
          </cell>
          <cell r="F1372" t="str">
            <v>MCCB 3 cực 600V - 250A - 42KA (160-250A)</v>
          </cell>
          <cell r="G1372" t="str">
            <v>cái</v>
          </cell>
          <cell r="H1372">
            <v>0</v>
          </cell>
          <cell r="I1372">
            <v>2800000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S1372">
            <v>2</v>
          </cell>
          <cell r="T1372">
            <v>0</v>
          </cell>
        </row>
        <row r="1373">
          <cell r="A1373" t="str">
            <v/>
          </cell>
          <cell r="B1373" t="str">
            <v>ATM160</v>
          </cell>
          <cell r="C1373" t="str">
            <v>X</v>
          </cell>
          <cell r="F1373" t="str">
            <v>MCCB 3 cực 400V - 160A - 35KA (100-160A) (Phân đoạn)</v>
          </cell>
          <cell r="G1373" t="str">
            <v>cái</v>
          </cell>
          <cell r="H1373">
            <v>0</v>
          </cell>
          <cell r="I1373">
            <v>2230000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S1373">
            <v>2</v>
          </cell>
          <cell r="T1373">
            <v>0</v>
          </cell>
        </row>
        <row r="1374">
          <cell r="A1374" t="str">
            <v/>
          </cell>
          <cell r="B1374" t="str">
            <v>TI1505</v>
          </cell>
          <cell r="C1374" t="str">
            <v>X</v>
          </cell>
          <cell r="E1374">
            <v>0</v>
          </cell>
          <cell r="F1374" t="str">
            <v xml:space="preserve">Biến dòng 600V - 150/5A </v>
          </cell>
          <cell r="G1374" t="str">
            <v>cái</v>
          </cell>
          <cell r="H1374">
            <v>0</v>
          </cell>
          <cell r="I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S1374">
            <v>0</v>
          </cell>
          <cell r="T1374">
            <v>0</v>
          </cell>
        </row>
        <row r="1375">
          <cell r="A1375" t="str">
            <v/>
          </cell>
          <cell r="B1375" t="str">
            <v>DK3p5A</v>
          </cell>
          <cell r="C1375" t="str">
            <v>X</v>
          </cell>
          <cell r="E1375">
            <v>0</v>
          </cell>
          <cell r="F1375" t="str">
            <v>Điện kế 3 pha 4 dây 220/380V-5A</v>
          </cell>
          <cell r="G1375" t="str">
            <v>cái</v>
          </cell>
          <cell r="H1375">
            <v>0</v>
          </cell>
          <cell r="I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S1375">
            <v>1.5</v>
          </cell>
          <cell r="T1375">
            <v>0</v>
          </cell>
        </row>
        <row r="1376">
          <cell r="A1376" t="str">
            <v>VLTR3X375</v>
          </cell>
          <cell r="C1376" t="str">
            <v>X</v>
          </cell>
          <cell r="F1376" t="str">
            <v>B. PHẦN VẬT LIỆU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S1376">
            <v>0</v>
          </cell>
          <cell r="T1376">
            <v>0</v>
          </cell>
        </row>
        <row r="1377">
          <cell r="C1377" t="str">
            <v>X</v>
          </cell>
          <cell r="D1377">
            <v>0</v>
          </cell>
          <cell r="F1377" t="str">
            <v>Vật liệu bảo vệ thiết bị</v>
          </cell>
          <cell r="G1377" t="str">
            <v>Bộ</v>
          </cell>
          <cell r="H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S1377">
            <v>0</v>
          </cell>
          <cell r="T1377">
            <v>0</v>
          </cell>
        </row>
        <row r="1378">
          <cell r="A1378" t="str">
            <v/>
          </cell>
          <cell r="B1378" t="str">
            <v>CHI6K</v>
          </cell>
          <cell r="C1378" t="str">
            <v>X</v>
          </cell>
          <cell r="E1378">
            <v>0</v>
          </cell>
          <cell r="F1378" t="str">
            <v>Dây chảy 6K</v>
          </cell>
          <cell r="G1378" t="str">
            <v>Sợi</v>
          </cell>
          <cell r="H1378">
            <v>0</v>
          </cell>
          <cell r="I1378">
            <v>84000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S1378">
            <v>0</v>
          </cell>
          <cell r="T1378">
            <v>0</v>
          </cell>
        </row>
        <row r="1379">
          <cell r="A1379" t="str">
            <v/>
          </cell>
          <cell r="B1379" t="str">
            <v>CHUPFCO</v>
          </cell>
          <cell r="C1379" t="str">
            <v>X</v>
          </cell>
          <cell r="E1379">
            <v>0</v>
          </cell>
          <cell r="F1379" t="str">
            <v>Chụp đầu FCO (Trên + Dưới)</v>
          </cell>
          <cell r="G1379" t="str">
            <v>bộ</v>
          </cell>
          <cell r="H1379">
            <v>0</v>
          </cell>
          <cell r="I1379">
            <v>190000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S1379">
            <v>0</v>
          </cell>
          <cell r="T1379">
            <v>0</v>
          </cell>
        </row>
        <row r="1380">
          <cell r="A1380" t="str">
            <v/>
          </cell>
          <cell r="B1380" t="str">
            <v>CHUPLA</v>
          </cell>
          <cell r="C1380" t="str">
            <v>X</v>
          </cell>
          <cell r="E1380">
            <v>0</v>
          </cell>
          <cell r="F1380" t="str">
            <v>Chụp đầu LA</v>
          </cell>
          <cell r="G1380" t="str">
            <v>cái</v>
          </cell>
          <cell r="H1380">
            <v>0</v>
          </cell>
          <cell r="I1380">
            <v>32000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S1380">
            <v>0</v>
          </cell>
          <cell r="T1380">
            <v>0</v>
          </cell>
        </row>
        <row r="1381">
          <cell r="A1381" t="str">
            <v/>
          </cell>
          <cell r="B1381" t="str">
            <v>CHUPMBA</v>
          </cell>
          <cell r="C1381" t="str">
            <v>X</v>
          </cell>
          <cell r="E1381">
            <v>0</v>
          </cell>
          <cell r="F1381" t="str">
            <v>Chụp đầu cực MBA</v>
          </cell>
          <cell r="G1381" t="str">
            <v>cái</v>
          </cell>
          <cell r="H1381">
            <v>0</v>
          </cell>
          <cell r="I1381">
            <v>52000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S1381">
            <v>0</v>
          </cell>
          <cell r="T1381">
            <v>0</v>
          </cell>
        </row>
        <row r="1382">
          <cell r="A1382" t="str">
            <v/>
          </cell>
          <cell r="C1382" t="str">
            <v>X</v>
          </cell>
          <cell r="D1382">
            <v>0</v>
          </cell>
          <cell r="F1382" t="str">
            <v>Đà Composite bắt LA, FCO</v>
          </cell>
          <cell r="G1382" t="str">
            <v>Bộ</v>
          </cell>
          <cell r="H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S1382">
            <v>0</v>
          </cell>
          <cell r="T1382">
            <v>0</v>
          </cell>
        </row>
        <row r="1383">
          <cell r="A1383" t="str">
            <v/>
          </cell>
          <cell r="C1383" t="str">
            <v>X</v>
          </cell>
          <cell r="F1383" t="str">
            <v>Gồm có: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S1383">
            <v>0</v>
          </cell>
          <cell r="T1383">
            <v>0</v>
          </cell>
        </row>
        <row r="1384">
          <cell r="A1384" t="str">
            <v/>
          </cell>
          <cell r="B1384" t="str">
            <v>COM2400</v>
          </cell>
          <cell r="C1384" t="str">
            <v>X</v>
          </cell>
          <cell r="E1384">
            <v>0</v>
          </cell>
          <cell r="F1384" t="str">
            <v>Đà hộp composite 110x80x5-2400</v>
          </cell>
          <cell r="G1384" t="str">
            <v>cái</v>
          </cell>
          <cell r="H1384">
            <v>0</v>
          </cell>
          <cell r="I1384">
            <v>1100000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S1384">
            <v>9.6</v>
          </cell>
          <cell r="T1384">
            <v>0</v>
          </cell>
        </row>
        <row r="1385">
          <cell r="A1385" t="str">
            <v/>
          </cell>
          <cell r="B1385" t="str">
            <v>CCOM2400</v>
          </cell>
          <cell r="C1385" t="str">
            <v>X</v>
          </cell>
          <cell r="E1385">
            <v>0</v>
          </cell>
          <cell r="F1385" t="str">
            <v>Thanh chống Composite dẹp 10x40x920</v>
          </cell>
          <cell r="G1385" t="str">
            <v>cái</v>
          </cell>
          <cell r="H1385">
            <v>0</v>
          </cell>
          <cell r="I1385">
            <v>132000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S1385">
            <v>0.7</v>
          </cell>
          <cell r="T1385">
            <v>0</v>
          </cell>
        </row>
        <row r="1386">
          <cell r="A1386" t="str">
            <v/>
          </cell>
          <cell r="B1386" t="str">
            <v>BATLI</v>
          </cell>
          <cell r="C1386" t="str">
            <v>X</v>
          </cell>
          <cell r="E1386">
            <v>0</v>
          </cell>
          <cell r="F1386" t="str">
            <v>Bass LI bắt FCO, LA</v>
          </cell>
          <cell r="G1386" t="str">
            <v>Bộ</v>
          </cell>
          <cell r="H1386">
            <v>0</v>
          </cell>
          <cell r="I1386">
            <v>45000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S1386">
            <v>0.4</v>
          </cell>
          <cell r="T1386">
            <v>0</v>
          </cell>
        </row>
        <row r="1387">
          <cell r="A1387" t="str">
            <v/>
          </cell>
          <cell r="B1387" t="str">
            <v>B16350</v>
          </cell>
          <cell r="C1387" t="str">
            <v>X</v>
          </cell>
          <cell r="E1387">
            <v>0</v>
          </cell>
          <cell r="F1387" t="str">
            <v>Boulon 16x350+ 2 long đền vuông D18-50x50x3/Zn</v>
          </cell>
          <cell r="G1387" t="str">
            <v>bộ</v>
          </cell>
          <cell r="H1387">
            <v>0</v>
          </cell>
          <cell r="I1387">
            <v>32500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S1387">
            <v>0.3</v>
          </cell>
          <cell r="T1387">
            <v>0</v>
          </cell>
        </row>
        <row r="1388">
          <cell r="A1388" t="str">
            <v/>
          </cell>
          <cell r="B1388" t="str">
            <v>B16300</v>
          </cell>
          <cell r="C1388" t="str">
            <v>X</v>
          </cell>
          <cell r="E1388">
            <v>0</v>
          </cell>
          <cell r="F1388" t="str">
            <v>Boulon 16x300+ 2 long đền vuông D18-50x50x3/Zn</v>
          </cell>
          <cell r="G1388" t="str">
            <v>bộ</v>
          </cell>
          <cell r="H1388">
            <v>0</v>
          </cell>
          <cell r="I1388">
            <v>30000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S1388">
            <v>0.25</v>
          </cell>
          <cell r="T1388">
            <v>0</v>
          </cell>
        </row>
        <row r="1389">
          <cell r="A1389" t="str">
            <v/>
          </cell>
          <cell r="B1389" t="str">
            <v>B14120</v>
          </cell>
          <cell r="C1389" t="str">
            <v>X</v>
          </cell>
          <cell r="E1389">
            <v>0</v>
          </cell>
          <cell r="F1389" t="str">
            <v>Boulon 14x120+ 2 long đền vuông D16-50x50x3/Zn</v>
          </cell>
          <cell r="G1389" t="str">
            <v>bộ</v>
          </cell>
          <cell r="H1389">
            <v>0</v>
          </cell>
          <cell r="I1389">
            <v>20000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S1389">
            <v>0.2</v>
          </cell>
          <cell r="T1389">
            <v>0</v>
          </cell>
        </row>
        <row r="1390">
          <cell r="A1390" t="str">
            <v/>
          </cell>
          <cell r="B1390" t="str">
            <v>LCOM2400K</v>
          </cell>
          <cell r="C1390" t="str">
            <v>X</v>
          </cell>
          <cell r="E1390" t="str">
            <v>D2.6011</v>
          </cell>
          <cell r="F1390" t="str">
            <v>Lắp đà composite 2400mm kép</v>
          </cell>
          <cell r="G1390" t="str">
            <v>bộ</v>
          </cell>
          <cell r="H1390">
            <v>0</v>
          </cell>
          <cell r="I1390">
            <v>0</v>
          </cell>
          <cell r="K1390">
            <v>167950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S1390">
            <v>0</v>
          </cell>
          <cell r="T1390">
            <v>0</v>
          </cell>
        </row>
        <row r="1391">
          <cell r="A1391" t="str">
            <v/>
          </cell>
          <cell r="C1391" t="str">
            <v>X</v>
          </cell>
          <cell r="D1391">
            <v>0</v>
          </cell>
          <cell r="F1391" t="str">
            <v>Giá chùm treo 3 MBT</v>
          </cell>
          <cell r="G1391" t="str">
            <v>Bộ</v>
          </cell>
          <cell r="H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S1391">
            <v>0</v>
          </cell>
          <cell r="T1391">
            <v>0</v>
          </cell>
        </row>
        <row r="1392">
          <cell r="A1392" t="str">
            <v/>
          </cell>
          <cell r="C1392" t="str">
            <v>X</v>
          </cell>
          <cell r="F1392" t="str">
            <v>Gồm có: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S1392">
            <v>0</v>
          </cell>
          <cell r="T1392">
            <v>0</v>
          </cell>
        </row>
        <row r="1393">
          <cell r="A1393" t="str">
            <v/>
          </cell>
          <cell r="B1393" t="str">
            <v>GTMBA50</v>
          </cell>
          <cell r="C1393" t="str">
            <v>X</v>
          </cell>
          <cell r="E1393" t="str">
            <v>T4.9302</v>
          </cell>
          <cell r="F1393" t="str">
            <v>Giá chùm treo máy biến áp 3x50</v>
          </cell>
          <cell r="G1393" t="str">
            <v>Bộ</v>
          </cell>
          <cell r="H1393">
            <v>0</v>
          </cell>
          <cell r="I1393">
            <v>2524500</v>
          </cell>
          <cell r="K1393">
            <v>103615.056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S1393">
            <v>38</v>
          </cell>
          <cell r="T1393">
            <v>0</v>
          </cell>
        </row>
        <row r="1394">
          <cell r="A1394" t="str">
            <v/>
          </cell>
          <cell r="B1394" t="str">
            <v>B16350</v>
          </cell>
          <cell r="C1394" t="str">
            <v>X</v>
          </cell>
          <cell r="E1394">
            <v>0</v>
          </cell>
          <cell r="F1394" t="str">
            <v>Boulon 16x350+ 2 long đền vuông D18-50x50x3/Zn</v>
          </cell>
          <cell r="G1394" t="str">
            <v>bộ</v>
          </cell>
          <cell r="H1394">
            <v>0</v>
          </cell>
          <cell r="I1394">
            <v>32500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S1394">
            <v>0.3</v>
          </cell>
          <cell r="T1394">
            <v>0</v>
          </cell>
        </row>
        <row r="1395">
          <cell r="A1395" t="str">
            <v/>
          </cell>
          <cell r="B1395" t="str">
            <v>B1650</v>
          </cell>
          <cell r="C1395" t="str">
            <v>X</v>
          </cell>
          <cell r="E1395">
            <v>0</v>
          </cell>
          <cell r="F1395" t="str">
            <v>Boulon 16x50+ 2 long đền vuông D18-50x50x3/Zn</v>
          </cell>
          <cell r="G1395" t="str">
            <v>bộ</v>
          </cell>
          <cell r="H1395">
            <v>0</v>
          </cell>
          <cell r="I1395">
            <v>17000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S1395">
            <v>0.25</v>
          </cell>
          <cell r="T1395">
            <v>0</v>
          </cell>
        </row>
        <row r="1396">
          <cell r="A1396" t="str">
            <v/>
          </cell>
          <cell r="C1396" t="str">
            <v>X</v>
          </cell>
          <cell r="D1396">
            <v>0</v>
          </cell>
          <cell r="F1396" t="str">
            <v>Bộ tiếp địa Trạm 3 pha</v>
          </cell>
          <cell r="G1396" t="str">
            <v>Bộ</v>
          </cell>
          <cell r="H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S1396">
            <v>0</v>
          </cell>
          <cell r="T1396">
            <v>0</v>
          </cell>
        </row>
        <row r="1397">
          <cell r="A1397" t="str">
            <v/>
          </cell>
          <cell r="C1397" t="str">
            <v>X</v>
          </cell>
          <cell r="F1397" t="str">
            <v>Gồm có: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S1397">
            <v>0</v>
          </cell>
          <cell r="T1397">
            <v>0</v>
          </cell>
        </row>
        <row r="1398">
          <cell r="A1398" t="str">
            <v/>
          </cell>
          <cell r="B1398" t="str">
            <v>M25</v>
          </cell>
          <cell r="C1398" t="str">
            <v>X</v>
          </cell>
          <cell r="E1398">
            <v>0</v>
          </cell>
          <cell r="F1398" t="str">
            <v>Cáp đồng trần M25mm2 (20 mét/trạm)</v>
          </cell>
          <cell r="G1398" t="str">
            <v>kg</v>
          </cell>
          <cell r="H1398">
            <v>0</v>
          </cell>
          <cell r="I1398">
            <v>191630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S1398">
            <v>1</v>
          </cell>
          <cell r="T1398">
            <v>0</v>
          </cell>
        </row>
        <row r="1399">
          <cell r="A1399" t="str">
            <v/>
          </cell>
          <cell r="B1399" t="str">
            <v>CTD</v>
          </cell>
          <cell r="C1399" t="str">
            <v>X</v>
          </cell>
          <cell r="E1399">
            <v>0</v>
          </cell>
          <cell r="F1399" t="str">
            <v>Cọc tiếp đất φ16 - 2,4m mạ Cu 16 micrômét</v>
          </cell>
          <cell r="G1399" t="str">
            <v>cọc</v>
          </cell>
          <cell r="H1399">
            <v>0</v>
          </cell>
          <cell r="I1399">
            <v>130000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S1399">
            <v>5.3</v>
          </cell>
          <cell r="T1399">
            <v>0</v>
          </cell>
        </row>
        <row r="1400">
          <cell r="A1400" t="str">
            <v/>
          </cell>
          <cell r="B1400" t="str">
            <v>KC</v>
          </cell>
          <cell r="C1400" t="str">
            <v>X</v>
          </cell>
          <cell r="E1400">
            <v>0</v>
          </cell>
          <cell r="F1400" t="str">
            <v>Kẹp cọc tiếp địa Cu loại lớn</v>
          </cell>
          <cell r="G1400" t="str">
            <v>bộ</v>
          </cell>
          <cell r="H1400">
            <v>0</v>
          </cell>
          <cell r="I1400">
            <v>25000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S1400">
            <v>0.05</v>
          </cell>
          <cell r="T1400">
            <v>0</v>
          </cell>
        </row>
        <row r="1401">
          <cell r="A1401" t="str">
            <v/>
          </cell>
          <cell r="B1401" t="str">
            <v>OXC38</v>
          </cell>
          <cell r="C1401" t="str">
            <v>X</v>
          </cell>
          <cell r="E1401">
            <v>0</v>
          </cell>
          <cell r="F1401" t="str">
            <v xml:space="preserve">Ốc xiết cáp cỡ 38mm2 </v>
          </cell>
          <cell r="G1401" t="str">
            <v>cái</v>
          </cell>
          <cell r="H1401">
            <v>0</v>
          </cell>
          <cell r="I1401">
            <v>17000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S1401">
            <v>0</v>
          </cell>
          <cell r="T1401">
            <v>0</v>
          </cell>
        </row>
        <row r="1402">
          <cell r="A1402" t="str">
            <v/>
          </cell>
          <cell r="B1402" t="str">
            <v>KTDTBA</v>
          </cell>
          <cell r="C1402" t="str">
            <v>X</v>
          </cell>
          <cell r="E1402" t="str">
            <v>T4.7001</v>
          </cell>
          <cell r="F1402" t="str">
            <v>Kéo dây tiếp địa trong TBA</v>
          </cell>
          <cell r="G1402" t="str">
            <v>mét</v>
          </cell>
          <cell r="H1402">
            <v>0</v>
          </cell>
          <cell r="I1402">
            <v>0</v>
          </cell>
          <cell r="K1402">
            <v>6871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S1402">
            <v>0</v>
          </cell>
          <cell r="T1402">
            <v>0</v>
          </cell>
        </row>
        <row r="1403">
          <cell r="A1403" t="str">
            <v/>
          </cell>
          <cell r="B1403" t="str">
            <v>DCTDTBA</v>
          </cell>
          <cell r="C1403" t="str">
            <v>X</v>
          </cell>
          <cell r="E1403" t="str">
            <v>D2.8103</v>
          </cell>
          <cell r="F1403" t="str">
            <v>Đóng cọc tiếp địa trong TBA (đất cấp 3)</v>
          </cell>
          <cell r="G1403" t="str">
            <v>cọc</v>
          </cell>
          <cell r="H1403">
            <v>0</v>
          </cell>
          <cell r="I1403">
            <v>0</v>
          </cell>
          <cell r="K1403">
            <v>76928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S1403">
            <v>0</v>
          </cell>
          <cell r="T1403">
            <v>0</v>
          </cell>
        </row>
        <row r="1404">
          <cell r="A1404" t="str">
            <v/>
          </cell>
          <cell r="B1404" t="str">
            <v>DTD3</v>
          </cell>
          <cell r="C1404" t="str">
            <v>X</v>
          </cell>
          <cell r="E1404" t="str">
            <v>AB.11513</v>
          </cell>
          <cell r="F1404" t="str">
            <v>Đào rãnh tiếp địa đất cấp 3 (ĐC hệ số 0,934)</v>
          </cell>
          <cell r="G1404" t="str">
            <v>m3</v>
          </cell>
          <cell r="H1404">
            <v>0</v>
          </cell>
          <cell r="I1404">
            <v>0</v>
          </cell>
          <cell r="K1404">
            <v>258651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S1404">
            <v>0</v>
          </cell>
          <cell r="T1404">
            <v>0</v>
          </cell>
        </row>
        <row r="1405">
          <cell r="A1405" t="str">
            <v/>
          </cell>
          <cell r="B1405" t="str">
            <v>DATD3</v>
          </cell>
          <cell r="C1405" t="str">
            <v>X</v>
          </cell>
          <cell r="E1405" t="str">
            <v>AB.13111</v>
          </cell>
          <cell r="F1405" t="str">
            <v>Đắp đất rãnh tiếp địa (K=0,85) (ĐC hệ số 0,934)</v>
          </cell>
          <cell r="G1405" t="str">
            <v>m3</v>
          </cell>
          <cell r="H1405">
            <v>0</v>
          </cell>
          <cell r="I1405">
            <v>0</v>
          </cell>
          <cell r="K1405">
            <v>107292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S1405">
            <v>0</v>
          </cell>
          <cell r="T1405">
            <v>0</v>
          </cell>
        </row>
        <row r="1406">
          <cell r="A1406" t="str">
            <v/>
          </cell>
          <cell r="C1406" t="str">
            <v>X</v>
          </cell>
          <cell r="D1406">
            <v>0</v>
          </cell>
          <cell r="F1406" t="str">
            <v>Tủ điện trạm treo 1 pha</v>
          </cell>
          <cell r="G1406" t="str">
            <v>Bộ</v>
          </cell>
          <cell r="H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S1406">
            <v>0</v>
          </cell>
          <cell r="T1406">
            <v>0</v>
          </cell>
        </row>
        <row r="1407">
          <cell r="A1407" t="str">
            <v/>
          </cell>
          <cell r="C1407" t="str">
            <v>X</v>
          </cell>
          <cell r="F1407" t="str">
            <v>Gồm có: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S1407">
            <v>0</v>
          </cell>
          <cell r="T1407">
            <v>0</v>
          </cell>
        </row>
        <row r="1408">
          <cell r="A1408" t="str">
            <v/>
          </cell>
          <cell r="B1408" t="str">
            <v>TUAP3</v>
          </cell>
          <cell r="C1408" t="str">
            <v>X</v>
          </cell>
          <cell r="E1408" t="str">
            <v>T5.1002</v>
          </cell>
          <cell r="F1408" t="str">
            <v>Tủ trạm treo + khóa + boulon + Bakelit + Collier (3 pha)</v>
          </cell>
          <cell r="G1408" t="str">
            <v>cái</v>
          </cell>
          <cell r="H1408">
            <v>0</v>
          </cell>
          <cell r="I1408">
            <v>3484174</v>
          </cell>
          <cell r="K1408">
            <v>966199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S1408">
            <v>45</v>
          </cell>
          <cell r="T1408">
            <v>0</v>
          </cell>
        </row>
        <row r="1409">
          <cell r="C1409" t="str">
            <v>X</v>
          </cell>
          <cell r="D1409">
            <v>0</v>
          </cell>
          <cell r="F1409" t="str">
            <v>Bộ dây dẫn trung thế trạm 1 pha</v>
          </cell>
          <cell r="G1409" t="str">
            <v>Bộ</v>
          </cell>
          <cell r="H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S1409">
            <v>0</v>
          </cell>
          <cell r="T1409">
            <v>0</v>
          </cell>
        </row>
        <row r="1410">
          <cell r="C1410" t="str">
            <v>X</v>
          </cell>
          <cell r="F1410" t="str">
            <v>Gồm có: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S1410">
            <v>0</v>
          </cell>
          <cell r="T1410">
            <v>0</v>
          </cell>
        </row>
        <row r="1411">
          <cell r="B1411" t="str">
            <v>CXV25</v>
          </cell>
          <cell r="C1411" t="str">
            <v>X</v>
          </cell>
          <cell r="E1411">
            <v>0</v>
          </cell>
          <cell r="F1411" t="str">
            <v>Cáp 24KV C/XLPE/PVC 25mm2</v>
          </cell>
          <cell r="G1411" t="str">
            <v>mét</v>
          </cell>
          <cell r="H1411">
            <v>0</v>
          </cell>
          <cell r="I1411">
            <v>69890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S1411">
            <v>0.75</v>
          </cell>
          <cell r="T1411">
            <v>0</v>
          </cell>
        </row>
        <row r="1412">
          <cell r="B1412" t="str">
            <v>KQ4</v>
          </cell>
          <cell r="C1412" t="str">
            <v>X</v>
          </cell>
          <cell r="F1412" t="str">
            <v>Kẹp quai 4/0 (quai đồng 8mm)</v>
          </cell>
          <cell r="G1412" t="str">
            <v>cái</v>
          </cell>
          <cell r="H1412">
            <v>0</v>
          </cell>
          <cell r="I1412">
            <v>63000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S1412">
            <v>0.3</v>
          </cell>
          <cell r="T1412">
            <v>0</v>
          </cell>
        </row>
        <row r="1413">
          <cell r="B1413" t="str">
            <v>CKQ</v>
          </cell>
          <cell r="C1413" t="str">
            <v>X</v>
          </cell>
          <cell r="F1413" t="str">
            <v>Chụp cách điện kẹp quai</v>
          </cell>
          <cell r="G1413" t="str">
            <v>cái</v>
          </cell>
          <cell r="H1413">
            <v>0</v>
          </cell>
          <cell r="I1413">
            <v>122000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S1413">
            <v>0.2</v>
          </cell>
          <cell r="T1413">
            <v>0</v>
          </cell>
        </row>
        <row r="1414">
          <cell r="B1414" t="str">
            <v>HL2</v>
          </cell>
          <cell r="C1414" t="str">
            <v>X</v>
          </cell>
          <cell r="F1414" t="str">
            <v>Kẹp hotline 2/0</v>
          </cell>
          <cell r="G1414" t="str">
            <v>cái</v>
          </cell>
          <cell r="H1414">
            <v>0</v>
          </cell>
          <cell r="I1414">
            <v>68000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S1414">
            <v>0.1</v>
          </cell>
          <cell r="T1414">
            <v>0</v>
          </cell>
        </row>
        <row r="1415">
          <cell r="B1415" t="str">
            <v>LCAPDONGTB95</v>
          </cell>
          <cell r="C1415" t="str">
            <v>X</v>
          </cell>
          <cell r="E1415" t="str">
            <v>T4.4201</v>
          </cell>
          <cell r="F1415" t="str">
            <v>Lắp cáp đồng xuống thiết bị D ≤ 95mm2</v>
          </cell>
          <cell r="G1415" t="str">
            <v>m</v>
          </cell>
          <cell r="H1415">
            <v>0</v>
          </cell>
          <cell r="I1415">
            <v>0</v>
          </cell>
          <cell r="K1415">
            <v>11847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S1415">
            <v>0</v>
          </cell>
          <cell r="T1415">
            <v>0</v>
          </cell>
        </row>
        <row r="1416">
          <cell r="C1416" t="str">
            <v>X</v>
          </cell>
          <cell r="D1416">
            <v>0</v>
          </cell>
          <cell r="F1416" t="str">
            <v>Bộ dây dẫn hạ thế lộ xuống (thay ống luồn cáp xuất)</v>
          </cell>
          <cell r="G1416" t="str">
            <v>Bộ</v>
          </cell>
          <cell r="H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S1416">
            <v>0</v>
          </cell>
          <cell r="T1416">
            <v>0</v>
          </cell>
        </row>
        <row r="1417">
          <cell r="C1417" t="str">
            <v>X</v>
          </cell>
          <cell r="F1417" t="str">
            <v>Gồm có: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S1417">
            <v>0</v>
          </cell>
          <cell r="T1417">
            <v>0</v>
          </cell>
        </row>
        <row r="1418">
          <cell r="B1418" t="str">
            <v>CV95</v>
          </cell>
          <cell r="C1418" t="str">
            <v>X</v>
          </cell>
          <cell r="E1418">
            <v>0</v>
          </cell>
          <cell r="F1418" t="str">
            <v>Cáp đồng bọc CV95</v>
          </cell>
          <cell r="G1418" t="str">
            <v>mét</v>
          </cell>
          <cell r="H1418">
            <v>0</v>
          </cell>
          <cell r="I1418">
            <v>170620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S1418">
            <v>1.008</v>
          </cell>
          <cell r="T1418">
            <v>0</v>
          </cell>
        </row>
        <row r="1419">
          <cell r="B1419" t="str">
            <v>CV50</v>
          </cell>
          <cell r="C1419" t="str">
            <v>X</v>
          </cell>
          <cell r="E1419">
            <v>0</v>
          </cell>
          <cell r="F1419" t="str">
            <v>Cáp đồng bọc CV50</v>
          </cell>
          <cell r="G1419" t="str">
            <v>mét</v>
          </cell>
          <cell r="H1419">
            <v>0</v>
          </cell>
          <cell r="I1419">
            <v>90810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S1419">
            <v>0.53400000000000003</v>
          </cell>
          <cell r="T1419">
            <v>0</v>
          </cell>
        </row>
        <row r="1420">
          <cell r="B1420" t="str">
            <v>CVV4X4</v>
          </cell>
          <cell r="C1420" t="str">
            <v>X</v>
          </cell>
          <cell r="E1420">
            <v>0</v>
          </cell>
          <cell r="F1420" t="str">
            <v>Cáp điều khiển CVV 4x4,0mm2</v>
          </cell>
          <cell r="G1420" t="str">
            <v>mét</v>
          </cell>
          <cell r="H1420">
            <v>0</v>
          </cell>
          <cell r="I1420">
            <v>56700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S1420">
            <v>3.024</v>
          </cell>
          <cell r="T1420">
            <v>0</v>
          </cell>
        </row>
        <row r="1421">
          <cell r="B1421" t="str">
            <v>COS95</v>
          </cell>
          <cell r="C1421" t="str">
            <v>X</v>
          </cell>
          <cell r="F1421" t="str">
            <v>Đầu cosse ép Cu 95mm2</v>
          </cell>
          <cell r="G1421" t="str">
            <v>cái</v>
          </cell>
          <cell r="H1421">
            <v>0</v>
          </cell>
          <cell r="I1421">
            <v>47500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S1421">
            <v>0.2</v>
          </cell>
          <cell r="T1421">
            <v>0</v>
          </cell>
        </row>
        <row r="1422">
          <cell r="B1422" t="str">
            <v>COS50</v>
          </cell>
          <cell r="C1422" t="str">
            <v>X</v>
          </cell>
          <cell r="F1422" t="str">
            <v>Đầu cosse ép Cu 50mm2</v>
          </cell>
          <cell r="G1422" t="str">
            <v>cái</v>
          </cell>
          <cell r="H1422">
            <v>0</v>
          </cell>
          <cell r="I1422">
            <v>24000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S1422">
            <v>0.1</v>
          </cell>
          <cell r="T1422">
            <v>0</v>
          </cell>
        </row>
        <row r="1423">
          <cell r="B1423" t="str">
            <v>CHCOS95</v>
          </cell>
          <cell r="C1423" t="str">
            <v>X</v>
          </cell>
          <cell r="E1423">
            <v>0</v>
          </cell>
          <cell r="F1423" t="str">
            <v>Chụp đầu cosse  95mm2</v>
          </cell>
          <cell r="G1423" t="str">
            <v>cái</v>
          </cell>
          <cell r="H1423">
            <v>0</v>
          </cell>
          <cell r="I1423">
            <v>3300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S1423">
            <v>0</v>
          </cell>
          <cell r="T1423">
            <v>0</v>
          </cell>
        </row>
        <row r="1424">
          <cell r="B1424" t="str">
            <v>CHCOS50</v>
          </cell>
          <cell r="C1424" t="str">
            <v>X</v>
          </cell>
          <cell r="E1424">
            <v>0</v>
          </cell>
          <cell r="F1424" t="str">
            <v>Chụp đầu cosse  50mm2</v>
          </cell>
          <cell r="G1424" t="str">
            <v>cái</v>
          </cell>
          <cell r="H1424">
            <v>0</v>
          </cell>
          <cell r="I1424">
            <v>1300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S1424">
            <v>0</v>
          </cell>
          <cell r="T1424">
            <v>0</v>
          </cell>
        </row>
        <row r="1425">
          <cell r="B1425" t="str">
            <v>PVC114</v>
          </cell>
          <cell r="C1425" t="str">
            <v>X</v>
          </cell>
          <cell r="E1425">
            <v>0</v>
          </cell>
          <cell r="F1425" t="str">
            <v xml:space="preserve">Ống PVC D114x4,9mm </v>
          </cell>
          <cell r="G1425" t="str">
            <v>m</v>
          </cell>
          <cell r="H1425">
            <v>0</v>
          </cell>
          <cell r="I1425">
            <v>103700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S1425">
            <v>2</v>
          </cell>
          <cell r="T1425">
            <v>0</v>
          </cell>
        </row>
        <row r="1426">
          <cell r="B1426" t="str">
            <v>CD114</v>
          </cell>
          <cell r="C1426" t="str">
            <v>X</v>
          </cell>
          <cell r="E1426">
            <v>0</v>
          </cell>
          <cell r="F1426" t="str">
            <v>Cổ dê kẹp ống PVC φ 114 (có giá nới) (CD-230)</v>
          </cell>
          <cell r="G1426" t="str">
            <v>bộ</v>
          </cell>
          <cell r="H1426">
            <v>0</v>
          </cell>
          <cell r="I1426">
            <v>74000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S1426">
            <v>1.5</v>
          </cell>
          <cell r="T1426">
            <v>0</v>
          </cell>
        </row>
        <row r="1427">
          <cell r="B1427" t="str">
            <v>CD114</v>
          </cell>
          <cell r="C1427" t="str">
            <v>X</v>
          </cell>
          <cell r="E1427">
            <v>0</v>
          </cell>
          <cell r="F1427" t="str">
            <v>Cổ dê kẹp ống PVC φ 114 (có giá nới) (CD-250)</v>
          </cell>
          <cell r="G1427" t="str">
            <v>bộ</v>
          </cell>
          <cell r="H1427">
            <v>0</v>
          </cell>
          <cell r="I1427">
            <v>74000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S1427">
            <v>1.5</v>
          </cell>
          <cell r="T1427">
            <v>0</v>
          </cell>
        </row>
        <row r="1428">
          <cell r="B1428" t="str">
            <v>CD114</v>
          </cell>
          <cell r="C1428" t="str">
            <v>X</v>
          </cell>
          <cell r="E1428">
            <v>0</v>
          </cell>
          <cell r="F1428" t="str">
            <v>Cổ dê kẹp ống PVC φ 114 (có giá nới) (CD-280)</v>
          </cell>
          <cell r="G1428" t="str">
            <v>bộ</v>
          </cell>
          <cell r="H1428">
            <v>0</v>
          </cell>
          <cell r="I1428">
            <v>74000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S1428">
            <v>1.5</v>
          </cell>
          <cell r="T1428">
            <v>0</v>
          </cell>
        </row>
        <row r="1429">
          <cell r="B1429" t="str">
            <v>CUT114TD</v>
          </cell>
          <cell r="C1429" t="str">
            <v>X</v>
          </cell>
          <cell r="E1429">
            <v>0</v>
          </cell>
          <cell r="F1429" t="str">
            <v>Co  90 độ PVC 114 (Loại dày)</v>
          </cell>
          <cell r="G1429" t="str">
            <v>cái</v>
          </cell>
          <cell r="H1429">
            <v>0</v>
          </cell>
          <cell r="I1429">
            <v>104800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S1429">
            <v>0</v>
          </cell>
          <cell r="T1429">
            <v>0</v>
          </cell>
        </row>
        <row r="1430">
          <cell r="B1430" t="str">
            <v>CUT114135</v>
          </cell>
          <cell r="C1430" t="str">
            <v>X</v>
          </cell>
          <cell r="E1430">
            <v>0</v>
          </cell>
          <cell r="F1430" t="str">
            <v>Co 135 độ PVC 114</v>
          </cell>
          <cell r="G1430" t="str">
            <v>cái</v>
          </cell>
          <cell r="H1430">
            <v>0</v>
          </cell>
          <cell r="I1430">
            <v>70800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S1430">
            <v>0</v>
          </cell>
          <cell r="T1430">
            <v>0</v>
          </cell>
        </row>
        <row r="1431">
          <cell r="B1431" t="str">
            <v>KEODAN</v>
          </cell>
          <cell r="C1431" t="str">
            <v>X</v>
          </cell>
          <cell r="E1431">
            <v>0</v>
          </cell>
          <cell r="F1431" t="str">
            <v>Keo dán ống PVC (100gr)</v>
          </cell>
          <cell r="G1431" t="str">
            <v>tuýp</v>
          </cell>
          <cell r="H1431">
            <v>0</v>
          </cell>
          <cell r="I1431">
            <v>11500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S1431">
            <v>0</v>
          </cell>
          <cell r="T1431">
            <v>0</v>
          </cell>
        </row>
        <row r="1432">
          <cell r="B1432" t="str">
            <v>KEOBIT</v>
          </cell>
          <cell r="C1432" t="str">
            <v>X</v>
          </cell>
          <cell r="E1432">
            <v>0</v>
          </cell>
          <cell r="F1432" t="str">
            <v>Keo silicon bít miệng ống</v>
          </cell>
          <cell r="G1432" t="str">
            <v>ống</v>
          </cell>
          <cell r="H1432">
            <v>0</v>
          </cell>
          <cell r="I1432">
            <v>45000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S1432">
            <v>0</v>
          </cell>
          <cell r="T1432">
            <v>0</v>
          </cell>
        </row>
        <row r="1433">
          <cell r="B1433" t="str">
            <v>BANGKEO</v>
          </cell>
          <cell r="C1433" t="str">
            <v>X</v>
          </cell>
          <cell r="E1433">
            <v>0</v>
          </cell>
          <cell r="F1433" t="str">
            <v>Băng keo cách điện (Màu đen)</v>
          </cell>
          <cell r="G1433" t="str">
            <v>cuộn</v>
          </cell>
          <cell r="H1433">
            <v>0</v>
          </cell>
          <cell r="I1433">
            <v>6500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S1433">
            <v>0</v>
          </cell>
          <cell r="T1433">
            <v>0</v>
          </cell>
        </row>
        <row r="1434">
          <cell r="B1434" t="str">
            <v>LPVC114CL</v>
          </cell>
          <cell r="C1434" t="str">
            <v>X</v>
          </cell>
          <cell r="E1434" t="str">
            <v>T4.8003</v>
          </cell>
          <cell r="F1434" t="str">
            <v>Lắp ống nhựa PVC D114</v>
          </cell>
          <cell r="G1434" t="str">
            <v>mét</v>
          </cell>
          <cell r="H1434">
            <v>0</v>
          </cell>
          <cell r="I1434">
            <v>0</v>
          </cell>
          <cell r="K1434">
            <v>35541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S1434">
            <v>0</v>
          </cell>
          <cell r="T1434">
            <v>0</v>
          </cell>
        </row>
        <row r="1435">
          <cell r="B1435" t="str">
            <v>LCAPDONGTB95</v>
          </cell>
          <cell r="C1435" t="str">
            <v>X</v>
          </cell>
          <cell r="E1435" t="str">
            <v>T4.4201</v>
          </cell>
          <cell r="F1435" t="str">
            <v>Lắp cáp đồng xuống thiết bị D ≤ 95mm2</v>
          </cell>
          <cell r="G1435" t="str">
            <v>m</v>
          </cell>
          <cell r="H1435">
            <v>0</v>
          </cell>
          <cell r="I1435">
            <v>0</v>
          </cell>
          <cell r="K1435">
            <v>11847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S1435">
            <v>0</v>
          </cell>
          <cell r="T1435">
            <v>0</v>
          </cell>
        </row>
        <row r="1436">
          <cell r="B1436" t="str">
            <v>LCAPDONGTB150</v>
          </cell>
          <cell r="C1436" t="str">
            <v>X</v>
          </cell>
          <cell r="E1436" t="str">
            <v>T4.4202</v>
          </cell>
          <cell r="F1436" t="str">
            <v>Lắp cáp đồng xuống thiết bị D ≤ 150mm2</v>
          </cell>
          <cell r="G1436" t="str">
            <v>m</v>
          </cell>
          <cell r="I1436">
            <v>0</v>
          </cell>
          <cell r="K1436">
            <v>28433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S1436">
            <v>0</v>
          </cell>
          <cell r="T1436">
            <v>0</v>
          </cell>
        </row>
        <row r="1437">
          <cell r="C1437" t="str">
            <v>X</v>
          </cell>
          <cell r="D1437">
            <v>0</v>
          </cell>
          <cell r="F1437" t="str">
            <v>Bộ dây dẫn hạ thế lộ lên (thay ống luồn cáp xuất)</v>
          </cell>
          <cell r="G1437" t="str">
            <v>Bộ</v>
          </cell>
          <cell r="H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S1437">
            <v>0</v>
          </cell>
          <cell r="T1437">
            <v>0</v>
          </cell>
        </row>
        <row r="1438">
          <cell r="C1438" t="str">
            <v>X</v>
          </cell>
          <cell r="F1438" t="str">
            <v>Gồm có: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S1438">
            <v>0</v>
          </cell>
          <cell r="T1438">
            <v>0</v>
          </cell>
        </row>
        <row r="1439">
          <cell r="B1439" t="str">
            <v>CV70</v>
          </cell>
          <cell r="C1439" t="str">
            <v>X</v>
          </cell>
          <cell r="E1439">
            <v>0</v>
          </cell>
          <cell r="F1439" t="str">
            <v>Cáp đồng bọc CV70</v>
          </cell>
          <cell r="G1439" t="str">
            <v>mét</v>
          </cell>
          <cell r="H1439">
            <v>0</v>
          </cell>
          <cell r="I1439">
            <v>124570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S1439">
            <v>0.73899999999999999</v>
          </cell>
          <cell r="T1439">
            <v>0</v>
          </cell>
        </row>
        <row r="1440">
          <cell r="B1440" t="str">
            <v>CV50</v>
          </cell>
          <cell r="C1440" t="str">
            <v>X</v>
          </cell>
          <cell r="E1440">
            <v>0</v>
          </cell>
          <cell r="F1440" t="str">
            <v>Cáp đồng bọc CV50</v>
          </cell>
          <cell r="G1440" t="str">
            <v>mét</v>
          </cell>
          <cell r="H1440">
            <v>0</v>
          </cell>
          <cell r="I1440">
            <v>90810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S1440">
            <v>0.53400000000000003</v>
          </cell>
          <cell r="T1440">
            <v>0</v>
          </cell>
        </row>
        <row r="1441">
          <cell r="B1441" t="str">
            <v>COS70</v>
          </cell>
          <cell r="C1441" t="str">
            <v>X</v>
          </cell>
          <cell r="F1441" t="str">
            <v>Đầu cosse ép Cu 70mm2</v>
          </cell>
          <cell r="G1441" t="str">
            <v>cái</v>
          </cell>
          <cell r="H1441">
            <v>0</v>
          </cell>
          <cell r="I1441">
            <v>34500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S1441">
            <v>0.2</v>
          </cell>
          <cell r="T1441">
            <v>0</v>
          </cell>
        </row>
        <row r="1442">
          <cell r="B1442" t="str">
            <v>COS50</v>
          </cell>
          <cell r="C1442" t="str">
            <v>X</v>
          </cell>
          <cell r="F1442" t="str">
            <v>Đầu cosse ép Cu 50mm2</v>
          </cell>
          <cell r="G1442" t="str">
            <v>cái</v>
          </cell>
          <cell r="H1442">
            <v>0</v>
          </cell>
          <cell r="I1442">
            <v>24000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S1442">
            <v>0.1</v>
          </cell>
          <cell r="T1442">
            <v>0</v>
          </cell>
        </row>
        <row r="1443">
          <cell r="B1443" t="str">
            <v>CHCOS70</v>
          </cell>
          <cell r="C1443" t="str">
            <v>X</v>
          </cell>
          <cell r="E1443">
            <v>0</v>
          </cell>
          <cell r="F1443" t="str">
            <v>Chụp đầu cosse  70mm2</v>
          </cell>
          <cell r="G1443" t="str">
            <v>cái</v>
          </cell>
          <cell r="H1443">
            <v>0</v>
          </cell>
          <cell r="I1443">
            <v>2300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S1443">
            <v>0</v>
          </cell>
          <cell r="T1443">
            <v>0</v>
          </cell>
        </row>
        <row r="1444">
          <cell r="B1444" t="str">
            <v>CHCOS50</v>
          </cell>
          <cell r="C1444" t="str">
            <v>X</v>
          </cell>
          <cell r="E1444">
            <v>0</v>
          </cell>
          <cell r="F1444" t="str">
            <v>Chụp đầu cosse  50mm2</v>
          </cell>
          <cell r="G1444" t="str">
            <v>cái</v>
          </cell>
          <cell r="H1444">
            <v>0</v>
          </cell>
          <cell r="I1444">
            <v>1300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S1444">
            <v>0</v>
          </cell>
          <cell r="T1444">
            <v>0</v>
          </cell>
        </row>
        <row r="1445">
          <cell r="B1445" t="str">
            <v>PVC90</v>
          </cell>
          <cell r="C1445" t="str">
            <v>X</v>
          </cell>
          <cell r="E1445">
            <v>0</v>
          </cell>
          <cell r="F1445" t="str">
            <v xml:space="preserve">Ống PVC D90x3,8mm </v>
          </cell>
          <cell r="G1445" t="str">
            <v>m</v>
          </cell>
          <cell r="H1445">
            <v>0</v>
          </cell>
          <cell r="I1445">
            <v>63200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S1445">
            <v>2</v>
          </cell>
          <cell r="T1445">
            <v>0</v>
          </cell>
        </row>
        <row r="1446">
          <cell r="B1446" t="str">
            <v>CD90</v>
          </cell>
          <cell r="C1446" t="str">
            <v>X</v>
          </cell>
          <cell r="E1446">
            <v>0</v>
          </cell>
          <cell r="F1446" t="str">
            <v>Cổ dê kẹp ống PVC φ 90 (có giá nới) (CD-230)</v>
          </cell>
          <cell r="G1446" t="str">
            <v>bộ</v>
          </cell>
          <cell r="H1446">
            <v>0</v>
          </cell>
          <cell r="I1446">
            <v>74000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S1446">
            <v>1.5</v>
          </cell>
          <cell r="T1446">
            <v>0</v>
          </cell>
        </row>
        <row r="1447">
          <cell r="B1447" t="str">
            <v>CD90</v>
          </cell>
          <cell r="C1447" t="str">
            <v>X</v>
          </cell>
          <cell r="E1447">
            <v>0</v>
          </cell>
          <cell r="F1447" t="str">
            <v>Cổ dê kẹp ống PVC φ 90 (có giá nới) (CD-280)</v>
          </cell>
          <cell r="G1447" t="str">
            <v>bộ</v>
          </cell>
          <cell r="H1447">
            <v>0</v>
          </cell>
          <cell r="I1447">
            <v>74000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S1447">
            <v>1.5</v>
          </cell>
          <cell r="T1447">
            <v>0</v>
          </cell>
        </row>
        <row r="1448">
          <cell r="B1448" t="str">
            <v>CD90</v>
          </cell>
          <cell r="C1448" t="str">
            <v>X</v>
          </cell>
          <cell r="E1448">
            <v>0</v>
          </cell>
          <cell r="F1448" t="str">
            <v>Cổ dê kẹp ống PVC φ 90 (có giá nới) (CD-320)</v>
          </cell>
          <cell r="G1448" t="str">
            <v>bộ</v>
          </cell>
          <cell r="H1448">
            <v>0</v>
          </cell>
          <cell r="I1448">
            <v>74000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S1448">
            <v>1.5</v>
          </cell>
          <cell r="T1448">
            <v>0</v>
          </cell>
        </row>
        <row r="1449">
          <cell r="B1449" t="str">
            <v>CUT90T</v>
          </cell>
          <cell r="C1449" t="str">
            <v>X</v>
          </cell>
          <cell r="E1449">
            <v>0</v>
          </cell>
          <cell r="F1449" t="str">
            <v>Co  90 độ PVC 90</v>
          </cell>
          <cell r="G1449" t="str">
            <v>cái</v>
          </cell>
          <cell r="H1449">
            <v>0</v>
          </cell>
          <cell r="I1449">
            <v>35200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S1449">
            <v>0</v>
          </cell>
          <cell r="T1449">
            <v>0</v>
          </cell>
        </row>
        <row r="1450">
          <cell r="B1450" t="str">
            <v>CUT90TD</v>
          </cell>
          <cell r="C1450" t="str">
            <v>X</v>
          </cell>
          <cell r="E1450">
            <v>0</v>
          </cell>
          <cell r="F1450" t="str">
            <v>Co  90 độ PVC 90 (Loại dày)</v>
          </cell>
          <cell r="G1450" t="str">
            <v>cái</v>
          </cell>
          <cell r="H1450">
            <v>0</v>
          </cell>
          <cell r="I1450">
            <v>45400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S1450">
            <v>0</v>
          </cell>
          <cell r="T1450">
            <v>0</v>
          </cell>
        </row>
        <row r="1451">
          <cell r="B1451" t="str">
            <v>CUT90135</v>
          </cell>
          <cell r="C1451" t="str">
            <v>X</v>
          </cell>
          <cell r="E1451">
            <v>0</v>
          </cell>
          <cell r="F1451" t="str">
            <v>Co 135 độ PVC 90</v>
          </cell>
          <cell r="G1451" t="str">
            <v>cái</v>
          </cell>
          <cell r="H1451">
            <v>0</v>
          </cell>
          <cell r="I1451">
            <v>33900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S1451">
            <v>0</v>
          </cell>
          <cell r="T1451">
            <v>0</v>
          </cell>
        </row>
        <row r="1452">
          <cell r="B1452" t="str">
            <v>KVRT90</v>
          </cell>
          <cell r="C1452" t="str">
            <v>X</v>
          </cell>
          <cell r="E1452">
            <v>0</v>
          </cell>
          <cell r="F1452" t="str">
            <v>Khâu ven răng trong D90</v>
          </cell>
          <cell r="G1452" t="str">
            <v>cái</v>
          </cell>
          <cell r="H1452">
            <v>0</v>
          </cell>
          <cell r="I1452">
            <v>25800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S1452">
            <v>0</v>
          </cell>
          <cell r="T1452">
            <v>0</v>
          </cell>
        </row>
        <row r="1453">
          <cell r="B1453" t="str">
            <v>KVRN90</v>
          </cell>
          <cell r="C1453" t="str">
            <v>X</v>
          </cell>
          <cell r="E1453">
            <v>0</v>
          </cell>
          <cell r="F1453" t="str">
            <v>Khâu ven răng ngoài D90</v>
          </cell>
          <cell r="G1453" t="str">
            <v>cái</v>
          </cell>
          <cell r="H1453">
            <v>0</v>
          </cell>
          <cell r="I1453">
            <v>21500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S1453">
            <v>0</v>
          </cell>
          <cell r="T1453">
            <v>0</v>
          </cell>
        </row>
        <row r="1454">
          <cell r="B1454" t="str">
            <v>KEODAN</v>
          </cell>
          <cell r="C1454" t="str">
            <v>X</v>
          </cell>
          <cell r="E1454">
            <v>0</v>
          </cell>
          <cell r="F1454" t="str">
            <v>Keo dán ống PVC (100gr)</v>
          </cell>
          <cell r="G1454" t="str">
            <v>tuýp</v>
          </cell>
          <cell r="H1454">
            <v>0</v>
          </cell>
          <cell r="I1454">
            <v>11500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S1454">
            <v>0</v>
          </cell>
          <cell r="T1454">
            <v>0</v>
          </cell>
        </row>
        <row r="1455">
          <cell r="B1455" t="str">
            <v>KEOBIT</v>
          </cell>
          <cell r="C1455" t="str">
            <v>X</v>
          </cell>
          <cell r="E1455">
            <v>0</v>
          </cell>
          <cell r="F1455" t="str">
            <v>Keo silicon bít miệng ống</v>
          </cell>
          <cell r="G1455" t="str">
            <v>ống</v>
          </cell>
          <cell r="H1455">
            <v>0</v>
          </cell>
          <cell r="I1455">
            <v>45000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S1455">
            <v>0</v>
          </cell>
          <cell r="T1455">
            <v>0</v>
          </cell>
        </row>
        <row r="1456">
          <cell r="B1456" t="str">
            <v>BANGKEO</v>
          </cell>
          <cell r="C1456" t="str">
            <v>X</v>
          </cell>
          <cell r="E1456">
            <v>0</v>
          </cell>
          <cell r="F1456" t="str">
            <v>Băng keo cách điện (Màu đen)</v>
          </cell>
          <cell r="G1456" t="str">
            <v>cuộn</v>
          </cell>
          <cell r="H1456">
            <v>0</v>
          </cell>
          <cell r="I1456">
            <v>6500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S1456">
            <v>0</v>
          </cell>
          <cell r="T1456">
            <v>0</v>
          </cell>
        </row>
        <row r="1457">
          <cell r="B1457" t="str">
            <v>LPVC90CL</v>
          </cell>
          <cell r="C1457" t="str">
            <v>X</v>
          </cell>
          <cell r="E1457" t="str">
            <v>T4.8003</v>
          </cell>
          <cell r="F1457" t="str">
            <v>Lắp ống nhựa PVC D90</v>
          </cell>
          <cell r="G1457" t="str">
            <v>mét</v>
          </cell>
          <cell r="H1457">
            <v>0</v>
          </cell>
          <cell r="I1457">
            <v>0</v>
          </cell>
          <cell r="K1457">
            <v>35541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S1457">
            <v>0</v>
          </cell>
          <cell r="T1457">
            <v>0</v>
          </cell>
        </row>
        <row r="1458">
          <cell r="B1458" t="str">
            <v>LCAPDONGTB95</v>
          </cell>
          <cell r="C1458" t="str">
            <v>X</v>
          </cell>
          <cell r="E1458" t="str">
            <v>T4.4201</v>
          </cell>
          <cell r="F1458" t="str">
            <v>Lắp cáp đồng xuống thiết bị D ≤ 95mm2</v>
          </cell>
          <cell r="G1458" t="str">
            <v>m</v>
          </cell>
          <cell r="H1458">
            <v>0</v>
          </cell>
          <cell r="I1458">
            <v>0</v>
          </cell>
          <cell r="K1458">
            <v>11847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S1458">
            <v>0</v>
          </cell>
          <cell r="T1458">
            <v>0</v>
          </cell>
        </row>
        <row r="1459">
          <cell r="C1459">
            <v>1</v>
          </cell>
          <cell r="D1459" t="str">
            <v>VI</v>
          </cell>
          <cell r="E1459" t="str">
            <v xml:space="preserve"> Bổ sung cáp xuất lên 5 TBA (Cẩm Sơn 1; Cẩm Sơn 2; Long Giao 5; Sông NHạn 13; Tự Túc 1)</v>
          </cell>
          <cell r="S1459">
            <v>0</v>
          </cell>
          <cell r="T1459">
            <v>0</v>
          </cell>
        </row>
        <row r="1460">
          <cell r="C1460">
            <v>1</v>
          </cell>
          <cell r="D1460">
            <v>1</v>
          </cell>
          <cell r="F1460" t="str">
            <v>Bộ dây dẫn hạ thế lộ lên</v>
          </cell>
          <cell r="G1460" t="str">
            <v>Bộ</v>
          </cell>
          <cell r="H1460">
            <v>5</v>
          </cell>
          <cell r="M1460">
            <v>24802260</v>
          </cell>
          <cell r="N1460">
            <v>0</v>
          </cell>
          <cell r="O1460">
            <v>533115</v>
          </cell>
          <cell r="P1460">
            <v>0</v>
          </cell>
          <cell r="S1460">
            <v>0</v>
          </cell>
          <cell r="T1460">
            <v>0</v>
          </cell>
        </row>
        <row r="1461">
          <cell r="C1461">
            <v>1</v>
          </cell>
          <cell r="F1461" t="str">
            <v>Cẩm sơn 1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S1461">
            <v>0</v>
          </cell>
          <cell r="T1461">
            <v>0</v>
          </cell>
        </row>
        <row r="1462">
          <cell r="B1462" t="str">
            <v>CV70</v>
          </cell>
          <cell r="C1462">
            <v>1</v>
          </cell>
          <cell r="E1462">
            <v>0</v>
          </cell>
          <cell r="F1462" t="str">
            <v>Cáp đồng bọc CV70</v>
          </cell>
          <cell r="G1462" t="str">
            <v>mét</v>
          </cell>
          <cell r="H1462">
            <v>27</v>
          </cell>
          <cell r="I1462">
            <v>124570</v>
          </cell>
          <cell r="K1462">
            <v>0</v>
          </cell>
          <cell r="L1462">
            <v>0</v>
          </cell>
          <cell r="M1462">
            <v>3363390</v>
          </cell>
          <cell r="N1462">
            <v>0</v>
          </cell>
          <cell r="O1462">
            <v>0</v>
          </cell>
          <cell r="P1462">
            <v>0</v>
          </cell>
          <cell r="S1462">
            <v>0.73899999999999999</v>
          </cell>
          <cell r="T1462">
            <v>19.952999999999999</v>
          </cell>
        </row>
        <row r="1463">
          <cell r="B1463" t="str">
            <v>CV50</v>
          </cell>
          <cell r="C1463">
            <v>1</v>
          </cell>
          <cell r="E1463">
            <v>0</v>
          </cell>
          <cell r="F1463" t="str">
            <v>Cáp đồng bọc CV50</v>
          </cell>
          <cell r="G1463" t="str">
            <v>mét</v>
          </cell>
          <cell r="H1463">
            <v>18</v>
          </cell>
          <cell r="I1463">
            <v>90810</v>
          </cell>
          <cell r="K1463">
            <v>0</v>
          </cell>
          <cell r="L1463">
            <v>0</v>
          </cell>
          <cell r="M1463">
            <v>1634580</v>
          </cell>
          <cell r="N1463">
            <v>0</v>
          </cell>
          <cell r="O1463">
            <v>0</v>
          </cell>
          <cell r="P1463">
            <v>0</v>
          </cell>
          <cell r="S1463">
            <v>0.53400000000000003</v>
          </cell>
          <cell r="T1463">
            <v>9.6120000000000001</v>
          </cell>
        </row>
        <row r="1464">
          <cell r="B1464" t="str">
            <v>COS70</v>
          </cell>
          <cell r="C1464">
            <v>1</v>
          </cell>
          <cell r="F1464" t="str">
            <v>Đầu cosse ép Cu 70mm2</v>
          </cell>
          <cell r="G1464" t="str">
            <v>cái</v>
          </cell>
          <cell r="H1464">
            <v>6</v>
          </cell>
          <cell r="I1464">
            <v>34500</v>
          </cell>
          <cell r="M1464">
            <v>207000</v>
          </cell>
          <cell r="N1464">
            <v>0</v>
          </cell>
          <cell r="O1464">
            <v>0</v>
          </cell>
          <cell r="P1464">
            <v>0</v>
          </cell>
          <cell r="S1464">
            <v>0.2</v>
          </cell>
          <cell r="T1464">
            <v>1.2000000000000002</v>
          </cell>
        </row>
        <row r="1465">
          <cell r="B1465" t="str">
            <v>CHCOS70</v>
          </cell>
          <cell r="C1465">
            <v>1</v>
          </cell>
          <cell r="E1465">
            <v>0</v>
          </cell>
          <cell r="F1465" t="str">
            <v>Chụp đầu cosse  70mm2</v>
          </cell>
          <cell r="G1465" t="str">
            <v>cái</v>
          </cell>
          <cell r="H1465">
            <v>6</v>
          </cell>
          <cell r="I1465">
            <v>2300</v>
          </cell>
          <cell r="K1465">
            <v>0</v>
          </cell>
          <cell r="L1465">
            <v>0</v>
          </cell>
          <cell r="M1465">
            <v>13800</v>
          </cell>
          <cell r="N1465">
            <v>0</v>
          </cell>
          <cell r="O1465">
            <v>0</v>
          </cell>
          <cell r="P1465">
            <v>0</v>
          </cell>
          <cell r="S1465">
            <v>0</v>
          </cell>
          <cell r="T1465">
            <v>0</v>
          </cell>
        </row>
        <row r="1466">
          <cell r="B1466" t="str">
            <v>COS50</v>
          </cell>
          <cell r="C1466">
            <v>1</v>
          </cell>
          <cell r="F1466" t="str">
            <v>Đầu cosse ép Cu 50mm2</v>
          </cell>
          <cell r="G1466" t="str">
            <v>cái</v>
          </cell>
          <cell r="H1466">
            <v>2</v>
          </cell>
          <cell r="I1466">
            <v>24000</v>
          </cell>
          <cell r="M1466">
            <v>48000</v>
          </cell>
          <cell r="N1466">
            <v>0</v>
          </cell>
          <cell r="O1466">
            <v>0</v>
          </cell>
          <cell r="P1466">
            <v>0</v>
          </cell>
          <cell r="S1466">
            <v>0.1</v>
          </cell>
          <cell r="T1466">
            <v>0.2</v>
          </cell>
        </row>
        <row r="1467">
          <cell r="B1467" t="str">
            <v>CHCOS50</v>
          </cell>
          <cell r="C1467">
            <v>1</v>
          </cell>
          <cell r="E1467">
            <v>0</v>
          </cell>
          <cell r="F1467" t="str">
            <v>Chụp đầu cosse  50mm2</v>
          </cell>
          <cell r="G1467" t="str">
            <v>cái</v>
          </cell>
          <cell r="H1467">
            <v>2</v>
          </cell>
          <cell r="I1467">
            <v>1300</v>
          </cell>
          <cell r="K1467">
            <v>0</v>
          </cell>
          <cell r="L1467">
            <v>0</v>
          </cell>
          <cell r="M1467">
            <v>2600</v>
          </cell>
          <cell r="N1467">
            <v>0</v>
          </cell>
          <cell r="O1467">
            <v>0</v>
          </cell>
          <cell r="P1467">
            <v>0</v>
          </cell>
          <cell r="S1467">
            <v>0</v>
          </cell>
          <cell r="T1467">
            <v>0</v>
          </cell>
        </row>
        <row r="1468">
          <cell r="B1468" t="str">
            <v>pvc90</v>
          </cell>
          <cell r="C1468">
            <v>1</v>
          </cell>
          <cell r="F1468" t="str">
            <v xml:space="preserve">Ống PVC D90x3,8mm </v>
          </cell>
          <cell r="G1468" t="str">
            <v>m</v>
          </cell>
          <cell r="H1468">
            <v>6</v>
          </cell>
          <cell r="I1468">
            <v>63200</v>
          </cell>
          <cell r="M1468">
            <v>379200</v>
          </cell>
          <cell r="N1468">
            <v>0</v>
          </cell>
          <cell r="O1468">
            <v>0</v>
          </cell>
          <cell r="P1468">
            <v>0</v>
          </cell>
          <cell r="S1468">
            <v>2</v>
          </cell>
          <cell r="T1468">
            <v>12</v>
          </cell>
        </row>
        <row r="1469">
          <cell r="B1469" t="str">
            <v>CD90</v>
          </cell>
          <cell r="C1469">
            <v>1</v>
          </cell>
          <cell r="F1469" t="str">
            <v>Cổ dê kẹp ống PVC φ 90 (có giá nới) (CD: 250)</v>
          </cell>
          <cell r="G1469" t="str">
            <v>bộ</v>
          </cell>
          <cell r="H1469">
            <v>1</v>
          </cell>
          <cell r="I1469">
            <v>74000</v>
          </cell>
          <cell r="L1469">
            <v>0</v>
          </cell>
          <cell r="M1469">
            <v>74000</v>
          </cell>
          <cell r="N1469">
            <v>0</v>
          </cell>
          <cell r="O1469">
            <v>0</v>
          </cell>
          <cell r="P1469">
            <v>0</v>
          </cell>
          <cell r="S1469">
            <v>1.5</v>
          </cell>
          <cell r="T1469">
            <v>1.5</v>
          </cell>
        </row>
        <row r="1470">
          <cell r="B1470" t="str">
            <v>CD90</v>
          </cell>
          <cell r="C1470">
            <v>1</v>
          </cell>
          <cell r="F1470" t="str">
            <v>Cổ dê kẹp ống PVC φ 90 (có giá nới) (CD: 280)</v>
          </cell>
          <cell r="G1470" t="str">
            <v>bộ</v>
          </cell>
          <cell r="H1470">
            <v>1</v>
          </cell>
          <cell r="I1470">
            <v>74000</v>
          </cell>
          <cell r="L1470">
            <v>0</v>
          </cell>
          <cell r="M1470">
            <v>74000</v>
          </cell>
          <cell r="N1470">
            <v>0</v>
          </cell>
          <cell r="O1470">
            <v>0</v>
          </cell>
          <cell r="P1470">
            <v>0</v>
          </cell>
          <cell r="S1470">
            <v>1.5</v>
          </cell>
          <cell r="T1470">
            <v>1.5</v>
          </cell>
        </row>
        <row r="1471">
          <cell r="B1471" t="str">
            <v>CD90</v>
          </cell>
          <cell r="C1471">
            <v>1</v>
          </cell>
          <cell r="F1471" t="str">
            <v>Cổ dê kẹp ống PVC φ 90 (có giá nới) (CD: 320)</v>
          </cell>
          <cell r="G1471" t="str">
            <v>bộ</v>
          </cell>
          <cell r="H1471">
            <v>1</v>
          </cell>
          <cell r="I1471">
            <v>74000</v>
          </cell>
          <cell r="L1471">
            <v>0</v>
          </cell>
          <cell r="M1471">
            <v>74000</v>
          </cell>
          <cell r="N1471">
            <v>0</v>
          </cell>
          <cell r="O1471">
            <v>0</v>
          </cell>
          <cell r="P1471">
            <v>0</v>
          </cell>
          <cell r="S1471">
            <v>1.5</v>
          </cell>
          <cell r="T1471">
            <v>1.5</v>
          </cell>
        </row>
        <row r="1472">
          <cell r="B1472" t="str">
            <v>CUT90TD</v>
          </cell>
          <cell r="C1472">
            <v>1</v>
          </cell>
          <cell r="E1472">
            <v>0</v>
          </cell>
          <cell r="F1472" t="str">
            <v>Co  90 độ PVC 90 (Loại dày)</v>
          </cell>
          <cell r="G1472" t="str">
            <v>cái</v>
          </cell>
          <cell r="H1472">
            <v>1</v>
          </cell>
          <cell r="I1472">
            <v>45400</v>
          </cell>
          <cell r="K1472">
            <v>0</v>
          </cell>
          <cell r="L1472">
            <v>0</v>
          </cell>
          <cell r="M1472">
            <v>45400</v>
          </cell>
          <cell r="N1472">
            <v>0</v>
          </cell>
          <cell r="O1472">
            <v>0</v>
          </cell>
          <cell r="P1472">
            <v>0</v>
          </cell>
          <cell r="S1472">
            <v>0</v>
          </cell>
          <cell r="T1472">
            <v>0</v>
          </cell>
        </row>
        <row r="1473">
          <cell r="B1473" t="str">
            <v>CUT90T</v>
          </cell>
          <cell r="C1473">
            <v>1</v>
          </cell>
          <cell r="E1473">
            <v>0</v>
          </cell>
          <cell r="F1473" t="str">
            <v>Co  90 độ PVC 90</v>
          </cell>
          <cell r="G1473" t="str">
            <v>cái</v>
          </cell>
          <cell r="H1473">
            <v>2</v>
          </cell>
          <cell r="I1473">
            <v>35200</v>
          </cell>
          <cell r="K1473">
            <v>0</v>
          </cell>
          <cell r="L1473">
            <v>0</v>
          </cell>
          <cell r="M1473">
            <v>70400</v>
          </cell>
          <cell r="N1473">
            <v>0</v>
          </cell>
          <cell r="O1473">
            <v>0</v>
          </cell>
          <cell r="P1473">
            <v>0</v>
          </cell>
          <cell r="S1473">
            <v>0</v>
          </cell>
          <cell r="T1473">
            <v>0</v>
          </cell>
        </row>
        <row r="1474">
          <cell r="B1474" t="str">
            <v>CUT90135</v>
          </cell>
          <cell r="C1474">
            <v>1</v>
          </cell>
          <cell r="E1474">
            <v>0</v>
          </cell>
          <cell r="F1474" t="str">
            <v>Co 135 độ PVC 90</v>
          </cell>
          <cell r="G1474" t="str">
            <v>cái</v>
          </cell>
          <cell r="H1474">
            <v>1</v>
          </cell>
          <cell r="I1474">
            <v>33900</v>
          </cell>
          <cell r="K1474">
            <v>0</v>
          </cell>
          <cell r="L1474">
            <v>0</v>
          </cell>
          <cell r="M1474">
            <v>33900</v>
          </cell>
          <cell r="N1474">
            <v>0</v>
          </cell>
          <cell r="O1474">
            <v>0</v>
          </cell>
          <cell r="P1474">
            <v>0</v>
          </cell>
          <cell r="S1474">
            <v>0</v>
          </cell>
          <cell r="T1474">
            <v>0</v>
          </cell>
        </row>
        <row r="1475">
          <cell r="B1475" t="str">
            <v>KVRT90</v>
          </cell>
          <cell r="C1475">
            <v>1</v>
          </cell>
          <cell r="E1475">
            <v>0</v>
          </cell>
          <cell r="F1475" t="str">
            <v>Khâu ven răng trong D90</v>
          </cell>
          <cell r="G1475" t="str">
            <v>cái</v>
          </cell>
          <cell r="H1475">
            <v>1</v>
          </cell>
          <cell r="I1475">
            <v>25800</v>
          </cell>
          <cell r="K1475">
            <v>0</v>
          </cell>
          <cell r="L1475">
            <v>0</v>
          </cell>
          <cell r="M1475">
            <v>25800</v>
          </cell>
          <cell r="N1475">
            <v>0</v>
          </cell>
          <cell r="O1475">
            <v>0</v>
          </cell>
          <cell r="P1475">
            <v>0</v>
          </cell>
          <cell r="S1475">
            <v>0</v>
          </cell>
          <cell r="T1475">
            <v>0</v>
          </cell>
        </row>
        <row r="1476">
          <cell r="B1476" t="str">
            <v>KVRN90</v>
          </cell>
          <cell r="C1476">
            <v>1</v>
          </cell>
          <cell r="E1476">
            <v>0</v>
          </cell>
          <cell r="F1476" t="str">
            <v>Khâu ven răng ngoài D90</v>
          </cell>
          <cell r="G1476" t="str">
            <v>cái</v>
          </cell>
          <cell r="H1476">
            <v>1</v>
          </cell>
          <cell r="I1476">
            <v>21500</v>
          </cell>
          <cell r="K1476">
            <v>0</v>
          </cell>
          <cell r="L1476">
            <v>0</v>
          </cell>
          <cell r="M1476">
            <v>21500</v>
          </cell>
          <cell r="N1476">
            <v>0</v>
          </cell>
          <cell r="O1476">
            <v>0</v>
          </cell>
          <cell r="P1476">
            <v>0</v>
          </cell>
          <cell r="S1476">
            <v>0</v>
          </cell>
          <cell r="T1476">
            <v>0</v>
          </cell>
        </row>
        <row r="1477">
          <cell r="B1477" t="str">
            <v>KEODAN</v>
          </cell>
          <cell r="C1477">
            <v>1</v>
          </cell>
          <cell r="E1477">
            <v>0</v>
          </cell>
          <cell r="F1477" t="str">
            <v>Keo dán ống PVC (100gr)</v>
          </cell>
          <cell r="G1477" t="str">
            <v>tuýp</v>
          </cell>
          <cell r="H1477">
            <v>1</v>
          </cell>
          <cell r="I1477">
            <v>11500</v>
          </cell>
          <cell r="K1477">
            <v>0</v>
          </cell>
          <cell r="L1477">
            <v>0</v>
          </cell>
          <cell r="M1477">
            <v>11500</v>
          </cell>
          <cell r="N1477">
            <v>0</v>
          </cell>
          <cell r="O1477">
            <v>0</v>
          </cell>
          <cell r="P1477">
            <v>0</v>
          </cell>
          <cell r="S1477">
            <v>0</v>
          </cell>
          <cell r="T1477">
            <v>0</v>
          </cell>
        </row>
        <row r="1478">
          <cell r="B1478" t="str">
            <v>KEOBIT</v>
          </cell>
          <cell r="C1478">
            <v>1</v>
          </cell>
          <cell r="E1478">
            <v>0</v>
          </cell>
          <cell r="F1478" t="str">
            <v>Keo silicon bít miệng ống</v>
          </cell>
          <cell r="G1478" t="str">
            <v>ống</v>
          </cell>
          <cell r="H1478">
            <v>1</v>
          </cell>
          <cell r="I1478">
            <v>45000</v>
          </cell>
          <cell r="K1478">
            <v>0</v>
          </cell>
          <cell r="L1478">
            <v>0</v>
          </cell>
          <cell r="M1478">
            <v>45000</v>
          </cell>
          <cell r="N1478">
            <v>0</v>
          </cell>
          <cell r="O1478">
            <v>0</v>
          </cell>
          <cell r="P1478">
            <v>0</v>
          </cell>
          <cell r="S1478">
            <v>0</v>
          </cell>
          <cell r="T1478">
            <v>0</v>
          </cell>
        </row>
        <row r="1479">
          <cell r="C1479">
            <v>1</v>
          </cell>
          <cell r="F1479" t="str">
            <v>Cẩm sơn 2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S1479">
            <v>0</v>
          </cell>
          <cell r="T1479">
            <v>0</v>
          </cell>
        </row>
        <row r="1480">
          <cell r="B1480" t="str">
            <v>CV70</v>
          </cell>
          <cell r="C1480">
            <v>1</v>
          </cell>
          <cell r="E1480">
            <v>0</v>
          </cell>
          <cell r="F1480" t="str">
            <v>Cáp đồng bọc CV70</v>
          </cell>
          <cell r="G1480" t="str">
            <v>mét</v>
          </cell>
          <cell r="H1480">
            <v>27</v>
          </cell>
          <cell r="I1480">
            <v>124570</v>
          </cell>
          <cell r="K1480">
            <v>0</v>
          </cell>
          <cell r="L1480">
            <v>0</v>
          </cell>
          <cell r="M1480">
            <v>3363390</v>
          </cell>
          <cell r="N1480">
            <v>0</v>
          </cell>
          <cell r="O1480">
            <v>0</v>
          </cell>
          <cell r="P1480">
            <v>0</v>
          </cell>
          <cell r="S1480">
            <v>0.73899999999999999</v>
          </cell>
          <cell r="T1480">
            <v>19.952999999999999</v>
          </cell>
        </row>
        <row r="1481">
          <cell r="B1481" t="str">
            <v>CV50</v>
          </cell>
          <cell r="C1481">
            <v>1</v>
          </cell>
          <cell r="E1481">
            <v>0</v>
          </cell>
          <cell r="F1481" t="str">
            <v>Cáp đồng bọc CV50</v>
          </cell>
          <cell r="G1481" t="str">
            <v>mét</v>
          </cell>
          <cell r="H1481">
            <v>9</v>
          </cell>
          <cell r="I1481">
            <v>90810</v>
          </cell>
          <cell r="K1481">
            <v>0</v>
          </cell>
          <cell r="L1481">
            <v>0</v>
          </cell>
          <cell r="M1481">
            <v>817290</v>
          </cell>
          <cell r="N1481">
            <v>0</v>
          </cell>
          <cell r="O1481">
            <v>0</v>
          </cell>
          <cell r="P1481">
            <v>0</v>
          </cell>
          <cell r="S1481">
            <v>0.53400000000000003</v>
          </cell>
          <cell r="T1481">
            <v>4.806</v>
          </cell>
        </row>
        <row r="1482">
          <cell r="B1482" t="str">
            <v>COS70</v>
          </cell>
          <cell r="C1482">
            <v>1</v>
          </cell>
          <cell r="F1482" t="str">
            <v>Đầu cosse ép Cu 70mm2</v>
          </cell>
          <cell r="G1482" t="str">
            <v>cái</v>
          </cell>
          <cell r="H1482">
            <v>3</v>
          </cell>
          <cell r="I1482">
            <v>34500</v>
          </cell>
          <cell r="M1482">
            <v>103500</v>
          </cell>
          <cell r="N1482">
            <v>0</v>
          </cell>
          <cell r="O1482">
            <v>0</v>
          </cell>
          <cell r="P1482">
            <v>0</v>
          </cell>
          <cell r="S1482">
            <v>0.2</v>
          </cell>
          <cell r="T1482">
            <v>0.60000000000000009</v>
          </cell>
        </row>
        <row r="1483">
          <cell r="B1483" t="str">
            <v>COS50</v>
          </cell>
          <cell r="C1483">
            <v>1</v>
          </cell>
          <cell r="F1483" t="str">
            <v>Đầu cosse ép Cu 50mm2</v>
          </cell>
          <cell r="G1483" t="str">
            <v>cái</v>
          </cell>
          <cell r="H1483">
            <v>1</v>
          </cell>
          <cell r="I1483">
            <v>24000</v>
          </cell>
          <cell r="M1483">
            <v>24000</v>
          </cell>
          <cell r="N1483">
            <v>0</v>
          </cell>
          <cell r="O1483">
            <v>0</v>
          </cell>
          <cell r="P1483">
            <v>0</v>
          </cell>
          <cell r="S1483">
            <v>0.1</v>
          </cell>
          <cell r="T1483">
            <v>0.1</v>
          </cell>
        </row>
        <row r="1484">
          <cell r="B1484" t="str">
            <v>CHCOS70</v>
          </cell>
          <cell r="C1484">
            <v>1</v>
          </cell>
          <cell r="E1484">
            <v>0</v>
          </cell>
          <cell r="F1484" t="str">
            <v>Chụp đầu cosse  70mm2</v>
          </cell>
          <cell r="G1484" t="str">
            <v>cái</v>
          </cell>
          <cell r="H1484">
            <v>3</v>
          </cell>
          <cell r="I1484">
            <v>2300</v>
          </cell>
          <cell r="K1484">
            <v>0</v>
          </cell>
          <cell r="L1484">
            <v>0</v>
          </cell>
          <cell r="M1484">
            <v>6900</v>
          </cell>
          <cell r="N1484">
            <v>0</v>
          </cell>
          <cell r="O1484">
            <v>0</v>
          </cell>
          <cell r="P1484">
            <v>0</v>
          </cell>
          <cell r="S1484">
            <v>0</v>
          </cell>
          <cell r="T1484">
            <v>0</v>
          </cell>
        </row>
        <row r="1485">
          <cell r="B1485" t="str">
            <v>CHCOS50</v>
          </cell>
          <cell r="C1485">
            <v>1</v>
          </cell>
          <cell r="E1485">
            <v>0</v>
          </cell>
          <cell r="F1485" t="str">
            <v>Chụp đầu cosse  50mm2</v>
          </cell>
          <cell r="G1485" t="str">
            <v>cái</v>
          </cell>
          <cell r="H1485">
            <v>1</v>
          </cell>
          <cell r="I1485">
            <v>1300</v>
          </cell>
          <cell r="K1485">
            <v>0</v>
          </cell>
          <cell r="L1485">
            <v>0</v>
          </cell>
          <cell r="M1485">
            <v>1300</v>
          </cell>
          <cell r="N1485">
            <v>0</v>
          </cell>
          <cell r="O1485">
            <v>0</v>
          </cell>
          <cell r="P1485">
            <v>0</v>
          </cell>
          <cell r="S1485">
            <v>0</v>
          </cell>
          <cell r="T1485">
            <v>0</v>
          </cell>
        </row>
        <row r="1486">
          <cell r="B1486" t="str">
            <v>pvc90</v>
          </cell>
          <cell r="C1486">
            <v>1</v>
          </cell>
          <cell r="F1486" t="str">
            <v xml:space="preserve">Ống PVC D90x3,8mm </v>
          </cell>
          <cell r="G1486" t="str">
            <v>m</v>
          </cell>
          <cell r="H1486">
            <v>6</v>
          </cell>
          <cell r="I1486">
            <v>63200</v>
          </cell>
          <cell r="M1486">
            <v>379200</v>
          </cell>
          <cell r="N1486">
            <v>0</v>
          </cell>
          <cell r="O1486">
            <v>0</v>
          </cell>
          <cell r="P1486">
            <v>0</v>
          </cell>
          <cell r="S1486">
            <v>2</v>
          </cell>
          <cell r="T1486">
            <v>12</v>
          </cell>
        </row>
        <row r="1487">
          <cell r="B1487" t="str">
            <v>CD90</v>
          </cell>
          <cell r="C1487">
            <v>1</v>
          </cell>
          <cell r="F1487" t="str">
            <v>Cổ dê kẹp ống PVC φ 90 (có giá nới) (CD: 250)</v>
          </cell>
          <cell r="G1487" t="str">
            <v>bộ</v>
          </cell>
          <cell r="H1487">
            <v>1</v>
          </cell>
          <cell r="I1487">
            <v>74000</v>
          </cell>
          <cell r="L1487">
            <v>0</v>
          </cell>
          <cell r="M1487">
            <v>74000</v>
          </cell>
          <cell r="N1487">
            <v>0</v>
          </cell>
          <cell r="O1487">
            <v>0</v>
          </cell>
          <cell r="P1487">
            <v>0</v>
          </cell>
          <cell r="S1487">
            <v>1.5</v>
          </cell>
          <cell r="T1487">
            <v>1.5</v>
          </cell>
        </row>
        <row r="1488">
          <cell r="B1488" t="str">
            <v>CD90</v>
          </cell>
          <cell r="C1488">
            <v>1</v>
          </cell>
          <cell r="F1488" t="str">
            <v>Cổ dê kẹp ống PVC φ 90 (có giá nới) (CD: 280)</v>
          </cell>
          <cell r="G1488" t="str">
            <v>bộ</v>
          </cell>
          <cell r="H1488">
            <v>1</v>
          </cell>
          <cell r="I1488">
            <v>74000</v>
          </cell>
          <cell r="L1488">
            <v>0</v>
          </cell>
          <cell r="M1488">
            <v>74000</v>
          </cell>
          <cell r="N1488">
            <v>0</v>
          </cell>
          <cell r="O1488">
            <v>0</v>
          </cell>
          <cell r="P1488">
            <v>0</v>
          </cell>
          <cell r="S1488">
            <v>1.5</v>
          </cell>
          <cell r="T1488">
            <v>1.5</v>
          </cell>
        </row>
        <row r="1489">
          <cell r="B1489" t="str">
            <v>CD90</v>
          </cell>
          <cell r="C1489">
            <v>1</v>
          </cell>
          <cell r="F1489" t="str">
            <v>Cổ dê kẹp ống PVC φ 90 (có giá nới) (CD: 320)</v>
          </cell>
          <cell r="G1489" t="str">
            <v>bộ</v>
          </cell>
          <cell r="H1489">
            <v>1</v>
          </cell>
          <cell r="I1489">
            <v>74000</v>
          </cell>
          <cell r="L1489">
            <v>0</v>
          </cell>
          <cell r="M1489">
            <v>74000</v>
          </cell>
          <cell r="N1489">
            <v>0</v>
          </cell>
          <cell r="O1489">
            <v>0</v>
          </cell>
          <cell r="P1489">
            <v>0</v>
          </cell>
          <cell r="S1489">
            <v>1.5</v>
          </cell>
          <cell r="T1489">
            <v>1.5</v>
          </cell>
        </row>
        <row r="1490">
          <cell r="B1490" t="str">
            <v>CUT90TD</v>
          </cell>
          <cell r="C1490">
            <v>1</v>
          </cell>
          <cell r="E1490">
            <v>0</v>
          </cell>
          <cell r="F1490" t="str">
            <v>Co  90 độ PVC 90 (Loại dày)</v>
          </cell>
          <cell r="G1490" t="str">
            <v>cái</v>
          </cell>
          <cell r="H1490">
            <v>1</v>
          </cell>
          <cell r="I1490">
            <v>45400</v>
          </cell>
          <cell r="K1490">
            <v>0</v>
          </cell>
          <cell r="L1490">
            <v>0</v>
          </cell>
          <cell r="M1490">
            <v>45400</v>
          </cell>
          <cell r="N1490">
            <v>0</v>
          </cell>
          <cell r="O1490">
            <v>0</v>
          </cell>
          <cell r="P1490">
            <v>0</v>
          </cell>
          <cell r="S1490">
            <v>0</v>
          </cell>
          <cell r="T1490">
            <v>0</v>
          </cell>
        </row>
        <row r="1491">
          <cell r="B1491" t="str">
            <v>CUT90T</v>
          </cell>
          <cell r="C1491">
            <v>1</v>
          </cell>
          <cell r="E1491">
            <v>0</v>
          </cell>
          <cell r="F1491" t="str">
            <v>Co  90 độ PVC 90</v>
          </cell>
          <cell r="G1491" t="str">
            <v>cái</v>
          </cell>
          <cell r="H1491">
            <v>2</v>
          </cell>
          <cell r="I1491">
            <v>35200</v>
          </cell>
          <cell r="K1491">
            <v>0</v>
          </cell>
          <cell r="L1491">
            <v>0</v>
          </cell>
          <cell r="M1491">
            <v>70400</v>
          </cell>
          <cell r="N1491">
            <v>0</v>
          </cell>
          <cell r="O1491">
            <v>0</v>
          </cell>
          <cell r="P1491">
            <v>0</v>
          </cell>
          <cell r="S1491">
            <v>0</v>
          </cell>
          <cell r="T1491">
            <v>0</v>
          </cell>
        </row>
        <row r="1492">
          <cell r="B1492" t="str">
            <v>CUT90135</v>
          </cell>
          <cell r="C1492">
            <v>1</v>
          </cell>
          <cell r="E1492">
            <v>0</v>
          </cell>
          <cell r="F1492" t="str">
            <v>Co 135 độ PVC 90</v>
          </cell>
          <cell r="G1492" t="str">
            <v>cái</v>
          </cell>
          <cell r="H1492">
            <v>1</v>
          </cell>
          <cell r="I1492">
            <v>33900</v>
          </cell>
          <cell r="K1492">
            <v>0</v>
          </cell>
          <cell r="L1492">
            <v>0</v>
          </cell>
          <cell r="M1492">
            <v>33900</v>
          </cell>
          <cell r="N1492">
            <v>0</v>
          </cell>
          <cell r="O1492">
            <v>0</v>
          </cell>
          <cell r="P1492">
            <v>0</v>
          </cell>
          <cell r="S1492">
            <v>0</v>
          </cell>
          <cell r="T1492">
            <v>0</v>
          </cell>
        </row>
        <row r="1493">
          <cell r="B1493" t="str">
            <v>KVRT90</v>
          </cell>
          <cell r="C1493">
            <v>1</v>
          </cell>
          <cell r="E1493">
            <v>0</v>
          </cell>
          <cell r="F1493" t="str">
            <v>Khâu ven răng trong D90</v>
          </cell>
          <cell r="G1493" t="str">
            <v>cái</v>
          </cell>
          <cell r="H1493">
            <v>1</v>
          </cell>
          <cell r="I1493">
            <v>25800</v>
          </cell>
          <cell r="K1493">
            <v>0</v>
          </cell>
          <cell r="L1493">
            <v>0</v>
          </cell>
          <cell r="M1493">
            <v>25800</v>
          </cell>
          <cell r="N1493">
            <v>0</v>
          </cell>
          <cell r="O1493">
            <v>0</v>
          </cell>
          <cell r="P1493">
            <v>0</v>
          </cell>
          <cell r="S1493">
            <v>0</v>
          </cell>
          <cell r="T1493">
            <v>0</v>
          </cell>
        </row>
        <row r="1494">
          <cell r="B1494" t="str">
            <v>KVRN90</v>
          </cell>
          <cell r="C1494">
            <v>1</v>
          </cell>
          <cell r="E1494">
            <v>0</v>
          </cell>
          <cell r="F1494" t="str">
            <v>Khâu ven răng ngoài D90</v>
          </cell>
          <cell r="G1494" t="str">
            <v>cái</v>
          </cell>
          <cell r="H1494">
            <v>1</v>
          </cell>
          <cell r="I1494">
            <v>21500</v>
          </cell>
          <cell r="K1494">
            <v>0</v>
          </cell>
          <cell r="L1494">
            <v>0</v>
          </cell>
          <cell r="M1494">
            <v>21500</v>
          </cell>
          <cell r="N1494">
            <v>0</v>
          </cell>
          <cell r="O1494">
            <v>0</v>
          </cell>
          <cell r="P1494">
            <v>0</v>
          </cell>
          <cell r="S1494">
            <v>0</v>
          </cell>
          <cell r="T1494">
            <v>0</v>
          </cell>
        </row>
        <row r="1495">
          <cell r="B1495" t="str">
            <v>KEODAN</v>
          </cell>
          <cell r="C1495">
            <v>1</v>
          </cell>
          <cell r="E1495">
            <v>0</v>
          </cell>
          <cell r="F1495" t="str">
            <v>Keo dán ống PVC (100gr)</v>
          </cell>
          <cell r="G1495" t="str">
            <v>tuýp</v>
          </cell>
          <cell r="H1495">
            <v>1</v>
          </cell>
          <cell r="I1495">
            <v>11500</v>
          </cell>
          <cell r="K1495">
            <v>0</v>
          </cell>
          <cell r="L1495">
            <v>0</v>
          </cell>
          <cell r="M1495">
            <v>11500</v>
          </cell>
          <cell r="N1495">
            <v>0</v>
          </cell>
          <cell r="O1495">
            <v>0</v>
          </cell>
          <cell r="P1495">
            <v>0</v>
          </cell>
          <cell r="S1495">
            <v>0</v>
          </cell>
          <cell r="T1495">
            <v>0</v>
          </cell>
        </row>
        <row r="1496">
          <cell r="B1496" t="str">
            <v>KEOBIT</v>
          </cell>
          <cell r="C1496">
            <v>1</v>
          </cell>
          <cell r="E1496">
            <v>0</v>
          </cell>
          <cell r="F1496" t="str">
            <v>Keo silicon bít miệng ống</v>
          </cell>
          <cell r="G1496" t="str">
            <v>ống</v>
          </cell>
          <cell r="H1496">
            <v>1</v>
          </cell>
          <cell r="I1496">
            <v>45000</v>
          </cell>
          <cell r="K1496">
            <v>0</v>
          </cell>
          <cell r="L1496">
            <v>0</v>
          </cell>
          <cell r="M1496">
            <v>45000</v>
          </cell>
          <cell r="N1496">
            <v>0</v>
          </cell>
          <cell r="O1496">
            <v>0</v>
          </cell>
          <cell r="P1496">
            <v>0</v>
          </cell>
          <cell r="S1496">
            <v>0</v>
          </cell>
          <cell r="T1496">
            <v>0</v>
          </cell>
        </row>
        <row r="1497">
          <cell r="F1497" t="str">
            <v>Long Giao 5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S1497">
            <v>0</v>
          </cell>
          <cell r="T1497">
            <v>0</v>
          </cell>
        </row>
        <row r="1498">
          <cell r="C1498">
            <v>0</v>
          </cell>
          <cell r="D1498">
            <v>1</v>
          </cell>
          <cell r="F1498" t="str">
            <v>Xà đơn L75x75x8x2600 (0 ốp) đỡ thùng CB</v>
          </cell>
          <cell r="G1498" t="str">
            <v>Bộ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S1498">
            <v>0</v>
          </cell>
          <cell r="T1498">
            <v>0</v>
          </cell>
        </row>
        <row r="1499">
          <cell r="C1499">
            <v>0</v>
          </cell>
          <cell r="F1499" t="str">
            <v>Gồm có: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S1499">
            <v>0</v>
          </cell>
          <cell r="T1499">
            <v>0</v>
          </cell>
        </row>
        <row r="1500">
          <cell r="B1500" t="str">
            <v>D2600-T</v>
          </cell>
          <cell r="C1500">
            <v>0</v>
          </cell>
          <cell r="E1500">
            <v>0</v>
          </cell>
          <cell r="F1500" t="str">
            <v>Đà sắt L75x75x8-2600 - 0 ốp</v>
          </cell>
          <cell r="G1500" t="str">
            <v>cái</v>
          </cell>
          <cell r="I1500">
            <v>475000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S1500">
            <v>26</v>
          </cell>
          <cell r="T1500">
            <v>0</v>
          </cell>
        </row>
        <row r="1501">
          <cell r="B1501" t="str">
            <v>B16350</v>
          </cell>
          <cell r="C1501">
            <v>0</v>
          </cell>
          <cell r="E1501">
            <v>0</v>
          </cell>
          <cell r="F1501" t="str">
            <v>Boulon 16x350+ 2 long đền vuông D18-50x50x3/Zn</v>
          </cell>
          <cell r="G1501" t="str">
            <v>bộ</v>
          </cell>
          <cell r="I1501">
            <v>32500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S1501">
            <v>0.3</v>
          </cell>
          <cell r="T1501">
            <v>0</v>
          </cell>
        </row>
        <row r="1502">
          <cell r="B1502" t="str">
            <v>B1450</v>
          </cell>
          <cell r="C1502">
            <v>0</v>
          </cell>
          <cell r="E1502">
            <v>0</v>
          </cell>
          <cell r="F1502" t="str">
            <v>Boulon 14x50+ 2 long đền vuông D16-50x50x3/Zn</v>
          </cell>
          <cell r="G1502" t="str">
            <v>bộ</v>
          </cell>
          <cell r="I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S1502">
            <v>0.2</v>
          </cell>
          <cell r="T1502">
            <v>0</v>
          </cell>
        </row>
        <row r="1503">
          <cell r="B1503" t="str">
            <v>LX2600D</v>
          </cell>
          <cell r="C1503">
            <v>0</v>
          </cell>
          <cell r="E1503" t="str">
            <v>D2.6021e</v>
          </cell>
          <cell r="F1503" t="str">
            <v>Lắp đặt xà thép L75x75x8x2600 đơn cột đỡ (29,759 kg/bộ)</v>
          </cell>
          <cell r="G1503" t="str">
            <v>bộ</v>
          </cell>
          <cell r="K1503">
            <v>534080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S1503">
            <v>0</v>
          </cell>
          <cell r="T1503">
            <v>0</v>
          </cell>
        </row>
        <row r="1504">
          <cell r="C1504">
            <v>0</v>
          </cell>
          <cell r="D1504">
            <v>2</v>
          </cell>
          <cell r="F1504" t="str">
            <v>Tủ MCCB 3 pha dày 2mm sơn tĩnh điện</v>
          </cell>
          <cell r="G1504" t="str">
            <v>Bộ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S1504">
            <v>0</v>
          </cell>
          <cell r="T1504">
            <v>0</v>
          </cell>
        </row>
        <row r="1505">
          <cell r="C1505">
            <v>0</v>
          </cell>
          <cell r="F1505" t="str">
            <v>Gồm có: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S1505">
            <v>0</v>
          </cell>
          <cell r="T1505">
            <v>0</v>
          </cell>
        </row>
        <row r="1506">
          <cell r="B1506" t="str">
            <v>TUAP3L</v>
          </cell>
          <cell r="C1506">
            <v>0</v>
          </cell>
          <cell r="E1506" t="str">
            <v>T5.1002</v>
          </cell>
          <cell r="F1506" t="str">
            <v>Vỏ tủ trạm giàn 2 ngăn + khóa tủ + Bakelit (3 pha)</v>
          </cell>
          <cell r="G1506" t="str">
            <v>cái</v>
          </cell>
          <cell r="I1506">
            <v>0</v>
          </cell>
          <cell r="K1506">
            <v>743230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S1506">
            <v>45</v>
          </cell>
          <cell r="T1506">
            <v>0</v>
          </cell>
        </row>
        <row r="1507">
          <cell r="C1507">
            <v>0</v>
          </cell>
          <cell r="D1507">
            <v>3</v>
          </cell>
          <cell r="F1507" t="str">
            <v>Cáp xuất xuống hạ thế (Trạm 250kVA)</v>
          </cell>
          <cell r="G1507" t="str">
            <v>Bộ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S1507">
            <v>0</v>
          </cell>
          <cell r="T1507">
            <v>0</v>
          </cell>
        </row>
        <row r="1508">
          <cell r="C1508">
            <v>0</v>
          </cell>
          <cell r="F1508" t="str">
            <v>Gồm có: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S1508">
            <v>0</v>
          </cell>
          <cell r="T1508">
            <v>0</v>
          </cell>
        </row>
        <row r="1509">
          <cell r="B1509" t="str">
            <v>CV185</v>
          </cell>
          <cell r="C1509">
            <v>0</v>
          </cell>
          <cell r="E1509">
            <v>0</v>
          </cell>
          <cell r="F1509" t="str">
            <v>Cáp đồng bọc CV185</v>
          </cell>
          <cell r="G1509" t="str">
            <v>mét</v>
          </cell>
          <cell r="I1509">
            <v>329880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S1509">
            <v>1.9079999999999999</v>
          </cell>
          <cell r="T1509">
            <v>0</v>
          </cell>
        </row>
        <row r="1510">
          <cell r="B1510" t="str">
            <v>CV120</v>
          </cell>
          <cell r="C1510">
            <v>0</v>
          </cell>
          <cell r="E1510">
            <v>0</v>
          </cell>
          <cell r="F1510" t="str">
            <v>Cáp đồng bọc CV120</v>
          </cell>
          <cell r="G1510" t="str">
            <v>mét</v>
          </cell>
          <cell r="I1510">
            <v>213430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S1510">
            <v>1.2350000000000001</v>
          </cell>
          <cell r="T1510">
            <v>0</v>
          </cell>
        </row>
        <row r="1511">
          <cell r="B1511" t="str">
            <v>CVV4X4</v>
          </cell>
          <cell r="C1511">
            <v>0</v>
          </cell>
          <cell r="E1511">
            <v>0</v>
          </cell>
          <cell r="F1511" t="str">
            <v>Cáp điều khiển CVV 4x4,0mm2</v>
          </cell>
          <cell r="G1511" t="str">
            <v>mét</v>
          </cell>
          <cell r="I1511">
            <v>56700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S1511">
            <v>3.024</v>
          </cell>
          <cell r="T1511">
            <v>0</v>
          </cell>
        </row>
        <row r="1512">
          <cell r="B1512" t="str">
            <v>COS185</v>
          </cell>
          <cell r="C1512">
            <v>0</v>
          </cell>
          <cell r="E1512">
            <v>0</v>
          </cell>
          <cell r="F1512" t="str">
            <v>Đầu cosse ép Cu 185mm2</v>
          </cell>
          <cell r="G1512" t="str">
            <v>cái</v>
          </cell>
          <cell r="I1512">
            <v>110500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S1512">
            <v>0</v>
          </cell>
          <cell r="T1512">
            <v>0</v>
          </cell>
        </row>
        <row r="1513">
          <cell r="B1513" t="str">
            <v>COS120</v>
          </cell>
          <cell r="C1513">
            <v>0</v>
          </cell>
          <cell r="E1513">
            <v>0</v>
          </cell>
          <cell r="F1513" t="str">
            <v>Đầu cosse ép Cu 120mm2</v>
          </cell>
          <cell r="G1513" t="str">
            <v>cái</v>
          </cell>
          <cell r="I1513">
            <v>68500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S1513">
            <v>0.1</v>
          </cell>
          <cell r="T1513">
            <v>0</v>
          </cell>
        </row>
        <row r="1514">
          <cell r="B1514" t="str">
            <v>CHCOS185</v>
          </cell>
          <cell r="C1514">
            <v>0</v>
          </cell>
          <cell r="E1514">
            <v>0</v>
          </cell>
          <cell r="F1514" t="str">
            <v>Chụp đầu cosse  185mm2</v>
          </cell>
          <cell r="G1514" t="str">
            <v>cái</v>
          </cell>
          <cell r="I1514">
            <v>5200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S1514">
            <v>0</v>
          </cell>
          <cell r="T1514">
            <v>0</v>
          </cell>
        </row>
        <row r="1515">
          <cell r="B1515" t="str">
            <v>CHCOS120</v>
          </cell>
          <cell r="C1515">
            <v>0</v>
          </cell>
          <cell r="E1515">
            <v>0</v>
          </cell>
          <cell r="F1515" t="str">
            <v>Chụp đầu cosse  120mm2</v>
          </cell>
          <cell r="G1515" t="str">
            <v>cái</v>
          </cell>
          <cell r="I1515">
            <v>3900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S1515">
            <v>0</v>
          </cell>
          <cell r="T1515">
            <v>0</v>
          </cell>
        </row>
        <row r="1516">
          <cell r="B1516" t="str">
            <v>PVC114</v>
          </cell>
          <cell r="C1516">
            <v>0</v>
          </cell>
          <cell r="E1516">
            <v>0</v>
          </cell>
          <cell r="F1516" t="str">
            <v xml:space="preserve">Ống PVC D114x4,9mm </v>
          </cell>
          <cell r="G1516" t="str">
            <v>m</v>
          </cell>
          <cell r="I1516">
            <v>103700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S1516">
            <v>2</v>
          </cell>
          <cell r="T1516">
            <v>0</v>
          </cell>
        </row>
        <row r="1517">
          <cell r="B1517" t="str">
            <v>CD114</v>
          </cell>
          <cell r="C1517">
            <v>0</v>
          </cell>
          <cell r="F1517" t="str">
            <v>Cổ dê kẹp ống PVC φ 114 (có giá nới) (CD: 250)</v>
          </cell>
          <cell r="G1517" t="str">
            <v>bộ</v>
          </cell>
          <cell r="I1517">
            <v>74000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S1517">
            <v>1.5</v>
          </cell>
          <cell r="T1517">
            <v>0</v>
          </cell>
        </row>
        <row r="1518">
          <cell r="B1518" t="str">
            <v>CD114</v>
          </cell>
          <cell r="C1518">
            <v>0</v>
          </cell>
          <cell r="F1518" t="str">
            <v>Cổ dê kẹp ống PVC φ 114 (có giá nới) (CD: 280)</v>
          </cell>
          <cell r="G1518" t="str">
            <v>bộ</v>
          </cell>
          <cell r="I1518">
            <v>74000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S1518">
            <v>1.5</v>
          </cell>
          <cell r="T1518">
            <v>0</v>
          </cell>
        </row>
        <row r="1519">
          <cell r="B1519" t="str">
            <v>CD114</v>
          </cell>
          <cell r="C1519">
            <v>0</v>
          </cell>
          <cell r="F1519" t="str">
            <v>Cổ dê kẹp ống PVC φ 114 (có giá nới) (CD: 320)</v>
          </cell>
          <cell r="G1519" t="str">
            <v>bộ</v>
          </cell>
          <cell r="I1519">
            <v>74000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S1519">
            <v>1.5</v>
          </cell>
          <cell r="T1519">
            <v>0</v>
          </cell>
        </row>
        <row r="1520">
          <cell r="B1520" t="str">
            <v>CUT114Td</v>
          </cell>
          <cell r="C1520">
            <v>0</v>
          </cell>
          <cell r="E1520">
            <v>0</v>
          </cell>
          <cell r="F1520" t="str">
            <v>Co  90 độ PVC 114 (Loại dày)</v>
          </cell>
          <cell r="G1520" t="str">
            <v>cái</v>
          </cell>
          <cell r="I1520">
            <v>104800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S1520">
            <v>0</v>
          </cell>
          <cell r="T1520">
            <v>0</v>
          </cell>
        </row>
        <row r="1521">
          <cell r="B1521" t="str">
            <v>CUT114135</v>
          </cell>
          <cell r="C1521">
            <v>0</v>
          </cell>
          <cell r="E1521">
            <v>0</v>
          </cell>
          <cell r="F1521" t="str">
            <v>Co 135 độ PVC 114</v>
          </cell>
          <cell r="G1521" t="str">
            <v>cái</v>
          </cell>
          <cell r="I1521">
            <v>70800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S1521">
            <v>0</v>
          </cell>
          <cell r="T1521">
            <v>0</v>
          </cell>
        </row>
        <row r="1522">
          <cell r="B1522" t="str">
            <v>CUT114</v>
          </cell>
          <cell r="C1522">
            <v>0</v>
          </cell>
          <cell r="E1522">
            <v>0</v>
          </cell>
          <cell r="F1522" t="str">
            <v>Co sừng 90 độ PVC 114</v>
          </cell>
          <cell r="G1522" t="str">
            <v>cái</v>
          </cell>
          <cell r="I1522">
            <v>195000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S1522">
            <v>0</v>
          </cell>
          <cell r="T1522">
            <v>0</v>
          </cell>
        </row>
        <row r="1523">
          <cell r="B1523" t="str">
            <v>KVRT114</v>
          </cell>
          <cell r="C1523">
            <v>0</v>
          </cell>
          <cell r="E1523">
            <v>0</v>
          </cell>
          <cell r="F1523" t="str">
            <v>Khâu ven răng trong D114</v>
          </cell>
          <cell r="G1523" t="str">
            <v>cái</v>
          </cell>
          <cell r="I1523">
            <v>35700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S1523">
            <v>0</v>
          </cell>
          <cell r="T1523">
            <v>0</v>
          </cell>
        </row>
        <row r="1524">
          <cell r="B1524" t="str">
            <v>KVRN114</v>
          </cell>
          <cell r="C1524">
            <v>0</v>
          </cell>
          <cell r="E1524">
            <v>0</v>
          </cell>
          <cell r="F1524" t="str">
            <v>Khâu ven răng ngoài D114</v>
          </cell>
          <cell r="G1524" t="str">
            <v>cái</v>
          </cell>
          <cell r="I1524">
            <v>25600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S1524">
            <v>0</v>
          </cell>
          <cell r="T1524">
            <v>0</v>
          </cell>
        </row>
        <row r="1525">
          <cell r="B1525" t="str">
            <v>KEODAN</v>
          </cell>
          <cell r="C1525">
            <v>0</v>
          </cell>
          <cell r="E1525">
            <v>0</v>
          </cell>
          <cell r="F1525" t="str">
            <v>Keo dán ống PVC (100gr)</v>
          </cell>
          <cell r="G1525" t="str">
            <v>tuýp</v>
          </cell>
          <cell r="I1525">
            <v>11500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S1525">
            <v>0</v>
          </cell>
          <cell r="T1525">
            <v>0</v>
          </cell>
        </row>
        <row r="1526">
          <cell r="B1526" t="str">
            <v>KEOBIT</v>
          </cell>
          <cell r="C1526">
            <v>0</v>
          </cell>
          <cell r="E1526">
            <v>0</v>
          </cell>
          <cell r="F1526" t="str">
            <v>Keo silicon bít miệng ống</v>
          </cell>
          <cell r="G1526" t="str">
            <v>ống</v>
          </cell>
          <cell r="I1526">
            <v>45000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S1526">
            <v>0</v>
          </cell>
          <cell r="T1526">
            <v>0</v>
          </cell>
        </row>
        <row r="1527">
          <cell r="B1527" t="str">
            <v>LPVC114CL</v>
          </cell>
          <cell r="C1527">
            <v>0</v>
          </cell>
          <cell r="E1527" t="str">
            <v>T4.8003</v>
          </cell>
          <cell r="F1527" t="str">
            <v>Lắp ống nhựa PVC D114</v>
          </cell>
          <cell r="G1527" t="str">
            <v>mét</v>
          </cell>
          <cell r="H1527">
            <v>0</v>
          </cell>
          <cell r="I1527">
            <v>0</v>
          </cell>
          <cell r="K1527">
            <v>35541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S1527">
            <v>0</v>
          </cell>
          <cell r="T1527">
            <v>0</v>
          </cell>
        </row>
        <row r="1528">
          <cell r="B1528" t="str">
            <v>LCAPDONGTB240</v>
          </cell>
          <cell r="C1528">
            <v>0</v>
          </cell>
          <cell r="E1528" t="str">
            <v>T4.4203</v>
          </cell>
          <cell r="F1528" t="str">
            <v>Lắp cáp đồng xuống thiết bị D &gt; 150mm2</v>
          </cell>
          <cell r="G1528" t="str">
            <v>m</v>
          </cell>
          <cell r="H1528">
            <v>0</v>
          </cell>
          <cell r="I1528">
            <v>0</v>
          </cell>
          <cell r="K1528">
            <v>40280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S1528">
            <v>0</v>
          </cell>
          <cell r="T1528">
            <v>0</v>
          </cell>
        </row>
        <row r="1529">
          <cell r="B1529" t="str">
            <v>LCAPDONGTB150</v>
          </cell>
          <cell r="C1529">
            <v>0</v>
          </cell>
          <cell r="E1529" t="str">
            <v>T4.4202</v>
          </cell>
          <cell r="F1529" t="str">
            <v>Lắp cáp đồng xuống thiết bị D ≤ 150mm2</v>
          </cell>
          <cell r="G1529" t="str">
            <v>m</v>
          </cell>
          <cell r="H1529">
            <v>0</v>
          </cell>
          <cell r="I1529">
            <v>0</v>
          </cell>
          <cell r="K1529">
            <v>28433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S1529">
            <v>0</v>
          </cell>
          <cell r="T1529">
            <v>0</v>
          </cell>
        </row>
        <row r="1530">
          <cell r="C1530">
            <v>0</v>
          </cell>
          <cell r="D1530">
            <v>4</v>
          </cell>
          <cell r="F1530" t="str">
            <v>Cáp xuất lên hạ thế (Trạm 250kVA)</v>
          </cell>
          <cell r="G1530" t="str">
            <v>Bộ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S1530">
            <v>0</v>
          </cell>
          <cell r="T1530">
            <v>0</v>
          </cell>
        </row>
        <row r="1531">
          <cell r="C1531">
            <v>0</v>
          </cell>
          <cell r="F1531" t="str">
            <v>Gồm có: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S1531">
            <v>0</v>
          </cell>
          <cell r="T1531">
            <v>0</v>
          </cell>
        </row>
        <row r="1532">
          <cell r="B1532" t="str">
            <v>CV95</v>
          </cell>
          <cell r="C1532">
            <v>0</v>
          </cell>
          <cell r="E1532">
            <v>0</v>
          </cell>
          <cell r="F1532" t="str">
            <v>Cáp đồng bọc CV95</v>
          </cell>
          <cell r="G1532" t="str">
            <v>mét</v>
          </cell>
          <cell r="I1532">
            <v>170620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S1532">
            <v>1.008</v>
          </cell>
          <cell r="T1532">
            <v>0</v>
          </cell>
        </row>
        <row r="1533">
          <cell r="B1533" t="str">
            <v>CV70</v>
          </cell>
          <cell r="C1533">
            <v>0</v>
          </cell>
          <cell r="E1533">
            <v>0</v>
          </cell>
          <cell r="F1533" t="str">
            <v>Cáp đồng bọc CV70</v>
          </cell>
          <cell r="G1533" t="str">
            <v>mét</v>
          </cell>
          <cell r="I1533">
            <v>124570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S1533">
            <v>0.73899999999999999</v>
          </cell>
          <cell r="T1533">
            <v>0</v>
          </cell>
        </row>
        <row r="1534">
          <cell r="B1534" t="str">
            <v>COS95</v>
          </cell>
          <cell r="C1534">
            <v>0</v>
          </cell>
          <cell r="E1534">
            <v>0</v>
          </cell>
          <cell r="F1534" t="str">
            <v>Đầu cosse ép Cu 95mm2</v>
          </cell>
          <cell r="G1534" t="str">
            <v>cái</v>
          </cell>
          <cell r="I1534">
            <v>47500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S1534">
            <v>0.2</v>
          </cell>
          <cell r="T1534">
            <v>0</v>
          </cell>
        </row>
        <row r="1535">
          <cell r="B1535" t="str">
            <v>COS70</v>
          </cell>
          <cell r="C1535">
            <v>0</v>
          </cell>
          <cell r="E1535">
            <v>0</v>
          </cell>
          <cell r="F1535" t="str">
            <v>Đầu cosse ép Cu 70mm2</v>
          </cell>
          <cell r="G1535" t="str">
            <v>cái</v>
          </cell>
          <cell r="I1535">
            <v>34500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S1535">
            <v>0.2</v>
          </cell>
          <cell r="T1535">
            <v>0</v>
          </cell>
        </row>
        <row r="1536">
          <cell r="B1536" t="str">
            <v>CHCOS95</v>
          </cell>
          <cell r="C1536">
            <v>0</v>
          </cell>
          <cell r="E1536">
            <v>0</v>
          </cell>
          <cell r="F1536" t="str">
            <v>Chụp đầu cosse  95mm2</v>
          </cell>
          <cell r="G1536" t="str">
            <v>cái</v>
          </cell>
          <cell r="I1536">
            <v>3300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S1536">
            <v>0</v>
          </cell>
          <cell r="T1536">
            <v>0</v>
          </cell>
        </row>
        <row r="1537">
          <cell r="B1537" t="str">
            <v>CHCOS70</v>
          </cell>
          <cell r="C1537">
            <v>0</v>
          </cell>
          <cell r="E1537">
            <v>0</v>
          </cell>
          <cell r="F1537" t="str">
            <v>Chụp đầu cosse  70mm2</v>
          </cell>
          <cell r="G1537" t="str">
            <v>cái</v>
          </cell>
          <cell r="I1537">
            <v>2300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S1537">
            <v>0</v>
          </cell>
          <cell r="T1537">
            <v>0</v>
          </cell>
        </row>
        <row r="1538">
          <cell r="B1538" t="str">
            <v>PVC90</v>
          </cell>
          <cell r="C1538">
            <v>0</v>
          </cell>
          <cell r="E1538">
            <v>0</v>
          </cell>
          <cell r="F1538" t="str">
            <v xml:space="preserve">Ống PVC D90x3,8mm </v>
          </cell>
          <cell r="G1538" t="str">
            <v>m</v>
          </cell>
          <cell r="I1538">
            <v>63200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S1538">
            <v>2</v>
          </cell>
          <cell r="T1538">
            <v>0</v>
          </cell>
        </row>
        <row r="1539">
          <cell r="B1539" t="str">
            <v>CD90</v>
          </cell>
          <cell r="C1539">
            <v>0</v>
          </cell>
          <cell r="F1539" t="str">
            <v>Cổ dê kẹp ống PVC φ 90 (có giá nới) (CD: 250)</v>
          </cell>
          <cell r="G1539" t="str">
            <v>bộ</v>
          </cell>
          <cell r="I1539">
            <v>74000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S1539">
            <v>1.5</v>
          </cell>
          <cell r="T1539">
            <v>0</v>
          </cell>
        </row>
        <row r="1540">
          <cell r="B1540" t="str">
            <v>CD90</v>
          </cell>
          <cell r="C1540">
            <v>0</v>
          </cell>
          <cell r="F1540" t="str">
            <v>Cổ dê kẹp ống PVC φ 90 (có giá nới) (CD: 280)</v>
          </cell>
          <cell r="G1540" t="str">
            <v>bộ</v>
          </cell>
          <cell r="I1540">
            <v>74000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S1540">
            <v>1.5</v>
          </cell>
          <cell r="T1540">
            <v>0</v>
          </cell>
        </row>
        <row r="1541">
          <cell r="B1541" t="str">
            <v>CD90</v>
          </cell>
          <cell r="C1541">
            <v>0</v>
          </cell>
          <cell r="F1541" t="str">
            <v>Cổ dê kẹp ống PVC φ 90 (có giá nới) (CD: 320)</v>
          </cell>
          <cell r="G1541" t="str">
            <v>bộ</v>
          </cell>
          <cell r="I1541">
            <v>74000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S1541">
            <v>1.5</v>
          </cell>
          <cell r="T1541">
            <v>0</v>
          </cell>
        </row>
        <row r="1542">
          <cell r="B1542" t="str">
            <v>CUT90Td</v>
          </cell>
          <cell r="C1542">
            <v>0</v>
          </cell>
          <cell r="E1542">
            <v>0</v>
          </cell>
          <cell r="F1542" t="str">
            <v>Co  90 độ PVC 90 (Loại dày)</v>
          </cell>
          <cell r="G1542" t="str">
            <v>cái</v>
          </cell>
          <cell r="I1542">
            <v>45400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S1542">
            <v>0</v>
          </cell>
          <cell r="T1542">
            <v>0</v>
          </cell>
        </row>
        <row r="1543">
          <cell r="B1543" t="str">
            <v>CUT90135</v>
          </cell>
          <cell r="C1543">
            <v>0</v>
          </cell>
          <cell r="E1543">
            <v>0</v>
          </cell>
          <cell r="F1543" t="str">
            <v>Co 135 độ PVC 90</v>
          </cell>
          <cell r="G1543" t="str">
            <v>cái</v>
          </cell>
          <cell r="I1543">
            <v>33900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S1543">
            <v>0</v>
          </cell>
          <cell r="T1543">
            <v>0</v>
          </cell>
        </row>
        <row r="1544">
          <cell r="B1544" t="str">
            <v>KVRT90</v>
          </cell>
          <cell r="C1544">
            <v>0</v>
          </cell>
          <cell r="E1544">
            <v>0</v>
          </cell>
          <cell r="F1544" t="str">
            <v>Khâu ven răng trong D90</v>
          </cell>
          <cell r="G1544" t="str">
            <v>cái</v>
          </cell>
          <cell r="I1544">
            <v>25800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S1544">
            <v>0</v>
          </cell>
          <cell r="T1544">
            <v>0</v>
          </cell>
        </row>
        <row r="1545">
          <cell r="B1545" t="str">
            <v>KVRN90</v>
          </cell>
          <cell r="C1545">
            <v>0</v>
          </cell>
          <cell r="E1545">
            <v>0</v>
          </cell>
          <cell r="F1545" t="str">
            <v>Khâu ven răng ngoài D90</v>
          </cell>
          <cell r="G1545" t="str">
            <v>cái</v>
          </cell>
          <cell r="I1545">
            <v>21500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S1545">
            <v>0</v>
          </cell>
          <cell r="T1545">
            <v>0</v>
          </cell>
        </row>
        <row r="1546">
          <cell r="B1546" t="str">
            <v>KEODAN</v>
          </cell>
          <cell r="C1546">
            <v>0</v>
          </cell>
          <cell r="E1546">
            <v>0</v>
          </cell>
          <cell r="F1546" t="str">
            <v>Keo dán ống PVC (100gr)</v>
          </cell>
          <cell r="G1546" t="str">
            <v>tuýp</v>
          </cell>
          <cell r="I1546">
            <v>11500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S1546">
            <v>0</v>
          </cell>
          <cell r="T1546">
            <v>0</v>
          </cell>
        </row>
        <row r="1547">
          <cell r="B1547" t="str">
            <v>KEOBIT</v>
          </cell>
          <cell r="C1547">
            <v>0</v>
          </cell>
          <cell r="E1547">
            <v>0</v>
          </cell>
          <cell r="F1547" t="str">
            <v>Keo silicon bít miệng ống</v>
          </cell>
          <cell r="G1547" t="str">
            <v>ống</v>
          </cell>
          <cell r="I1547">
            <v>45000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S1547">
            <v>0</v>
          </cell>
          <cell r="T1547">
            <v>0</v>
          </cell>
        </row>
        <row r="1548">
          <cell r="B1548" t="str">
            <v>LPVC90CL</v>
          </cell>
          <cell r="C1548">
            <v>0</v>
          </cell>
          <cell r="E1548" t="str">
            <v>T4.8003</v>
          </cell>
          <cell r="F1548" t="str">
            <v>Lắp ống nhựa PVC D90</v>
          </cell>
          <cell r="G1548" t="str">
            <v>mét</v>
          </cell>
          <cell r="H1548">
            <v>0</v>
          </cell>
          <cell r="I1548">
            <v>0</v>
          </cell>
          <cell r="K1548">
            <v>35541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S1548">
            <v>0</v>
          </cell>
          <cell r="T1548">
            <v>0</v>
          </cell>
        </row>
        <row r="1549">
          <cell r="B1549" t="str">
            <v>LCAPDONGTB95</v>
          </cell>
          <cell r="C1549">
            <v>0</v>
          </cell>
          <cell r="E1549" t="str">
            <v>T4.4201</v>
          </cell>
          <cell r="F1549" t="str">
            <v>Lắp cáp đồng xuống thiết bị D ≤ 95mm2</v>
          </cell>
          <cell r="G1549" t="str">
            <v>m</v>
          </cell>
          <cell r="H1549">
            <v>0</v>
          </cell>
          <cell r="I1549">
            <v>0</v>
          </cell>
          <cell r="K1549">
            <v>11847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S1549">
            <v>0</v>
          </cell>
          <cell r="T1549">
            <v>0</v>
          </cell>
        </row>
        <row r="1550">
          <cell r="C1550">
            <v>1</v>
          </cell>
          <cell r="F1550" t="str">
            <v>Tự túc 1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S1550">
            <v>0</v>
          </cell>
          <cell r="T1550">
            <v>0</v>
          </cell>
        </row>
        <row r="1551">
          <cell r="B1551" t="str">
            <v>CV70</v>
          </cell>
          <cell r="C1551">
            <v>1</v>
          </cell>
          <cell r="E1551">
            <v>0</v>
          </cell>
          <cell r="F1551" t="str">
            <v>Cáp đồng bọc CV70</v>
          </cell>
          <cell r="G1551" t="str">
            <v>mét</v>
          </cell>
          <cell r="H1551">
            <v>54</v>
          </cell>
          <cell r="I1551">
            <v>124570</v>
          </cell>
          <cell r="K1551">
            <v>0</v>
          </cell>
          <cell r="L1551">
            <v>0</v>
          </cell>
          <cell r="M1551">
            <v>6726780</v>
          </cell>
          <cell r="N1551">
            <v>0</v>
          </cell>
          <cell r="O1551">
            <v>0</v>
          </cell>
          <cell r="P1551">
            <v>0</v>
          </cell>
          <cell r="S1551">
            <v>0.73899999999999999</v>
          </cell>
          <cell r="T1551">
            <v>39.905999999999999</v>
          </cell>
        </row>
        <row r="1552">
          <cell r="B1552" t="str">
            <v>CV50</v>
          </cell>
          <cell r="C1552">
            <v>1</v>
          </cell>
          <cell r="E1552">
            <v>0</v>
          </cell>
          <cell r="F1552" t="str">
            <v>Cáp đồng bọc CV50</v>
          </cell>
          <cell r="G1552" t="str">
            <v>mét</v>
          </cell>
          <cell r="H1552">
            <v>18</v>
          </cell>
          <cell r="I1552">
            <v>90810</v>
          </cell>
          <cell r="K1552">
            <v>0</v>
          </cell>
          <cell r="L1552">
            <v>0</v>
          </cell>
          <cell r="M1552">
            <v>1634580</v>
          </cell>
          <cell r="N1552">
            <v>0</v>
          </cell>
          <cell r="O1552">
            <v>0</v>
          </cell>
          <cell r="P1552">
            <v>0</v>
          </cell>
          <cell r="S1552">
            <v>0.53400000000000003</v>
          </cell>
          <cell r="T1552">
            <v>9.6120000000000001</v>
          </cell>
        </row>
        <row r="1553">
          <cell r="B1553" t="str">
            <v>COS70</v>
          </cell>
          <cell r="C1553">
            <v>1</v>
          </cell>
          <cell r="F1553" t="str">
            <v>Đầu cosse ép Cu 70mm2</v>
          </cell>
          <cell r="G1553" t="str">
            <v>cái</v>
          </cell>
          <cell r="H1553">
            <v>6</v>
          </cell>
          <cell r="I1553">
            <v>34500</v>
          </cell>
          <cell r="M1553">
            <v>207000</v>
          </cell>
          <cell r="N1553">
            <v>0</v>
          </cell>
          <cell r="O1553">
            <v>0</v>
          </cell>
          <cell r="P1553">
            <v>0</v>
          </cell>
          <cell r="S1553">
            <v>0.2</v>
          </cell>
          <cell r="T1553">
            <v>1.2000000000000002</v>
          </cell>
        </row>
        <row r="1554">
          <cell r="B1554" t="str">
            <v>COS50</v>
          </cell>
          <cell r="C1554">
            <v>1</v>
          </cell>
          <cell r="F1554" t="str">
            <v>Đầu cosse ép Cu 50mm2</v>
          </cell>
          <cell r="G1554" t="str">
            <v>cái</v>
          </cell>
          <cell r="H1554">
            <v>2</v>
          </cell>
          <cell r="I1554">
            <v>24000</v>
          </cell>
          <cell r="M1554">
            <v>48000</v>
          </cell>
          <cell r="N1554">
            <v>0</v>
          </cell>
          <cell r="O1554">
            <v>0</v>
          </cell>
          <cell r="P1554">
            <v>0</v>
          </cell>
          <cell r="S1554">
            <v>0.1</v>
          </cell>
          <cell r="T1554">
            <v>0.2</v>
          </cell>
        </row>
        <row r="1555">
          <cell r="B1555" t="str">
            <v>CHCOS70</v>
          </cell>
          <cell r="C1555">
            <v>1</v>
          </cell>
          <cell r="E1555">
            <v>0</v>
          </cell>
          <cell r="F1555" t="str">
            <v>Chụp đầu cosse  70mm2</v>
          </cell>
          <cell r="G1555" t="str">
            <v>cái</v>
          </cell>
          <cell r="H1555">
            <v>6</v>
          </cell>
          <cell r="I1555">
            <v>2300</v>
          </cell>
          <cell r="K1555">
            <v>0</v>
          </cell>
          <cell r="L1555">
            <v>0</v>
          </cell>
          <cell r="M1555">
            <v>13800</v>
          </cell>
          <cell r="N1555">
            <v>0</v>
          </cell>
          <cell r="O1555">
            <v>0</v>
          </cell>
          <cell r="P1555">
            <v>0</v>
          </cell>
          <cell r="S1555">
            <v>0</v>
          </cell>
          <cell r="T1555">
            <v>0</v>
          </cell>
        </row>
        <row r="1556">
          <cell r="B1556" t="str">
            <v>CHCOS50</v>
          </cell>
          <cell r="C1556">
            <v>1</v>
          </cell>
          <cell r="E1556">
            <v>0</v>
          </cell>
          <cell r="F1556" t="str">
            <v>Chụp đầu cosse  50mm2</v>
          </cell>
          <cell r="G1556" t="str">
            <v>cái</v>
          </cell>
          <cell r="H1556">
            <v>2</v>
          </cell>
          <cell r="I1556">
            <v>1300</v>
          </cell>
          <cell r="K1556">
            <v>0</v>
          </cell>
          <cell r="L1556">
            <v>0</v>
          </cell>
          <cell r="M1556">
            <v>2600</v>
          </cell>
          <cell r="N1556">
            <v>0</v>
          </cell>
          <cell r="O1556">
            <v>0</v>
          </cell>
          <cell r="P1556">
            <v>0</v>
          </cell>
          <cell r="S1556">
            <v>0</v>
          </cell>
          <cell r="T1556">
            <v>0</v>
          </cell>
        </row>
        <row r="1557">
          <cell r="B1557" t="str">
            <v>pvc90</v>
          </cell>
          <cell r="C1557">
            <v>1</v>
          </cell>
          <cell r="F1557" t="str">
            <v xml:space="preserve">Ống PVC D90x3,8mm </v>
          </cell>
          <cell r="G1557" t="str">
            <v>m</v>
          </cell>
          <cell r="H1557">
            <v>6</v>
          </cell>
          <cell r="I1557">
            <v>63200</v>
          </cell>
          <cell r="M1557">
            <v>379200</v>
          </cell>
          <cell r="N1557">
            <v>0</v>
          </cell>
          <cell r="O1557">
            <v>0</v>
          </cell>
          <cell r="P1557">
            <v>0</v>
          </cell>
          <cell r="S1557">
            <v>2</v>
          </cell>
          <cell r="T1557">
            <v>12</v>
          </cell>
        </row>
        <row r="1558">
          <cell r="B1558" t="str">
            <v>CD90</v>
          </cell>
          <cell r="C1558">
            <v>1</v>
          </cell>
          <cell r="F1558" t="str">
            <v>Cổ dê kẹp ống PVC φ 90 (có giá nới) (CD: 250)</v>
          </cell>
          <cell r="G1558" t="str">
            <v>bộ</v>
          </cell>
          <cell r="H1558">
            <v>1</v>
          </cell>
          <cell r="I1558">
            <v>74000</v>
          </cell>
          <cell r="L1558">
            <v>0</v>
          </cell>
          <cell r="M1558">
            <v>74000</v>
          </cell>
          <cell r="N1558">
            <v>0</v>
          </cell>
          <cell r="O1558">
            <v>0</v>
          </cell>
          <cell r="P1558">
            <v>0</v>
          </cell>
          <cell r="S1558">
            <v>1.5</v>
          </cell>
          <cell r="T1558">
            <v>1.5</v>
          </cell>
        </row>
        <row r="1559">
          <cell r="B1559" t="str">
            <v>CD90</v>
          </cell>
          <cell r="C1559">
            <v>1</v>
          </cell>
          <cell r="F1559" t="str">
            <v>Cổ dê kẹp ống PVC φ 90 (có giá nới) (CD: 280)</v>
          </cell>
          <cell r="G1559" t="str">
            <v>bộ</v>
          </cell>
          <cell r="H1559">
            <v>1</v>
          </cell>
          <cell r="I1559">
            <v>74000</v>
          </cell>
          <cell r="L1559">
            <v>0</v>
          </cell>
          <cell r="M1559">
            <v>74000</v>
          </cell>
          <cell r="N1559">
            <v>0</v>
          </cell>
          <cell r="O1559">
            <v>0</v>
          </cell>
          <cell r="P1559">
            <v>0</v>
          </cell>
          <cell r="S1559">
            <v>1.5</v>
          </cell>
          <cell r="T1559">
            <v>1.5</v>
          </cell>
        </row>
        <row r="1560">
          <cell r="B1560" t="str">
            <v>CD90</v>
          </cell>
          <cell r="C1560">
            <v>1</v>
          </cell>
          <cell r="F1560" t="str">
            <v>Cổ dê kẹp ống PVC φ 90 (có giá nới) (CD: 320)</v>
          </cell>
          <cell r="G1560" t="str">
            <v>bộ</v>
          </cell>
          <cell r="H1560">
            <v>1</v>
          </cell>
          <cell r="I1560">
            <v>74000</v>
          </cell>
          <cell r="L1560">
            <v>0</v>
          </cell>
          <cell r="M1560">
            <v>74000</v>
          </cell>
          <cell r="N1560">
            <v>0</v>
          </cell>
          <cell r="O1560">
            <v>0</v>
          </cell>
          <cell r="P1560">
            <v>0</v>
          </cell>
          <cell r="S1560">
            <v>1.5</v>
          </cell>
          <cell r="T1560">
            <v>1.5</v>
          </cell>
        </row>
        <row r="1561">
          <cell r="B1561" t="str">
            <v>CUT90TD</v>
          </cell>
          <cell r="C1561">
            <v>1</v>
          </cell>
          <cell r="E1561">
            <v>0</v>
          </cell>
          <cell r="F1561" t="str">
            <v>Co  90 độ PVC 90 (Loại dày)</v>
          </cell>
          <cell r="G1561" t="str">
            <v>cái</v>
          </cell>
          <cell r="H1561">
            <v>1</v>
          </cell>
          <cell r="I1561">
            <v>45400</v>
          </cell>
          <cell r="K1561">
            <v>0</v>
          </cell>
          <cell r="L1561">
            <v>0</v>
          </cell>
          <cell r="M1561">
            <v>45400</v>
          </cell>
          <cell r="N1561">
            <v>0</v>
          </cell>
          <cell r="O1561">
            <v>0</v>
          </cell>
          <cell r="P1561">
            <v>0</v>
          </cell>
          <cell r="S1561">
            <v>0</v>
          </cell>
          <cell r="T1561">
            <v>0</v>
          </cell>
        </row>
        <row r="1562">
          <cell r="B1562" t="str">
            <v>CUT90T</v>
          </cell>
          <cell r="C1562">
            <v>1</v>
          </cell>
          <cell r="E1562">
            <v>0</v>
          </cell>
          <cell r="F1562" t="str">
            <v>Co  90 độ PVC 90</v>
          </cell>
          <cell r="G1562" t="str">
            <v>cái</v>
          </cell>
          <cell r="H1562">
            <v>2</v>
          </cell>
          <cell r="I1562">
            <v>35200</v>
          </cell>
          <cell r="K1562">
            <v>0</v>
          </cell>
          <cell r="L1562">
            <v>0</v>
          </cell>
          <cell r="M1562">
            <v>70400</v>
          </cell>
          <cell r="N1562">
            <v>0</v>
          </cell>
          <cell r="O1562">
            <v>0</v>
          </cell>
          <cell r="P1562">
            <v>0</v>
          </cell>
          <cell r="S1562">
            <v>0</v>
          </cell>
          <cell r="T1562">
            <v>0</v>
          </cell>
        </row>
        <row r="1563">
          <cell r="B1563" t="str">
            <v>CUT90135</v>
          </cell>
          <cell r="C1563">
            <v>1</v>
          </cell>
          <cell r="E1563">
            <v>0</v>
          </cell>
          <cell r="F1563" t="str">
            <v>Co 135 độ PVC 90</v>
          </cell>
          <cell r="G1563" t="str">
            <v>cái</v>
          </cell>
          <cell r="H1563">
            <v>1</v>
          </cell>
          <cell r="I1563">
            <v>33900</v>
          </cell>
          <cell r="K1563">
            <v>0</v>
          </cell>
          <cell r="L1563">
            <v>0</v>
          </cell>
          <cell r="M1563">
            <v>33900</v>
          </cell>
          <cell r="N1563">
            <v>0</v>
          </cell>
          <cell r="O1563">
            <v>0</v>
          </cell>
          <cell r="P1563">
            <v>0</v>
          </cell>
          <cell r="S1563">
            <v>0</v>
          </cell>
          <cell r="T1563">
            <v>0</v>
          </cell>
        </row>
        <row r="1564">
          <cell r="B1564" t="str">
            <v>KVRT90</v>
          </cell>
          <cell r="C1564">
            <v>1</v>
          </cell>
          <cell r="E1564">
            <v>0</v>
          </cell>
          <cell r="F1564" t="str">
            <v>Khâu ven răng trong D90</v>
          </cell>
          <cell r="G1564" t="str">
            <v>cái</v>
          </cell>
          <cell r="H1564">
            <v>1</v>
          </cell>
          <cell r="I1564">
            <v>25800</v>
          </cell>
          <cell r="K1564">
            <v>0</v>
          </cell>
          <cell r="L1564">
            <v>0</v>
          </cell>
          <cell r="M1564">
            <v>25800</v>
          </cell>
          <cell r="N1564">
            <v>0</v>
          </cell>
          <cell r="O1564">
            <v>0</v>
          </cell>
          <cell r="P1564">
            <v>0</v>
          </cell>
          <cell r="S1564">
            <v>0</v>
          </cell>
          <cell r="T1564">
            <v>0</v>
          </cell>
        </row>
        <row r="1565">
          <cell r="B1565" t="str">
            <v>KVRN90</v>
          </cell>
          <cell r="C1565">
            <v>1</v>
          </cell>
          <cell r="E1565">
            <v>0</v>
          </cell>
          <cell r="F1565" t="str">
            <v>Khâu ven răng ngoài D90</v>
          </cell>
          <cell r="G1565" t="str">
            <v>cái</v>
          </cell>
          <cell r="H1565">
            <v>1</v>
          </cell>
          <cell r="I1565">
            <v>21500</v>
          </cell>
          <cell r="K1565">
            <v>0</v>
          </cell>
          <cell r="L1565">
            <v>0</v>
          </cell>
          <cell r="M1565">
            <v>21500</v>
          </cell>
          <cell r="N1565">
            <v>0</v>
          </cell>
          <cell r="O1565">
            <v>0</v>
          </cell>
          <cell r="P1565">
            <v>0</v>
          </cell>
          <cell r="S1565">
            <v>0</v>
          </cell>
          <cell r="T1565">
            <v>0</v>
          </cell>
        </row>
        <row r="1566">
          <cell r="B1566" t="str">
            <v>KEODAN</v>
          </cell>
          <cell r="C1566">
            <v>1</v>
          </cell>
          <cell r="E1566">
            <v>0</v>
          </cell>
          <cell r="F1566" t="str">
            <v>Keo dán ống PVC (100gr)</v>
          </cell>
          <cell r="G1566" t="str">
            <v>tuýp</v>
          </cell>
          <cell r="H1566">
            <v>1</v>
          </cell>
          <cell r="I1566">
            <v>11500</v>
          </cell>
          <cell r="K1566">
            <v>0</v>
          </cell>
          <cell r="L1566">
            <v>0</v>
          </cell>
          <cell r="M1566">
            <v>11500</v>
          </cell>
          <cell r="N1566">
            <v>0</v>
          </cell>
          <cell r="O1566">
            <v>0</v>
          </cell>
          <cell r="P1566">
            <v>0</v>
          </cell>
          <cell r="S1566">
            <v>0</v>
          </cell>
          <cell r="T1566">
            <v>0</v>
          </cell>
        </row>
        <row r="1567">
          <cell r="B1567" t="str">
            <v>KEOBIT</v>
          </cell>
          <cell r="C1567">
            <v>1</v>
          </cell>
          <cell r="E1567">
            <v>0</v>
          </cell>
          <cell r="F1567" t="str">
            <v>Keo silicon bít miệng ống</v>
          </cell>
          <cell r="G1567" t="str">
            <v>ống</v>
          </cell>
          <cell r="H1567">
            <v>1</v>
          </cell>
          <cell r="I1567">
            <v>45000</v>
          </cell>
          <cell r="K1567">
            <v>0</v>
          </cell>
          <cell r="L1567">
            <v>0</v>
          </cell>
          <cell r="M1567">
            <v>45000</v>
          </cell>
          <cell r="N1567">
            <v>0</v>
          </cell>
          <cell r="O1567">
            <v>0</v>
          </cell>
          <cell r="P1567">
            <v>0</v>
          </cell>
          <cell r="S1567">
            <v>0</v>
          </cell>
          <cell r="T1567">
            <v>0</v>
          </cell>
        </row>
        <row r="1568">
          <cell r="C1568">
            <v>1</v>
          </cell>
          <cell r="F1568" t="str">
            <v>Sông Nhạn 13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S1568">
            <v>0</v>
          </cell>
          <cell r="T1568">
            <v>0</v>
          </cell>
        </row>
        <row r="1569">
          <cell r="B1569" t="str">
            <v>CV70</v>
          </cell>
          <cell r="C1569">
            <v>1</v>
          </cell>
          <cell r="E1569">
            <v>0</v>
          </cell>
          <cell r="F1569" t="str">
            <v>Cáp đồng bọc CV70</v>
          </cell>
          <cell r="G1569" t="str">
            <v>mét</v>
          </cell>
          <cell r="H1569">
            <v>18</v>
          </cell>
          <cell r="I1569">
            <v>124570</v>
          </cell>
          <cell r="K1569">
            <v>0</v>
          </cell>
          <cell r="L1569">
            <v>0</v>
          </cell>
          <cell r="M1569">
            <v>2242260</v>
          </cell>
          <cell r="N1569">
            <v>0</v>
          </cell>
          <cell r="O1569">
            <v>0</v>
          </cell>
          <cell r="P1569">
            <v>0</v>
          </cell>
          <cell r="S1569">
            <v>0.73899999999999999</v>
          </cell>
          <cell r="T1569">
            <v>13.302</v>
          </cell>
        </row>
        <row r="1570">
          <cell r="B1570" t="str">
            <v>CV50</v>
          </cell>
          <cell r="C1570">
            <v>1</v>
          </cell>
          <cell r="E1570">
            <v>0</v>
          </cell>
          <cell r="F1570" t="str">
            <v>Cáp đồng bọc CV50</v>
          </cell>
          <cell r="G1570" t="str">
            <v>mét</v>
          </cell>
          <cell r="H1570">
            <v>9</v>
          </cell>
          <cell r="I1570">
            <v>90810</v>
          </cell>
          <cell r="K1570">
            <v>0</v>
          </cell>
          <cell r="L1570">
            <v>0</v>
          </cell>
          <cell r="M1570">
            <v>817290</v>
          </cell>
          <cell r="N1570">
            <v>0</v>
          </cell>
          <cell r="O1570">
            <v>0</v>
          </cell>
          <cell r="P1570">
            <v>0</v>
          </cell>
          <cell r="S1570">
            <v>0.53400000000000003</v>
          </cell>
          <cell r="T1570">
            <v>4.806</v>
          </cell>
        </row>
        <row r="1571">
          <cell r="B1571" t="str">
            <v>COS70</v>
          </cell>
          <cell r="C1571">
            <v>1</v>
          </cell>
          <cell r="F1571" t="str">
            <v>Đầu cosse ép Cu 70mm2</v>
          </cell>
          <cell r="G1571" t="str">
            <v>cái</v>
          </cell>
          <cell r="H1571">
            <v>2</v>
          </cell>
          <cell r="I1571">
            <v>34500</v>
          </cell>
          <cell r="M1571">
            <v>69000</v>
          </cell>
          <cell r="N1571">
            <v>0</v>
          </cell>
          <cell r="O1571">
            <v>0</v>
          </cell>
          <cell r="P1571">
            <v>0</v>
          </cell>
          <cell r="S1571">
            <v>0.2</v>
          </cell>
          <cell r="T1571">
            <v>0.4</v>
          </cell>
        </row>
        <row r="1572">
          <cell r="B1572" t="str">
            <v>COS50</v>
          </cell>
          <cell r="C1572">
            <v>1</v>
          </cell>
          <cell r="F1572" t="str">
            <v>Đầu cosse ép Cu 50mm2</v>
          </cell>
          <cell r="G1572" t="str">
            <v>cái</v>
          </cell>
          <cell r="H1572">
            <v>1</v>
          </cell>
          <cell r="I1572">
            <v>24000</v>
          </cell>
          <cell r="M1572">
            <v>24000</v>
          </cell>
          <cell r="N1572">
            <v>0</v>
          </cell>
          <cell r="O1572">
            <v>0</v>
          </cell>
          <cell r="P1572">
            <v>0</v>
          </cell>
          <cell r="S1572">
            <v>0.1</v>
          </cell>
          <cell r="T1572">
            <v>0.1</v>
          </cell>
        </row>
        <row r="1573">
          <cell r="B1573" t="str">
            <v>CHCOS70</v>
          </cell>
          <cell r="C1573">
            <v>1</v>
          </cell>
          <cell r="E1573">
            <v>0</v>
          </cell>
          <cell r="F1573" t="str">
            <v>Chụp đầu cosse  70mm2</v>
          </cell>
          <cell r="G1573" t="str">
            <v>cái</v>
          </cell>
          <cell r="H1573">
            <v>2</v>
          </cell>
          <cell r="I1573">
            <v>2300</v>
          </cell>
          <cell r="K1573">
            <v>0</v>
          </cell>
          <cell r="L1573">
            <v>0</v>
          </cell>
          <cell r="M1573">
            <v>4600</v>
          </cell>
          <cell r="N1573">
            <v>0</v>
          </cell>
          <cell r="O1573">
            <v>0</v>
          </cell>
          <cell r="P1573">
            <v>0</v>
          </cell>
          <cell r="S1573">
            <v>0</v>
          </cell>
          <cell r="T1573">
            <v>0</v>
          </cell>
        </row>
        <row r="1574">
          <cell r="B1574" t="str">
            <v>CHCOS50</v>
          </cell>
          <cell r="C1574">
            <v>1</v>
          </cell>
          <cell r="E1574">
            <v>0</v>
          </cell>
          <cell r="F1574" t="str">
            <v>Chụp đầu cosse  50mm2</v>
          </cell>
          <cell r="G1574" t="str">
            <v>cái</v>
          </cell>
          <cell r="H1574">
            <v>1</v>
          </cell>
          <cell r="I1574">
            <v>1300</v>
          </cell>
          <cell r="K1574">
            <v>0</v>
          </cell>
          <cell r="L1574">
            <v>0</v>
          </cell>
          <cell r="M1574">
            <v>1300</v>
          </cell>
          <cell r="N1574">
            <v>0</v>
          </cell>
          <cell r="O1574">
            <v>0</v>
          </cell>
          <cell r="P1574">
            <v>0</v>
          </cell>
          <cell r="S1574">
            <v>0</v>
          </cell>
          <cell r="T1574">
            <v>0</v>
          </cell>
        </row>
        <row r="1575">
          <cell r="B1575" t="str">
            <v>PVC90</v>
          </cell>
          <cell r="C1575">
            <v>1</v>
          </cell>
          <cell r="E1575">
            <v>0</v>
          </cell>
          <cell r="F1575" t="str">
            <v xml:space="preserve">Ống PVC D90x3,8mm </v>
          </cell>
          <cell r="G1575" t="str">
            <v>m</v>
          </cell>
          <cell r="H1575">
            <v>6</v>
          </cell>
          <cell r="I1575">
            <v>63200</v>
          </cell>
          <cell r="K1575">
            <v>0</v>
          </cell>
          <cell r="L1575">
            <v>0</v>
          </cell>
          <cell r="M1575">
            <v>379200</v>
          </cell>
          <cell r="N1575">
            <v>0</v>
          </cell>
          <cell r="O1575">
            <v>0</v>
          </cell>
          <cell r="P1575">
            <v>0</v>
          </cell>
          <cell r="S1575">
            <v>2</v>
          </cell>
          <cell r="T1575">
            <v>12</v>
          </cell>
        </row>
        <row r="1576">
          <cell r="B1576" t="str">
            <v>CD90</v>
          </cell>
          <cell r="C1576">
            <v>1</v>
          </cell>
          <cell r="E1576">
            <v>0</v>
          </cell>
          <cell r="F1576" t="str">
            <v>Cổ dê kẹp ống PVC φ 90 (có giá nới) (CD-250)</v>
          </cell>
          <cell r="G1576" t="str">
            <v>bộ</v>
          </cell>
          <cell r="H1576">
            <v>1</v>
          </cell>
          <cell r="I1576">
            <v>74000</v>
          </cell>
          <cell r="K1576">
            <v>0</v>
          </cell>
          <cell r="L1576">
            <v>0</v>
          </cell>
          <cell r="M1576">
            <v>74000</v>
          </cell>
          <cell r="N1576">
            <v>0</v>
          </cell>
          <cell r="O1576">
            <v>0</v>
          </cell>
          <cell r="P1576">
            <v>0</v>
          </cell>
          <cell r="S1576">
            <v>1.5</v>
          </cell>
          <cell r="T1576">
            <v>1.5</v>
          </cell>
        </row>
        <row r="1577">
          <cell r="B1577" t="str">
            <v>CD90</v>
          </cell>
          <cell r="C1577">
            <v>1</v>
          </cell>
          <cell r="E1577">
            <v>0</v>
          </cell>
          <cell r="F1577" t="str">
            <v>Cổ dê kẹp ống PVC φ 90 (có giá nới) (CD-280)</v>
          </cell>
          <cell r="G1577" t="str">
            <v>bộ</v>
          </cell>
          <cell r="H1577">
            <v>1</v>
          </cell>
          <cell r="I1577">
            <v>74000</v>
          </cell>
          <cell r="K1577">
            <v>0</v>
          </cell>
          <cell r="L1577">
            <v>0</v>
          </cell>
          <cell r="M1577">
            <v>74000</v>
          </cell>
          <cell r="N1577">
            <v>0</v>
          </cell>
          <cell r="O1577">
            <v>0</v>
          </cell>
          <cell r="P1577">
            <v>0</v>
          </cell>
          <cell r="S1577">
            <v>1.5</v>
          </cell>
          <cell r="T1577">
            <v>1.5</v>
          </cell>
        </row>
        <row r="1578">
          <cell r="B1578" t="str">
            <v>CD90</v>
          </cell>
          <cell r="C1578">
            <v>1</v>
          </cell>
          <cell r="E1578">
            <v>0</v>
          </cell>
          <cell r="F1578" t="str">
            <v>Cổ dê kẹp ống PVC φ 90 (có giá nới) (CD-320)</v>
          </cell>
          <cell r="G1578" t="str">
            <v>bộ</v>
          </cell>
          <cell r="H1578">
            <v>1</v>
          </cell>
          <cell r="I1578">
            <v>74000</v>
          </cell>
          <cell r="K1578">
            <v>0</v>
          </cell>
          <cell r="L1578">
            <v>0</v>
          </cell>
          <cell r="M1578">
            <v>74000</v>
          </cell>
          <cell r="N1578">
            <v>0</v>
          </cell>
          <cell r="O1578">
            <v>0</v>
          </cell>
          <cell r="P1578">
            <v>0</v>
          </cell>
          <cell r="S1578">
            <v>1.5</v>
          </cell>
          <cell r="T1578">
            <v>1.5</v>
          </cell>
        </row>
        <row r="1579">
          <cell r="B1579" t="str">
            <v>CUT90T</v>
          </cell>
          <cell r="C1579">
            <v>1</v>
          </cell>
          <cell r="E1579">
            <v>0</v>
          </cell>
          <cell r="F1579" t="str">
            <v>Co  90 độ PVC 90</v>
          </cell>
          <cell r="G1579" t="str">
            <v>cái</v>
          </cell>
          <cell r="H1579">
            <v>2</v>
          </cell>
          <cell r="I1579">
            <v>35200</v>
          </cell>
          <cell r="K1579">
            <v>0</v>
          </cell>
          <cell r="L1579">
            <v>0</v>
          </cell>
          <cell r="M1579">
            <v>70400</v>
          </cell>
          <cell r="N1579">
            <v>0</v>
          </cell>
          <cell r="O1579">
            <v>0</v>
          </cell>
          <cell r="P1579">
            <v>0</v>
          </cell>
          <cell r="S1579">
            <v>0</v>
          </cell>
          <cell r="T1579">
            <v>0</v>
          </cell>
        </row>
        <row r="1580">
          <cell r="B1580" t="str">
            <v>CUT90TD</v>
          </cell>
          <cell r="C1580">
            <v>1</v>
          </cell>
          <cell r="E1580">
            <v>0</v>
          </cell>
          <cell r="F1580" t="str">
            <v>Co  90 độ PVC 90 (Loại dày)</v>
          </cell>
          <cell r="G1580" t="str">
            <v>cái</v>
          </cell>
          <cell r="H1580">
            <v>1</v>
          </cell>
          <cell r="I1580">
            <v>45400</v>
          </cell>
          <cell r="K1580">
            <v>0</v>
          </cell>
          <cell r="L1580">
            <v>0</v>
          </cell>
          <cell r="M1580">
            <v>45400</v>
          </cell>
          <cell r="N1580">
            <v>0</v>
          </cell>
          <cell r="O1580">
            <v>0</v>
          </cell>
          <cell r="P1580">
            <v>0</v>
          </cell>
          <cell r="S1580">
            <v>0</v>
          </cell>
          <cell r="T1580">
            <v>0</v>
          </cell>
        </row>
        <row r="1581">
          <cell r="B1581" t="str">
            <v>CUT90135</v>
          </cell>
          <cell r="C1581">
            <v>1</v>
          </cell>
          <cell r="E1581">
            <v>0</v>
          </cell>
          <cell r="F1581" t="str">
            <v>Co 135 độ PVC 90</v>
          </cell>
          <cell r="G1581" t="str">
            <v>cái</v>
          </cell>
          <cell r="H1581">
            <v>1</v>
          </cell>
          <cell r="I1581">
            <v>33900</v>
          </cell>
          <cell r="K1581">
            <v>0</v>
          </cell>
          <cell r="L1581">
            <v>0</v>
          </cell>
          <cell r="M1581">
            <v>33900</v>
          </cell>
          <cell r="N1581">
            <v>0</v>
          </cell>
          <cell r="O1581">
            <v>0</v>
          </cell>
          <cell r="P1581">
            <v>0</v>
          </cell>
          <cell r="S1581">
            <v>0</v>
          </cell>
          <cell r="T1581">
            <v>0</v>
          </cell>
        </row>
        <row r="1582">
          <cell r="B1582" t="str">
            <v>KVRT90</v>
          </cell>
          <cell r="C1582">
            <v>1</v>
          </cell>
          <cell r="E1582">
            <v>0</v>
          </cell>
          <cell r="F1582" t="str">
            <v>Khâu ven răng trong D90</v>
          </cell>
          <cell r="G1582" t="str">
            <v>cái</v>
          </cell>
          <cell r="H1582">
            <v>1</v>
          </cell>
          <cell r="I1582">
            <v>25800</v>
          </cell>
          <cell r="K1582">
            <v>0</v>
          </cell>
          <cell r="L1582">
            <v>0</v>
          </cell>
          <cell r="M1582">
            <v>25800</v>
          </cell>
          <cell r="N1582">
            <v>0</v>
          </cell>
          <cell r="O1582">
            <v>0</v>
          </cell>
          <cell r="P1582">
            <v>0</v>
          </cell>
          <cell r="S1582">
            <v>0</v>
          </cell>
          <cell r="T1582">
            <v>0</v>
          </cell>
        </row>
        <row r="1583">
          <cell r="B1583" t="str">
            <v>KVRN90</v>
          </cell>
          <cell r="C1583">
            <v>1</v>
          </cell>
          <cell r="E1583">
            <v>0</v>
          </cell>
          <cell r="F1583" t="str">
            <v>Khâu ven răng ngoài D90</v>
          </cell>
          <cell r="G1583" t="str">
            <v>cái</v>
          </cell>
          <cell r="H1583">
            <v>1</v>
          </cell>
          <cell r="I1583">
            <v>21500</v>
          </cell>
          <cell r="K1583">
            <v>0</v>
          </cell>
          <cell r="L1583">
            <v>0</v>
          </cell>
          <cell r="M1583">
            <v>21500</v>
          </cell>
          <cell r="N1583">
            <v>0</v>
          </cell>
          <cell r="O1583">
            <v>0</v>
          </cell>
          <cell r="P1583">
            <v>0</v>
          </cell>
          <cell r="S1583">
            <v>0</v>
          </cell>
          <cell r="T1583">
            <v>0</v>
          </cell>
        </row>
        <row r="1584">
          <cell r="B1584" t="str">
            <v>KEODAN</v>
          </cell>
          <cell r="C1584">
            <v>1</v>
          </cell>
          <cell r="E1584">
            <v>0</v>
          </cell>
          <cell r="F1584" t="str">
            <v>Keo dán ống PVC (100gr)</v>
          </cell>
          <cell r="G1584" t="str">
            <v>tuýp</v>
          </cell>
          <cell r="H1584">
            <v>1</v>
          </cell>
          <cell r="I1584">
            <v>11500</v>
          </cell>
          <cell r="K1584">
            <v>0</v>
          </cell>
          <cell r="L1584">
            <v>0</v>
          </cell>
          <cell r="M1584">
            <v>11500</v>
          </cell>
          <cell r="N1584">
            <v>0</v>
          </cell>
          <cell r="O1584">
            <v>0</v>
          </cell>
          <cell r="P1584">
            <v>0</v>
          </cell>
          <cell r="S1584">
            <v>0</v>
          </cell>
          <cell r="T1584">
            <v>0</v>
          </cell>
        </row>
        <row r="1585">
          <cell r="B1585" t="str">
            <v>KEOBIT</v>
          </cell>
          <cell r="C1585">
            <v>1</v>
          </cell>
          <cell r="E1585">
            <v>0</v>
          </cell>
          <cell r="F1585" t="str">
            <v>Keo silicon bít miệng ống</v>
          </cell>
          <cell r="G1585" t="str">
            <v>ống</v>
          </cell>
          <cell r="H1585">
            <v>1</v>
          </cell>
          <cell r="I1585">
            <v>45000</v>
          </cell>
          <cell r="K1585">
            <v>0</v>
          </cell>
          <cell r="L1585">
            <v>0</v>
          </cell>
          <cell r="M1585">
            <v>45000</v>
          </cell>
          <cell r="N1585">
            <v>0</v>
          </cell>
          <cell r="O1585">
            <v>0</v>
          </cell>
          <cell r="P1585">
            <v>0</v>
          </cell>
          <cell r="S1585">
            <v>0</v>
          </cell>
          <cell r="T1585">
            <v>0</v>
          </cell>
        </row>
        <row r="1586">
          <cell r="B1586" t="str">
            <v>BANGKEO</v>
          </cell>
          <cell r="C1586">
            <v>1</v>
          </cell>
          <cell r="E1586">
            <v>0</v>
          </cell>
          <cell r="F1586" t="str">
            <v>Băng keo cách điện (Màu đen)</v>
          </cell>
          <cell r="G1586" t="str">
            <v>cuộn</v>
          </cell>
          <cell r="H1586">
            <v>1</v>
          </cell>
          <cell r="I1586">
            <v>6500</v>
          </cell>
          <cell r="K1586">
            <v>0</v>
          </cell>
          <cell r="L1586">
            <v>0</v>
          </cell>
          <cell r="M1586">
            <v>6500</v>
          </cell>
          <cell r="N1586">
            <v>0</v>
          </cell>
          <cell r="O1586">
            <v>0</v>
          </cell>
          <cell r="P1586">
            <v>0</v>
          </cell>
          <cell r="S1586">
            <v>0</v>
          </cell>
          <cell r="T1586">
            <v>0</v>
          </cell>
        </row>
        <row r="1587">
          <cell r="B1587" t="str">
            <v>LPVC90CL</v>
          </cell>
          <cell r="C1587">
            <v>1</v>
          </cell>
          <cell r="E1587" t="str">
            <v>T4.8003</v>
          </cell>
          <cell r="F1587" t="str">
            <v>Lắp ống nhựa PVC D90</v>
          </cell>
          <cell r="G1587" t="str">
            <v>mét</v>
          </cell>
          <cell r="H1587">
            <v>6</v>
          </cell>
          <cell r="I1587">
            <v>0</v>
          </cell>
          <cell r="K1587">
            <v>35541</v>
          </cell>
          <cell r="L1587">
            <v>0</v>
          </cell>
          <cell r="M1587">
            <v>0</v>
          </cell>
          <cell r="N1587">
            <v>0</v>
          </cell>
          <cell r="O1587">
            <v>213246</v>
          </cell>
          <cell r="P1587">
            <v>0</v>
          </cell>
          <cell r="S1587">
            <v>0</v>
          </cell>
          <cell r="T1587">
            <v>0</v>
          </cell>
        </row>
        <row r="1588">
          <cell r="B1588" t="str">
            <v>LCAPDONGTB150</v>
          </cell>
          <cell r="C1588">
            <v>0</v>
          </cell>
          <cell r="E1588" t="str">
            <v>T4.4202</v>
          </cell>
          <cell r="F1588" t="str">
            <v>Lắp cáp đồng xuống thiết bị D ≤ 150mm2</v>
          </cell>
          <cell r="G1588" t="str">
            <v>m</v>
          </cell>
          <cell r="I1588">
            <v>0</v>
          </cell>
          <cell r="K1588">
            <v>28433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S1588">
            <v>0</v>
          </cell>
          <cell r="T1588">
            <v>0</v>
          </cell>
        </row>
        <row r="1589">
          <cell r="B1589" t="str">
            <v>LCAPDONGTB95</v>
          </cell>
          <cell r="C1589">
            <v>1</v>
          </cell>
          <cell r="E1589" t="str">
            <v>T4.4201</v>
          </cell>
          <cell r="F1589" t="str">
            <v>Lắp cáp đồng xuống thiết bị D ≤ 95mm2</v>
          </cell>
          <cell r="G1589" t="str">
            <v>m</v>
          </cell>
          <cell r="H1589">
            <v>27</v>
          </cell>
          <cell r="I1589">
            <v>0</v>
          </cell>
          <cell r="K1589">
            <v>11847</v>
          </cell>
          <cell r="L1589">
            <v>0</v>
          </cell>
          <cell r="M1589">
            <v>0</v>
          </cell>
          <cell r="N1589">
            <v>0</v>
          </cell>
          <cell r="O1589">
            <v>319869</v>
          </cell>
          <cell r="P1589">
            <v>0</v>
          </cell>
          <cell r="S1589">
            <v>0</v>
          </cell>
          <cell r="T1589">
            <v>0</v>
          </cell>
        </row>
        <row r="1590">
          <cell r="C1590">
            <v>1</v>
          </cell>
          <cell r="D1590" t="str">
            <v>VII</v>
          </cell>
          <cell r="E1590" t="str">
            <v xml:space="preserve"> Di dời 3 TBA (Suối Râm 1; Thừa Đức 12, Nhân Nghĩa 13)</v>
          </cell>
          <cell r="S1590">
            <v>0</v>
          </cell>
          <cell r="T1590">
            <v>0</v>
          </cell>
        </row>
        <row r="1591">
          <cell r="A1591" t="str">
            <v/>
          </cell>
          <cell r="C1591">
            <v>1</v>
          </cell>
          <cell r="D1591">
            <v>1</v>
          </cell>
          <cell r="F1591" t="str">
            <v xml:space="preserve">Bộ tiếp địa Trạm </v>
          </cell>
          <cell r="G1591" t="str">
            <v>Bộ</v>
          </cell>
          <cell r="H1591">
            <v>3</v>
          </cell>
          <cell r="M1591">
            <v>8405260.8000000007</v>
          </cell>
          <cell r="N1591">
            <v>0</v>
          </cell>
          <cell r="O1591">
            <v>5156341.2</v>
          </cell>
          <cell r="P1591">
            <v>0</v>
          </cell>
          <cell r="S1591">
            <v>0</v>
          </cell>
          <cell r="T1591">
            <v>0</v>
          </cell>
        </row>
        <row r="1592">
          <cell r="A1592" t="str">
            <v/>
          </cell>
          <cell r="C1592">
            <v>0</v>
          </cell>
          <cell r="F1592" t="str">
            <v>Gồm có: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S1592">
            <v>0</v>
          </cell>
          <cell r="T1592">
            <v>0</v>
          </cell>
        </row>
        <row r="1593">
          <cell r="A1593" t="str">
            <v/>
          </cell>
          <cell r="B1593" t="str">
            <v>M25</v>
          </cell>
          <cell r="C1593">
            <v>1</v>
          </cell>
          <cell r="E1593">
            <v>0</v>
          </cell>
          <cell r="F1593" t="str">
            <v>Cáp đồng trần M25mm2 (30 mét/trạm)</v>
          </cell>
          <cell r="G1593" t="str">
            <v>kg</v>
          </cell>
          <cell r="H1593">
            <v>20.16</v>
          </cell>
          <cell r="I1593">
            <v>191630</v>
          </cell>
          <cell r="K1593">
            <v>0</v>
          </cell>
          <cell r="L1593">
            <v>0</v>
          </cell>
          <cell r="M1593">
            <v>3863260.8</v>
          </cell>
          <cell r="N1593">
            <v>0</v>
          </cell>
          <cell r="O1593">
            <v>0</v>
          </cell>
          <cell r="P1593">
            <v>0</v>
          </cell>
          <cell r="S1593">
            <v>1</v>
          </cell>
          <cell r="T1593">
            <v>20.16</v>
          </cell>
        </row>
        <row r="1594">
          <cell r="A1594" t="str">
            <v/>
          </cell>
          <cell r="B1594" t="str">
            <v>CTD</v>
          </cell>
          <cell r="C1594">
            <v>1</v>
          </cell>
          <cell r="E1594">
            <v>0</v>
          </cell>
          <cell r="F1594" t="str">
            <v>Cọc tiếp đất φ16 - 2,4m mạ Cu 16 micrômét</v>
          </cell>
          <cell r="G1594" t="str">
            <v>cọc</v>
          </cell>
          <cell r="H1594">
            <v>27</v>
          </cell>
          <cell r="I1594">
            <v>130000</v>
          </cell>
          <cell r="K1594">
            <v>0</v>
          </cell>
          <cell r="L1594">
            <v>0</v>
          </cell>
          <cell r="M1594">
            <v>3510000</v>
          </cell>
          <cell r="N1594">
            <v>0</v>
          </cell>
          <cell r="O1594">
            <v>0</v>
          </cell>
          <cell r="P1594">
            <v>0</v>
          </cell>
          <cell r="S1594">
            <v>5.3</v>
          </cell>
          <cell r="T1594">
            <v>143.1</v>
          </cell>
        </row>
        <row r="1595">
          <cell r="A1595" t="str">
            <v/>
          </cell>
          <cell r="B1595" t="str">
            <v>KC</v>
          </cell>
          <cell r="C1595">
            <v>1</v>
          </cell>
          <cell r="E1595">
            <v>0</v>
          </cell>
          <cell r="F1595" t="str">
            <v>Kẹp cọc tiếp địa Cu loại lớn</v>
          </cell>
          <cell r="G1595" t="str">
            <v>bộ</v>
          </cell>
          <cell r="H1595">
            <v>27</v>
          </cell>
          <cell r="I1595">
            <v>25000</v>
          </cell>
          <cell r="K1595">
            <v>0</v>
          </cell>
          <cell r="L1595">
            <v>0</v>
          </cell>
          <cell r="M1595">
            <v>675000</v>
          </cell>
          <cell r="N1595">
            <v>0</v>
          </cell>
          <cell r="O1595">
            <v>0</v>
          </cell>
          <cell r="P1595">
            <v>0</v>
          </cell>
          <cell r="S1595">
            <v>0.05</v>
          </cell>
          <cell r="T1595">
            <v>1.35</v>
          </cell>
        </row>
        <row r="1596">
          <cell r="A1596" t="str">
            <v/>
          </cell>
          <cell r="B1596" t="str">
            <v>OXC38</v>
          </cell>
          <cell r="C1596">
            <v>1</v>
          </cell>
          <cell r="E1596">
            <v>0</v>
          </cell>
          <cell r="F1596" t="str">
            <v xml:space="preserve">Ốc xiết cáp cỡ 38mm2 </v>
          </cell>
          <cell r="G1596" t="str">
            <v>cái</v>
          </cell>
          <cell r="H1596">
            <v>18</v>
          </cell>
          <cell r="I1596">
            <v>17000</v>
          </cell>
          <cell r="K1596">
            <v>0</v>
          </cell>
          <cell r="L1596">
            <v>0</v>
          </cell>
          <cell r="M1596">
            <v>306000</v>
          </cell>
          <cell r="N1596">
            <v>0</v>
          </cell>
          <cell r="O1596">
            <v>0</v>
          </cell>
          <cell r="P1596">
            <v>0</v>
          </cell>
          <cell r="S1596">
            <v>0</v>
          </cell>
          <cell r="T1596">
            <v>0</v>
          </cell>
        </row>
        <row r="1597">
          <cell r="A1597" t="str">
            <v/>
          </cell>
          <cell r="B1597" t="str">
            <v>KE50</v>
          </cell>
          <cell r="C1597">
            <v>1</v>
          </cell>
          <cell r="E1597">
            <v>0</v>
          </cell>
          <cell r="F1597" t="str">
            <v>Kẹp ép WR cỡ dây 50mm2</v>
          </cell>
          <cell r="G1597" t="str">
            <v>cái</v>
          </cell>
          <cell r="H1597">
            <v>6</v>
          </cell>
          <cell r="I1597">
            <v>8500</v>
          </cell>
          <cell r="K1597">
            <v>0</v>
          </cell>
          <cell r="L1597">
            <v>0</v>
          </cell>
          <cell r="M1597">
            <v>51000</v>
          </cell>
          <cell r="N1597">
            <v>0</v>
          </cell>
          <cell r="O1597">
            <v>0</v>
          </cell>
          <cell r="P1597">
            <v>0</v>
          </cell>
          <cell r="S1597">
            <v>0.2</v>
          </cell>
          <cell r="T1597">
            <v>1.2000000000000002</v>
          </cell>
        </row>
        <row r="1598">
          <cell r="A1598" t="str">
            <v/>
          </cell>
          <cell r="B1598" t="str">
            <v>KTDTBA</v>
          </cell>
          <cell r="C1598">
            <v>1</v>
          </cell>
          <cell r="E1598" t="str">
            <v>T4.7001</v>
          </cell>
          <cell r="F1598" t="str">
            <v>Kéo dây tiếp địa trong TBA</v>
          </cell>
          <cell r="G1598" t="str">
            <v>mét</v>
          </cell>
          <cell r="H1598">
            <v>90</v>
          </cell>
          <cell r="I1598">
            <v>0</v>
          </cell>
          <cell r="K1598">
            <v>6871</v>
          </cell>
          <cell r="L1598">
            <v>0</v>
          </cell>
          <cell r="M1598">
            <v>0</v>
          </cell>
          <cell r="N1598">
            <v>0</v>
          </cell>
          <cell r="O1598">
            <v>618390</v>
          </cell>
          <cell r="P1598">
            <v>0</v>
          </cell>
          <cell r="S1598">
            <v>0</v>
          </cell>
          <cell r="T1598">
            <v>0</v>
          </cell>
        </row>
        <row r="1599">
          <cell r="A1599" t="str">
            <v/>
          </cell>
          <cell r="B1599" t="str">
            <v>DCTDTBA</v>
          </cell>
          <cell r="C1599">
            <v>1</v>
          </cell>
          <cell r="E1599" t="str">
            <v>D2.8103</v>
          </cell>
          <cell r="F1599" t="str">
            <v>Đóng cọc tiếp địa trong TBA (đất cấp 3)</v>
          </cell>
          <cell r="G1599" t="str">
            <v>cọc</v>
          </cell>
          <cell r="H1599">
            <v>27</v>
          </cell>
          <cell r="I1599">
            <v>0</v>
          </cell>
          <cell r="K1599">
            <v>76928</v>
          </cell>
          <cell r="L1599">
            <v>0</v>
          </cell>
          <cell r="M1599">
            <v>0</v>
          </cell>
          <cell r="N1599">
            <v>0</v>
          </cell>
          <cell r="O1599">
            <v>2077056</v>
          </cell>
          <cell r="P1599">
            <v>0</v>
          </cell>
          <cell r="S1599">
            <v>0</v>
          </cell>
          <cell r="T1599">
            <v>0</v>
          </cell>
        </row>
        <row r="1600">
          <cell r="A1600" t="str">
            <v/>
          </cell>
          <cell r="B1600" t="str">
            <v>DTD3</v>
          </cell>
          <cell r="C1600">
            <v>1</v>
          </cell>
          <cell r="E1600" t="str">
            <v>AB.11513</v>
          </cell>
          <cell r="F1600" t="str">
            <v>Đào rãnh tiếp địa đất cấp 3</v>
          </cell>
          <cell r="G1600" t="str">
            <v>m3</v>
          </cell>
          <cell r="H1600">
            <v>7.1999999999999993</v>
          </cell>
          <cell r="I1600">
            <v>0</v>
          </cell>
          <cell r="K1600">
            <v>241580</v>
          </cell>
          <cell r="L1600">
            <v>0</v>
          </cell>
          <cell r="M1600">
            <v>0</v>
          </cell>
          <cell r="N1600">
            <v>0</v>
          </cell>
          <cell r="O1600">
            <v>1739375.9999999998</v>
          </cell>
          <cell r="P1600">
            <v>0</v>
          </cell>
          <cell r="S1600">
            <v>0</v>
          </cell>
          <cell r="T1600">
            <v>0</v>
          </cell>
        </row>
        <row r="1601">
          <cell r="A1601" t="str">
            <v/>
          </cell>
          <cell r="B1601" t="str">
            <v>DATD3</v>
          </cell>
          <cell r="C1601">
            <v>1</v>
          </cell>
          <cell r="E1601" t="str">
            <v>AB.13111</v>
          </cell>
          <cell r="F1601" t="str">
            <v>Đắp đất rãnh tiếp địa (K=0,85)</v>
          </cell>
          <cell r="G1601" t="str">
            <v>m3</v>
          </cell>
          <cell r="H1601">
            <v>7.1999999999999993</v>
          </cell>
          <cell r="I1601">
            <v>0</v>
          </cell>
          <cell r="K1601">
            <v>100211</v>
          </cell>
          <cell r="L1601">
            <v>0</v>
          </cell>
          <cell r="M1601">
            <v>0</v>
          </cell>
          <cell r="N1601">
            <v>0</v>
          </cell>
          <cell r="O1601">
            <v>721519.2</v>
          </cell>
          <cell r="P1601">
            <v>0</v>
          </cell>
          <cell r="S1601">
            <v>0</v>
          </cell>
          <cell r="T1601">
            <v>0</v>
          </cell>
        </row>
        <row r="1602">
          <cell r="A1602" t="str">
            <v>T3P160</v>
          </cell>
          <cell r="C1602" t="str">
            <v>X</v>
          </cell>
          <cell r="D1602" t="str">
            <v>XIV</v>
          </cell>
          <cell r="E1602" t="str">
            <v>0 Trạm 3 pha 160kVA (trạm giàn)</v>
          </cell>
        </row>
        <row r="1603">
          <cell r="A1603" t="str">
            <v>TBT3P160</v>
          </cell>
          <cell r="C1603" t="str">
            <v>X</v>
          </cell>
          <cell r="F1603" t="str">
            <v>A.PHẦN THIẾT BỊ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S1603">
            <v>0</v>
          </cell>
          <cell r="T1603">
            <v>0</v>
          </cell>
        </row>
        <row r="1604">
          <cell r="A1604" t="str">
            <v/>
          </cell>
          <cell r="B1604" t="str">
            <v>TR160</v>
          </cell>
          <cell r="C1604" t="str">
            <v>X</v>
          </cell>
          <cell r="D1604">
            <v>0</v>
          </cell>
          <cell r="E1604" t="str">
            <v>T1.1414</v>
          </cell>
          <cell r="F1604" t="str">
            <v>Máy biến áp 22/0,4kV- 160kVA</v>
          </cell>
          <cell r="G1604" t="str">
            <v>máy</v>
          </cell>
          <cell r="H1604">
            <v>0</v>
          </cell>
          <cell r="I1604">
            <v>120043000</v>
          </cell>
          <cell r="K1604">
            <v>1282588</v>
          </cell>
          <cell r="L1604">
            <v>360605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S1604">
            <v>904</v>
          </cell>
          <cell r="T1604">
            <v>0</v>
          </cell>
        </row>
        <row r="1605">
          <cell r="A1605" t="str">
            <v/>
          </cell>
          <cell r="B1605" t="str">
            <v>FCO100</v>
          </cell>
          <cell r="C1605" t="str">
            <v>X</v>
          </cell>
          <cell r="D1605">
            <v>0</v>
          </cell>
          <cell r="E1605" t="str">
            <v>T2.3505</v>
          </cell>
          <cell r="F1605" t="str">
            <v>FCO 27kV - 100A</v>
          </cell>
          <cell r="G1605" t="str">
            <v>cái</v>
          </cell>
          <cell r="H1605">
            <v>0</v>
          </cell>
          <cell r="I1605">
            <v>1020000</v>
          </cell>
          <cell r="K1605">
            <v>189552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S1605">
            <v>1.5</v>
          </cell>
          <cell r="T1605">
            <v>0</v>
          </cell>
        </row>
        <row r="1606">
          <cell r="A1606" t="str">
            <v/>
          </cell>
          <cell r="B1606" t="str">
            <v>LA18</v>
          </cell>
          <cell r="C1606" t="str">
            <v>X</v>
          </cell>
          <cell r="D1606">
            <v>0</v>
          </cell>
          <cell r="E1606" t="str">
            <v>T2.5004</v>
          </cell>
          <cell r="F1606" t="str">
            <v>LA 18kV 10kA</v>
          </cell>
          <cell r="G1606" t="str">
            <v>cái</v>
          </cell>
          <cell r="H1606">
            <v>0</v>
          </cell>
          <cell r="I1606">
            <v>910000</v>
          </cell>
          <cell r="K1606">
            <v>71082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S1606">
            <v>0.8</v>
          </cell>
          <cell r="T1606">
            <v>0</v>
          </cell>
        </row>
        <row r="1607">
          <cell r="A1607" t="str">
            <v/>
          </cell>
          <cell r="B1607" t="str">
            <v>ATM320</v>
          </cell>
          <cell r="C1607" t="str">
            <v>X</v>
          </cell>
          <cell r="F1607" t="str">
            <v>MCCB 3 cực 600V - 320A - 42KA (200-320A)</v>
          </cell>
          <cell r="G1607" t="str">
            <v>cái</v>
          </cell>
          <cell r="H1607">
            <v>0</v>
          </cell>
          <cell r="I1607">
            <v>4690000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S1607">
            <v>3</v>
          </cell>
          <cell r="T1607">
            <v>0</v>
          </cell>
        </row>
        <row r="1608">
          <cell r="A1608" t="str">
            <v/>
          </cell>
          <cell r="B1608" t="str">
            <v>ATM200</v>
          </cell>
          <cell r="C1608" t="str">
            <v>X</v>
          </cell>
          <cell r="F1608" t="str">
            <v>MCCB 3 cực 400V - 200A - 35KA (125-200A) (Phân đoạn)</v>
          </cell>
          <cell r="G1608" t="str">
            <v>cái</v>
          </cell>
          <cell r="H1608">
            <v>0</v>
          </cell>
          <cell r="I1608">
            <v>2590000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S1608">
            <v>2</v>
          </cell>
          <cell r="T1608">
            <v>0</v>
          </cell>
        </row>
        <row r="1609">
          <cell r="A1609" t="str">
            <v/>
          </cell>
          <cell r="B1609" t="str">
            <v>TI250</v>
          </cell>
          <cell r="C1609" t="str">
            <v>X</v>
          </cell>
          <cell r="E1609">
            <v>0</v>
          </cell>
          <cell r="F1609" t="str">
            <v>Biến dòng 600V - 250/5A</v>
          </cell>
          <cell r="G1609" t="str">
            <v>cái</v>
          </cell>
          <cell r="H1609">
            <v>0</v>
          </cell>
          <cell r="I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S1609">
            <v>1</v>
          </cell>
          <cell r="T1609">
            <v>0</v>
          </cell>
        </row>
        <row r="1610">
          <cell r="A1610" t="str">
            <v/>
          </cell>
          <cell r="B1610" t="str">
            <v>DK3P</v>
          </cell>
          <cell r="C1610" t="str">
            <v>X</v>
          </cell>
          <cell r="D1610">
            <v>0</v>
          </cell>
          <cell r="E1610">
            <v>0</v>
          </cell>
          <cell r="F1610" t="str">
            <v>Điện năng kế 3 pha 380V-5A</v>
          </cell>
          <cell r="G1610" t="str">
            <v>cái</v>
          </cell>
          <cell r="H1610">
            <v>0</v>
          </cell>
          <cell r="I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S1610">
            <v>0</v>
          </cell>
          <cell r="T1610">
            <v>0</v>
          </cell>
        </row>
        <row r="1611">
          <cell r="A1611" t="str">
            <v>VLT3P160</v>
          </cell>
          <cell r="C1611" t="str">
            <v>X</v>
          </cell>
          <cell r="F1611" t="str">
            <v>B. PHẦN VẬT LIỆU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S1611">
            <v>0</v>
          </cell>
          <cell r="T1611">
            <v>0</v>
          </cell>
        </row>
        <row r="1612">
          <cell r="A1612" t="str">
            <v/>
          </cell>
          <cell r="C1612" t="str">
            <v>X</v>
          </cell>
          <cell r="D1612">
            <v>0</v>
          </cell>
          <cell r="F1612" t="str">
            <v>Vật liệu cách điện TBA và phụ kiện</v>
          </cell>
          <cell r="G1612" t="str">
            <v>Trụ</v>
          </cell>
          <cell r="H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S1612">
            <v>0</v>
          </cell>
          <cell r="T1612">
            <v>0</v>
          </cell>
        </row>
        <row r="1613">
          <cell r="A1613" t="str">
            <v/>
          </cell>
          <cell r="C1613" t="str">
            <v>X</v>
          </cell>
          <cell r="F1613" t="str">
            <v>Gồm có: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S1613">
            <v>0</v>
          </cell>
          <cell r="T1613">
            <v>0</v>
          </cell>
        </row>
        <row r="1614">
          <cell r="A1614" t="str">
            <v/>
          </cell>
          <cell r="B1614" t="str">
            <v>CHI6K</v>
          </cell>
          <cell r="C1614" t="str">
            <v>X</v>
          </cell>
          <cell r="D1614">
            <v>0</v>
          </cell>
          <cell r="E1614">
            <v>0</v>
          </cell>
          <cell r="F1614" t="str">
            <v>Dây chảy 6K</v>
          </cell>
          <cell r="G1614" t="str">
            <v>Sợi</v>
          </cell>
          <cell r="H1614">
            <v>0</v>
          </cell>
          <cell r="I1614">
            <v>84000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S1614">
            <v>0</v>
          </cell>
          <cell r="T1614">
            <v>0</v>
          </cell>
        </row>
        <row r="1615">
          <cell r="A1615" t="str">
            <v/>
          </cell>
          <cell r="B1615" t="str">
            <v>CHUPMBA</v>
          </cell>
          <cell r="C1615" t="str">
            <v>X</v>
          </cell>
          <cell r="E1615">
            <v>0</v>
          </cell>
          <cell r="F1615" t="str">
            <v>Chụp đầu cực MBA</v>
          </cell>
          <cell r="G1615" t="str">
            <v>cái</v>
          </cell>
          <cell r="H1615">
            <v>0</v>
          </cell>
          <cell r="I1615">
            <v>52000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S1615">
            <v>0</v>
          </cell>
          <cell r="T1615">
            <v>0</v>
          </cell>
        </row>
        <row r="1616">
          <cell r="A1616" t="str">
            <v/>
          </cell>
          <cell r="B1616" t="str">
            <v>CHUPFCO</v>
          </cell>
          <cell r="C1616" t="str">
            <v>X</v>
          </cell>
          <cell r="E1616">
            <v>0</v>
          </cell>
          <cell r="F1616" t="str">
            <v>Chụp đầu FCO (Trên + Dưới)</v>
          </cell>
          <cell r="G1616" t="str">
            <v>bộ</v>
          </cell>
          <cell r="H1616">
            <v>0</v>
          </cell>
          <cell r="I1616">
            <v>190000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S1616">
            <v>0</v>
          </cell>
          <cell r="T1616">
            <v>0</v>
          </cell>
        </row>
        <row r="1617">
          <cell r="A1617" t="str">
            <v/>
          </cell>
          <cell r="B1617" t="str">
            <v>CHUPLA</v>
          </cell>
          <cell r="C1617" t="str">
            <v>X</v>
          </cell>
          <cell r="E1617">
            <v>0</v>
          </cell>
          <cell r="F1617" t="str">
            <v>Chụp đầu LA</v>
          </cell>
          <cell r="G1617" t="str">
            <v>cái</v>
          </cell>
          <cell r="H1617">
            <v>0</v>
          </cell>
          <cell r="I1617">
            <v>32000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S1617">
            <v>0</v>
          </cell>
          <cell r="T1617">
            <v>0</v>
          </cell>
        </row>
        <row r="1618">
          <cell r="A1618" t="str">
            <v/>
          </cell>
          <cell r="C1618" t="str">
            <v>X</v>
          </cell>
          <cell r="D1618">
            <v>0</v>
          </cell>
          <cell r="F1618" t="str">
            <v>Trụ bê tông ly tâm 10,5m</v>
          </cell>
          <cell r="G1618" t="str">
            <v>Trụ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S1618">
            <v>0</v>
          </cell>
          <cell r="T1618">
            <v>0</v>
          </cell>
        </row>
        <row r="1619">
          <cell r="A1619" t="str">
            <v/>
          </cell>
          <cell r="C1619" t="str">
            <v>X</v>
          </cell>
          <cell r="F1619" t="str">
            <v>Gồm có: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S1619">
            <v>0</v>
          </cell>
          <cell r="T1619">
            <v>0</v>
          </cell>
        </row>
        <row r="1620">
          <cell r="A1620" t="str">
            <v/>
          </cell>
          <cell r="B1620" t="str">
            <v>T10</v>
          </cell>
          <cell r="C1620" t="str">
            <v>X</v>
          </cell>
          <cell r="E1620">
            <v>0</v>
          </cell>
          <cell r="F1620" t="str">
            <v>Trụ BTLT 10,5m F350 (hệ số K=2 dự ứng lực)</v>
          </cell>
          <cell r="G1620" t="str">
            <v>trụ</v>
          </cell>
          <cell r="I1620">
            <v>3454546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S1620">
            <v>700</v>
          </cell>
          <cell r="T1620">
            <v>0</v>
          </cell>
        </row>
        <row r="1621">
          <cell r="A1621" t="str">
            <v/>
          </cell>
          <cell r="B1621" t="str">
            <v>C10M</v>
          </cell>
          <cell r="C1621" t="str">
            <v>X</v>
          </cell>
          <cell r="E1621" t="str">
            <v>D2.5222</v>
          </cell>
          <cell r="F1621" t="str">
            <v>Dựng trụ BTLT &lt;=10m thủ công +cơ giới</v>
          </cell>
          <cell r="G1621" t="str">
            <v>trụ</v>
          </cell>
          <cell r="I1621">
            <v>0</v>
          </cell>
          <cell r="K1621">
            <v>469141</v>
          </cell>
          <cell r="L1621">
            <v>135772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S1621">
            <v>0</v>
          </cell>
          <cell r="T1621">
            <v>0</v>
          </cell>
        </row>
        <row r="1622">
          <cell r="A1622" t="str">
            <v/>
          </cell>
          <cell r="C1622" t="str">
            <v>X</v>
          </cell>
          <cell r="D1622">
            <v>0</v>
          </cell>
          <cell r="F1622" t="str">
            <v>Trụ bê tông ly tâm 12m</v>
          </cell>
          <cell r="G1622" t="str">
            <v>Trụ</v>
          </cell>
          <cell r="H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S1622">
            <v>0</v>
          </cell>
          <cell r="T1622">
            <v>0</v>
          </cell>
        </row>
        <row r="1623">
          <cell r="A1623" t="str">
            <v/>
          </cell>
          <cell r="C1623" t="str">
            <v>X</v>
          </cell>
          <cell r="F1623" t="str">
            <v>Gồm có: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S1623">
            <v>0</v>
          </cell>
          <cell r="T1623">
            <v>0</v>
          </cell>
        </row>
        <row r="1624">
          <cell r="A1624" t="str">
            <v/>
          </cell>
          <cell r="B1624" t="str">
            <v>T12</v>
          </cell>
          <cell r="C1624" t="str">
            <v>X</v>
          </cell>
          <cell r="E1624">
            <v>0</v>
          </cell>
          <cell r="F1624" t="str">
            <v>Trụ BTLT 12m F540 (hệ số K=2 dự ứng lực)</v>
          </cell>
          <cell r="G1624" t="str">
            <v>trụ</v>
          </cell>
          <cell r="H1624">
            <v>0</v>
          </cell>
          <cell r="I1624">
            <v>4427273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S1624">
            <v>1250</v>
          </cell>
          <cell r="T1624">
            <v>0</v>
          </cell>
        </row>
        <row r="1625">
          <cell r="A1625" t="str">
            <v/>
          </cell>
          <cell r="B1625" t="str">
            <v>C12TBA</v>
          </cell>
          <cell r="C1625" t="str">
            <v>X</v>
          </cell>
          <cell r="E1625" t="str">
            <v>T4.9103</v>
          </cell>
          <cell r="F1625" t="str">
            <v>Dựng trụ BTLT 12m trong TBA</v>
          </cell>
          <cell r="G1625" t="str">
            <v>trụ</v>
          </cell>
          <cell r="H1625">
            <v>0</v>
          </cell>
          <cell r="I1625">
            <v>0</v>
          </cell>
          <cell r="K1625">
            <v>837772</v>
          </cell>
          <cell r="L1625">
            <v>310336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S1625">
            <v>0</v>
          </cell>
          <cell r="T1625">
            <v>0</v>
          </cell>
        </row>
        <row r="1626">
          <cell r="A1626" t="str">
            <v/>
          </cell>
          <cell r="C1626" t="str">
            <v>X</v>
          </cell>
          <cell r="D1626">
            <v>0</v>
          </cell>
          <cell r="F1626" t="str">
            <v>Móng M10a</v>
          </cell>
          <cell r="G1626" t="str">
            <v>Móng</v>
          </cell>
          <cell r="H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S1626">
            <v>0</v>
          </cell>
          <cell r="T1626">
            <v>0</v>
          </cell>
        </row>
        <row r="1627">
          <cell r="A1627" t="str">
            <v/>
          </cell>
          <cell r="C1627" t="str">
            <v>X</v>
          </cell>
          <cell r="F1627" t="str">
            <v>Gồm có: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S1627">
            <v>0</v>
          </cell>
          <cell r="T1627">
            <v>0</v>
          </cell>
        </row>
        <row r="1628">
          <cell r="A1628" t="str">
            <v/>
          </cell>
          <cell r="B1628" t="str">
            <v>d12</v>
          </cell>
          <cell r="C1628" t="str">
            <v>X</v>
          </cell>
          <cell r="E1628" t="str">
            <v>AG.42111</v>
          </cell>
          <cell r="F1628" t="str">
            <v>Đà cản BTCT 1,2m</v>
          </cell>
          <cell r="G1628" t="str">
            <v>cái</v>
          </cell>
          <cell r="I1628">
            <v>318000</v>
          </cell>
          <cell r="K1628">
            <v>161119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S1628">
            <v>80</v>
          </cell>
          <cell r="T1628">
            <v>0</v>
          </cell>
        </row>
        <row r="1629">
          <cell r="A1629" t="str">
            <v/>
          </cell>
          <cell r="B1629" t="str">
            <v>B22550v</v>
          </cell>
          <cell r="C1629" t="str">
            <v>X</v>
          </cell>
          <cell r="E1629">
            <v>0</v>
          </cell>
          <cell r="F1629" t="str">
            <v>Boulon 22x550VRS + 2 long đền vuông D24-60x60x6/Zn</v>
          </cell>
          <cell r="G1629" t="str">
            <v>bộ</v>
          </cell>
          <cell r="I1629">
            <v>90000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S1629">
            <v>0.55000000000000004</v>
          </cell>
          <cell r="T1629">
            <v>0</v>
          </cell>
        </row>
        <row r="1630">
          <cell r="A1630" t="str">
            <v/>
          </cell>
          <cell r="B1630" t="str">
            <v>MDD3</v>
          </cell>
          <cell r="C1630" t="str">
            <v>X</v>
          </cell>
          <cell r="E1630" t="str">
            <v>AB.11423</v>
          </cell>
          <cell r="F1630" t="str">
            <v>Đào hố móng đất cấp 3 sâu &gt;1m</v>
          </cell>
          <cell r="G1630" t="str">
            <v>m3</v>
          </cell>
          <cell r="I1630">
            <v>0</v>
          </cell>
          <cell r="K1630">
            <v>418738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S1630">
            <v>0</v>
          </cell>
          <cell r="T1630">
            <v>0</v>
          </cell>
        </row>
        <row r="1631">
          <cell r="A1631" t="str">
            <v/>
          </cell>
          <cell r="B1631" t="str">
            <v>MDAP3</v>
          </cell>
          <cell r="C1631" t="str">
            <v>X</v>
          </cell>
          <cell r="E1631" t="str">
            <v>AB.13113</v>
          </cell>
          <cell r="F1631" t="str">
            <v>Đắp đất hố móng (K=0,95)</v>
          </cell>
          <cell r="G1631" t="str">
            <v>m3</v>
          </cell>
          <cell r="I1631">
            <v>0</v>
          </cell>
          <cell r="K1631">
            <v>125264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S1631">
            <v>0</v>
          </cell>
          <cell r="T1631">
            <v>0</v>
          </cell>
        </row>
        <row r="1632">
          <cell r="A1632" t="str">
            <v/>
          </cell>
          <cell r="C1632" t="str">
            <v>X</v>
          </cell>
          <cell r="D1632">
            <v>0</v>
          </cell>
          <cell r="F1632" t="str">
            <v>Móng M12a</v>
          </cell>
          <cell r="G1632" t="str">
            <v>Móng</v>
          </cell>
          <cell r="H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S1632">
            <v>0</v>
          </cell>
          <cell r="T1632">
            <v>0</v>
          </cell>
        </row>
        <row r="1633">
          <cell r="A1633" t="str">
            <v/>
          </cell>
          <cell r="C1633" t="str">
            <v>X</v>
          </cell>
          <cell r="F1633" t="str">
            <v>Gồm có: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S1633">
            <v>0</v>
          </cell>
          <cell r="T1633">
            <v>0</v>
          </cell>
        </row>
        <row r="1634">
          <cell r="A1634" t="str">
            <v/>
          </cell>
          <cell r="B1634" t="str">
            <v>d12</v>
          </cell>
          <cell r="C1634" t="str">
            <v>X</v>
          </cell>
          <cell r="E1634" t="str">
            <v>AG.42111</v>
          </cell>
          <cell r="F1634" t="str">
            <v>Đà cản BTCT 1,2m</v>
          </cell>
          <cell r="G1634" t="str">
            <v>cái</v>
          </cell>
          <cell r="I1634">
            <v>318000</v>
          </cell>
          <cell r="K1634">
            <v>161119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S1634">
            <v>80</v>
          </cell>
          <cell r="T1634">
            <v>0</v>
          </cell>
        </row>
        <row r="1635">
          <cell r="A1635" t="str">
            <v/>
          </cell>
          <cell r="B1635" t="str">
            <v>B22550v</v>
          </cell>
          <cell r="C1635" t="str">
            <v>X</v>
          </cell>
          <cell r="E1635">
            <v>0</v>
          </cell>
          <cell r="F1635" t="str">
            <v>Boulon 22x550VRS + 2 long đền vuông D24-60x60x6/Zn</v>
          </cell>
          <cell r="G1635" t="str">
            <v>bộ</v>
          </cell>
          <cell r="I1635">
            <v>90000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S1635">
            <v>0.55000000000000004</v>
          </cell>
          <cell r="T1635">
            <v>0</v>
          </cell>
        </row>
        <row r="1636">
          <cell r="A1636" t="str">
            <v/>
          </cell>
          <cell r="B1636" t="str">
            <v>MDD3</v>
          </cell>
          <cell r="C1636" t="str">
            <v>X</v>
          </cell>
          <cell r="E1636" t="str">
            <v>AB.11423</v>
          </cell>
          <cell r="F1636" t="str">
            <v>Đào hố móng đất cấp 3 sâu &gt;1m</v>
          </cell>
          <cell r="G1636" t="str">
            <v>m3</v>
          </cell>
          <cell r="I1636">
            <v>0</v>
          </cell>
          <cell r="K1636">
            <v>418738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S1636">
            <v>0</v>
          </cell>
          <cell r="T1636">
            <v>0</v>
          </cell>
        </row>
        <row r="1637">
          <cell r="A1637" t="str">
            <v/>
          </cell>
          <cell r="B1637" t="str">
            <v>MDAP3</v>
          </cell>
          <cell r="C1637" t="str">
            <v>X</v>
          </cell>
          <cell r="E1637" t="str">
            <v>AB.13113</v>
          </cell>
          <cell r="F1637" t="str">
            <v>Đắp đất hố móng (K=0,95)</v>
          </cell>
          <cell r="G1637" t="str">
            <v>m3</v>
          </cell>
          <cell r="I1637">
            <v>0</v>
          </cell>
          <cell r="K1637">
            <v>125264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S1637">
            <v>0</v>
          </cell>
          <cell r="T1637">
            <v>0</v>
          </cell>
        </row>
        <row r="1638">
          <cell r="A1638" t="str">
            <v/>
          </cell>
          <cell r="C1638" t="str">
            <v>X</v>
          </cell>
          <cell r="D1638">
            <v>0</v>
          </cell>
          <cell r="F1638" t="str">
            <v>Móng bê tông đơn trụ 12m</v>
          </cell>
          <cell r="G1638" t="str">
            <v>Móng</v>
          </cell>
          <cell r="H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S1638">
            <v>0</v>
          </cell>
          <cell r="T1638">
            <v>0</v>
          </cell>
        </row>
        <row r="1639">
          <cell r="A1639" t="str">
            <v/>
          </cell>
          <cell r="C1639" t="str">
            <v>X</v>
          </cell>
          <cell r="F1639" t="str">
            <v>Gồm có: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S1639">
            <v>0</v>
          </cell>
          <cell r="T1639">
            <v>0</v>
          </cell>
        </row>
        <row r="1640">
          <cell r="A1640" t="str">
            <v/>
          </cell>
          <cell r="B1640" t="str">
            <v>XM</v>
          </cell>
          <cell r="C1640" t="str">
            <v>X</v>
          </cell>
          <cell r="E1640">
            <v>0</v>
          </cell>
          <cell r="F1640" t="str">
            <v>Xi măng</v>
          </cell>
          <cell r="G1640" t="str">
            <v>kg</v>
          </cell>
          <cell r="H1640">
            <v>0</v>
          </cell>
          <cell r="J1640">
            <v>1740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S1640">
            <v>1</v>
          </cell>
          <cell r="T1640">
            <v>0</v>
          </cell>
        </row>
        <row r="1641">
          <cell r="A1641" t="str">
            <v/>
          </cell>
          <cell r="B1641" t="str">
            <v>CV</v>
          </cell>
          <cell r="C1641" t="str">
            <v>X</v>
          </cell>
          <cell r="E1641">
            <v>0</v>
          </cell>
          <cell r="F1641" t="str">
            <v>Cát vàng</v>
          </cell>
          <cell r="G1641" t="str">
            <v>m3</v>
          </cell>
          <cell r="H1641">
            <v>0</v>
          </cell>
          <cell r="J1641">
            <v>512000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S1641">
            <v>1500</v>
          </cell>
          <cell r="T1641">
            <v>0</v>
          </cell>
        </row>
        <row r="1642">
          <cell r="A1642" t="str">
            <v/>
          </cell>
          <cell r="B1642" t="str">
            <v>D1X2</v>
          </cell>
          <cell r="C1642" t="str">
            <v>X</v>
          </cell>
          <cell r="E1642">
            <v>0</v>
          </cell>
          <cell r="F1642" t="str">
            <v>Đá 1x2</v>
          </cell>
          <cell r="G1642" t="str">
            <v>m3</v>
          </cell>
          <cell r="H1642">
            <v>0</v>
          </cell>
          <cell r="J1642">
            <v>335000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S1642">
            <v>1500</v>
          </cell>
          <cell r="T1642">
            <v>0</v>
          </cell>
        </row>
        <row r="1643">
          <cell r="A1643" t="str">
            <v/>
          </cell>
          <cell r="B1643" t="str">
            <v>MDD31</v>
          </cell>
          <cell r="C1643" t="str">
            <v>X</v>
          </cell>
          <cell r="E1643" t="str">
            <v>AB.11413</v>
          </cell>
          <cell r="F1643" t="str">
            <v>Đào hố móng đất cấp 3 sâu &lt;=1m (ĐC hệ số 0,934)</v>
          </cell>
          <cell r="G1643" t="str">
            <v>m3</v>
          </cell>
          <cell r="H1643">
            <v>0</v>
          </cell>
          <cell r="I1643">
            <v>0</v>
          </cell>
          <cell r="K1643">
            <v>364027</v>
          </cell>
          <cell r="L1643">
            <v>0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S1643">
            <v>0</v>
          </cell>
          <cell r="T1643">
            <v>0</v>
          </cell>
        </row>
        <row r="1644">
          <cell r="A1644" t="str">
            <v/>
          </cell>
          <cell r="B1644" t="str">
            <v>MDAP3</v>
          </cell>
          <cell r="C1644" t="str">
            <v>X</v>
          </cell>
          <cell r="E1644" t="str">
            <v>AB.13113</v>
          </cell>
          <cell r="F1644" t="str">
            <v>Đắp đất hố móng (K=0,95) (ĐC hệ số 0,934)</v>
          </cell>
          <cell r="G1644" t="str">
            <v>m3</v>
          </cell>
          <cell r="H1644">
            <v>0</v>
          </cell>
          <cell r="I1644">
            <v>0</v>
          </cell>
          <cell r="K1644">
            <v>134116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S1644">
            <v>0</v>
          </cell>
          <cell r="T1644">
            <v>0</v>
          </cell>
        </row>
        <row r="1645">
          <cell r="A1645" t="str">
            <v/>
          </cell>
          <cell r="B1645" t="str">
            <v>DBT20012</v>
          </cell>
          <cell r="C1645" t="str">
            <v>X</v>
          </cell>
          <cell r="E1645" t="str">
            <v>AF.11210</v>
          </cell>
          <cell r="F1645" t="str">
            <v>Đổ bê tông mác M200 đá 1x2 (ĐC hệ số 0,934)</v>
          </cell>
          <cell r="G1645" t="str">
            <v>m3</v>
          </cell>
          <cell r="H1645">
            <v>0</v>
          </cell>
          <cell r="I1645">
            <v>0</v>
          </cell>
          <cell r="K1645">
            <v>314213</v>
          </cell>
          <cell r="L1645">
            <v>44701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S1645">
            <v>0</v>
          </cell>
          <cell r="T1645">
            <v>0</v>
          </cell>
        </row>
        <row r="1646">
          <cell r="A1646" t="str">
            <v/>
          </cell>
          <cell r="C1646" t="str">
            <v>X</v>
          </cell>
          <cell r="D1646">
            <v>0</v>
          </cell>
          <cell r="F1646" t="str">
            <v>Đà đặt MBA</v>
          </cell>
          <cell r="G1646" t="str">
            <v>Bộ</v>
          </cell>
          <cell r="H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S1646">
            <v>0</v>
          </cell>
          <cell r="T1646">
            <v>0</v>
          </cell>
        </row>
        <row r="1647">
          <cell r="A1647" t="str">
            <v/>
          </cell>
          <cell r="C1647" t="str">
            <v>X</v>
          </cell>
          <cell r="F1647" t="str">
            <v>Gồm có: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S1647">
            <v>0</v>
          </cell>
          <cell r="T1647">
            <v>0</v>
          </cell>
        </row>
        <row r="1648">
          <cell r="A1648" t="str">
            <v/>
          </cell>
          <cell r="B1648" t="str">
            <v>U20-280</v>
          </cell>
          <cell r="C1648" t="str">
            <v>X</v>
          </cell>
          <cell r="E1648">
            <v>0</v>
          </cell>
          <cell r="F1648" t="str">
            <v>Đà U200x76x5,2x2800 đỡ MBA (54,25 kg/cái)</v>
          </cell>
          <cell r="G1648" t="str">
            <v>cái</v>
          </cell>
          <cell r="H1648">
            <v>0</v>
          </cell>
          <cell r="I1648">
            <v>1579326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S1648">
            <v>54.25</v>
          </cell>
          <cell r="T1648">
            <v>0</v>
          </cell>
        </row>
        <row r="1649">
          <cell r="A1649" t="str">
            <v/>
          </cell>
          <cell r="B1649" t="str">
            <v>U1004</v>
          </cell>
          <cell r="C1649" t="str">
            <v>X</v>
          </cell>
          <cell r="E1649">
            <v>0</v>
          </cell>
          <cell r="F1649" t="str">
            <v>Đà U100x46x4,5x400 (3,436 kg/cái)</v>
          </cell>
          <cell r="G1649" t="str">
            <v>cái</v>
          </cell>
          <cell r="H1649">
            <v>0</v>
          </cell>
          <cell r="I1649">
            <v>100028.83199999999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S1649">
            <v>3.4359999999999999</v>
          </cell>
          <cell r="T1649">
            <v>0</v>
          </cell>
        </row>
        <row r="1650">
          <cell r="A1650" t="str">
            <v/>
          </cell>
          <cell r="B1650" t="str">
            <v>U1008</v>
          </cell>
          <cell r="C1650" t="str">
            <v>X</v>
          </cell>
          <cell r="E1650">
            <v>0</v>
          </cell>
          <cell r="F1650" t="str">
            <v>Đà U100x46x4,5x800 (6,872 kg/cái)</v>
          </cell>
          <cell r="G1650" t="str">
            <v>cái</v>
          </cell>
          <cell r="H1650">
            <v>0</v>
          </cell>
          <cell r="I1650">
            <v>200057.66399999999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S1650">
            <v>6.8719999999999999</v>
          </cell>
          <cell r="T1650">
            <v>0</v>
          </cell>
        </row>
        <row r="1651">
          <cell r="A1651" t="str">
            <v/>
          </cell>
          <cell r="B1651" t="str">
            <v>B16350V</v>
          </cell>
          <cell r="C1651" t="str">
            <v>X</v>
          </cell>
          <cell r="E1651">
            <v>0</v>
          </cell>
          <cell r="F1651" t="str">
            <v>Boulon 16x350VRS+ 4 long đền vuông D18-50x50x3/Zn</v>
          </cell>
          <cell r="G1651" t="str">
            <v>bộ</v>
          </cell>
          <cell r="H1651">
            <v>0</v>
          </cell>
          <cell r="I1651">
            <v>42000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S1651">
            <v>0.35</v>
          </cell>
          <cell r="T1651">
            <v>0</v>
          </cell>
        </row>
        <row r="1652">
          <cell r="A1652" t="str">
            <v/>
          </cell>
          <cell r="B1652" t="str">
            <v>B16400</v>
          </cell>
          <cell r="C1652" t="str">
            <v>X</v>
          </cell>
          <cell r="E1652">
            <v>0</v>
          </cell>
          <cell r="F1652" t="str">
            <v>Boulon 16x400+ 2 long đền vuông D18-50x50x3/Zn</v>
          </cell>
          <cell r="G1652" t="str">
            <v>bộ</v>
          </cell>
          <cell r="I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S1652">
            <v>0.33</v>
          </cell>
          <cell r="T1652">
            <v>0</v>
          </cell>
        </row>
        <row r="1653">
          <cell r="A1653" t="str">
            <v/>
          </cell>
          <cell r="B1653" t="str">
            <v>B16350</v>
          </cell>
          <cell r="C1653" t="str">
            <v>X</v>
          </cell>
          <cell r="E1653">
            <v>0</v>
          </cell>
          <cell r="F1653" t="str">
            <v>Boulon 16x350+ 2 long đền vuông D18-50x50x3/Zn</v>
          </cell>
          <cell r="G1653" t="str">
            <v>bộ</v>
          </cell>
          <cell r="H1653">
            <v>0</v>
          </cell>
          <cell r="I1653">
            <v>32500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S1653">
            <v>0.3</v>
          </cell>
          <cell r="T1653">
            <v>0</v>
          </cell>
        </row>
        <row r="1654">
          <cell r="A1654" t="str">
            <v/>
          </cell>
          <cell r="B1654" t="str">
            <v>bmoc16250</v>
          </cell>
          <cell r="C1654" t="str">
            <v>X</v>
          </cell>
          <cell r="E1654">
            <v>0</v>
          </cell>
          <cell r="F1654" t="str">
            <v>Boulon móc 16x250+ long đền vuông D18-50x50x3/Zn</v>
          </cell>
          <cell r="G1654" t="str">
            <v>bộ</v>
          </cell>
          <cell r="H1654">
            <v>0</v>
          </cell>
          <cell r="I1654">
            <v>34500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S1654">
            <v>0.25</v>
          </cell>
          <cell r="T1654">
            <v>0</v>
          </cell>
        </row>
        <row r="1655">
          <cell r="A1655" t="str">
            <v/>
          </cell>
          <cell r="B1655" t="str">
            <v>LXTBAG</v>
          </cell>
          <cell r="C1655" t="str">
            <v>X</v>
          </cell>
          <cell r="E1655" t="str">
            <v>T4.8002</v>
          </cell>
          <cell r="F1655" t="str">
            <v>Lắp bộ đà trạm giàn (S&lt;560kVA) - 145,98kg/bộ</v>
          </cell>
          <cell r="G1655" t="str">
            <v>bộ</v>
          </cell>
          <cell r="H1655">
            <v>0</v>
          </cell>
          <cell r="I1655">
            <v>0</v>
          </cell>
          <cell r="K1655">
            <v>350727.46055999998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S1655">
            <v>145.97999999999999</v>
          </cell>
          <cell r="T1655">
            <v>0</v>
          </cell>
        </row>
        <row r="1656">
          <cell r="A1656" t="str">
            <v/>
          </cell>
          <cell r="C1656" t="str">
            <v>X</v>
          </cell>
          <cell r="D1656">
            <v>0</v>
          </cell>
          <cell r="F1656" t="str">
            <v>Xà đơn L75x75x8x2100 (3 ốp) - Xuân Đông 2A</v>
          </cell>
          <cell r="G1656" t="str">
            <v>Bộ</v>
          </cell>
          <cell r="H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S1656">
            <v>0</v>
          </cell>
          <cell r="T1656">
            <v>0</v>
          </cell>
        </row>
        <row r="1657">
          <cell r="A1657" t="str">
            <v/>
          </cell>
          <cell r="C1657" t="str">
            <v>X</v>
          </cell>
          <cell r="F1657" t="str">
            <v>Gồm có: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S1657">
            <v>0</v>
          </cell>
          <cell r="T1657">
            <v>0</v>
          </cell>
        </row>
        <row r="1658">
          <cell r="A1658" t="str">
            <v/>
          </cell>
          <cell r="B1658" t="str">
            <v>D2100</v>
          </cell>
          <cell r="C1658" t="str">
            <v>X</v>
          </cell>
          <cell r="E1658">
            <v>0</v>
          </cell>
          <cell r="F1658" t="str">
            <v>Đà sắt L75x75x8-2100 - 3 ốp (Lệch 100%)</v>
          </cell>
          <cell r="G1658" t="str">
            <v>cái</v>
          </cell>
          <cell r="H1658">
            <v>0</v>
          </cell>
          <cell r="I1658">
            <v>431000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S1658">
            <v>25</v>
          </cell>
          <cell r="T1658">
            <v>0</v>
          </cell>
        </row>
        <row r="1659">
          <cell r="A1659" t="str">
            <v/>
          </cell>
          <cell r="B1659" t="str">
            <v>C1990</v>
          </cell>
          <cell r="C1659" t="str">
            <v>X</v>
          </cell>
          <cell r="E1659">
            <v>0</v>
          </cell>
          <cell r="F1659" t="str">
            <v>Thanh chống L50x50x5-1990</v>
          </cell>
          <cell r="G1659" t="str">
            <v>cái</v>
          </cell>
          <cell r="H1659">
            <v>0</v>
          </cell>
          <cell r="I1659">
            <v>180000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S1659">
            <v>7.5</v>
          </cell>
          <cell r="T1659">
            <v>0</v>
          </cell>
        </row>
        <row r="1660">
          <cell r="A1660" t="str">
            <v/>
          </cell>
          <cell r="B1660" t="str">
            <v>B1650</v>
          </cell>
          <cell r="C1660" t="str">
            <v>X</v>
          </cell>
          <cell r="E1660">
            <v>0</v>
          </cell>
          <cell r="F1660" t="str">
            <v>Boulon 16x50+ 2 long đền vuông D18-50x50x3/Zn</v>
          </cell>
          <cell r="G1660" t="str">
            <v>bộ</v>
          </cell>
          <cell r="H1660">
            <v>0</v>
          </cell>
          <cell r="I1660">
            <v>17000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S1660">
            <v>0.25</v>
          </cell>
          <cell r="T1660">
            <v>0</v>
          </cell>
        </row>
        <row r="1661">
          <cell r="A1661" t="str">
            <v/>
          </cell>
          <cell r="B1661" t="str">
            <v>B16250</v>
          </cell>
          <cell r="C1661" t="str">
            <v>X</v>
          </cell>
          <cell r="E1661">
            <v>0</v>
          </cell>
          <cell r="F1661" t="str">
            <v>Boulon 16x250+ 2 long đền vuông D18-50x50x3/Zn</v>
          </cell>
          <cell r="G1661" t="str">
            <v>bộ</v>
          </cell>
          <cell r="H1661">
            <v>0</v>
          </cell>
          <cell r="I1661">
            <v>28000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S1661">
            <v>0.23</v>
          </cell>
          <cell r="T1661">
            <v>0</v>
          </cell>
        </row>
        <row r="1662">
          <cell r="A1662" t="str">
            <v/>
          </cell>
          <cell r="B1662" t="str">
            <v>SD</v>
          </cell>
          <cell r="C1662" t="str">
            <v>X</v>
          </cell>
          <cell r="E1662" t="str">
            <v>D3.1115</v>
          </cell>
          <cell r="F1662" t="str">
            <v>Sứ đứng 24KV, đường rò 540mm (bọc chì)</v>
          </cell>
          <cell r="G1662" t="str">
            <v>cái</v>
          </cell>
          <cell r="H1662">
            <v>0</v>
          </cell>
          <cell r="I1662">
            <v>185000</v>
          </cell>
          <cell r="K1662">
            <v>49616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S1662">
            <v>4</v>
          </cell>
          <cell r="T1662">
            <v>0</v>
          </cell>
        </row>
        <row r="1663">
          <cell r="A1663" t="str">
            <v/>
          </cell>
          <cell r="B1663" t="str">
            <v>CSD</v>
          </cell>
          <cell r="C1663" t="str">
            <v>X</v>
          </cell>
          <cell r="E1663">
            <v>0</v>
          </cell>
          <cell r="F1663" t="str">
            <v>Chân sứ đứng 24kV bọc chì</v>
          </cell>
          <cell r="G1663" t="str">
            <v>cái</v>
          </cell>
          <cell r="H1663">
            <v>0</v>
          </cell>
          <cell r="I1663">
            <v>68000</v>
          </cell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S1663">
            <v>3</v>
          </cell>
          <cell r="T1663">
            <v>0</v>
          </cell>
        </row>
        <row r="1664">
          <cell r="A1664" t="str">
            <v/>
          </cell>
          <cell r="B1664" t="str">
            <v>LSDTBA</v>
          </cell>
          <cell r="C1664" t="str">
            <v>X</v>
          </cell>
          <cell r="E1664" t="str">
            <v>T4.2201</v>
          </cell>
          <cell r="F1664" t="str">
            <v>Lắp sứ đứng 24KV trong TBA</v>
          </cell>
          <cell r="G1664" t="str">
            <v>bộ</v>
          </cell>
          <cell r="H1664">
            <v>0</v>
          </cell>
          <cell r="I1664">
            <v>0</v>
          </cell>
          <cell r="K1664">
            <v>54496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S1664">
            <v>0</v>
          </cell>
          <cell r="T1664">
            <v>0</v>
          </cell>
        </row>
        <row r="1665">
          <cell r="A1665" t="str">
            <v/>
          </cell>
          <cell r="B1665" t="str">
            <v>LX2100D</v>
          </cell>
          <cell r="C1665" t="str">
            <v>X</v>
          </cell>
          <cell r="E1665" t="str">
            <v>D2.6021d</v>
          </cell>
          <cell r="F1665" t="str">
            <v>Lắp đặt xà thép L75x75x8x2100 đơn cột đỡ (29,4245 kg/bộ)</v>
          </cell>
          <cell r="G1665" t="str">
            <v>bộ</v>
          </cell>
          <cell r="H1665">
            <v>0</v>
          </cell>
          <cell r="I1665">
            <v>0</v>
          </cell>
          <cell r="K1665">
            <v>297271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S1665">
            <v>0</v>
          </cell>
          <cell r="T1665">
            <v>0</v>
          </cell>
        </row>
        <row r="1666">
          <cell r="A1666" t="str">
            <v/>
          </cell>
          <cell r="C1666" t="str">
            <v>X</v>
          </cell>
          <cell r="D1666">
            <v>0</v>
          </cell>
          <cell r="F1666" t="str">
            <v>Xà đơn L75x75x8x1660 (2 ốp) - Sông Ray 9B</v>
          </cell>
          <cell r="G1666" t="str">
            <v>Bộ</v>
          </cell>
          <cell r="H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S1666">
            <v>0</v>
          </cell>
          <cell r="T1666">
            <v>0</v>
          </cell>
        </row>
        <row r="1667">
          <cell r="A1667" t="str">
            <v/>
          </cell>
          <cell r="C1667" t="str">
            <v>X</v>
          </cell>
          <cell r="F1667" t="str">
            <v>Gồm có: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S1667">
            <v>0</v>
          </cell>
          <cell r="T1667">
            <v>0</v>
          </cell>
        </row>
        <row r="1668">
          <cell r="A1668" t="str">
            <v/>
          </cell>
          <cell r="B1668" t="str">
            <v>D1660</v>
          </cell>
          <cell r="C1668" t="str">
            <v>X</v>
          </cell>
          <cell r="E1668">
            <v>0</v>
          </cell>
          <cell r="F1668" t="str">
            <v>Đà sắt L75x75x8-1660 - 2 ốp</v>
          </cell>
          <cell r="G1668" t="str">
            <v>cái</v>
          </cell>
          <cell r="H1668">
            <v>0</v>
          </cell>
          <cell r="I1668">
            <v>334000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S1668">
            <v>23</v>
          </cell>
          <cell r="T1668">
            <v>0</v>
          </cell>
        </row>
        <row r="1669">
          <cell r="A1669" t="str">
            <v/>
          </cell>
          <cell r="B1669" t="str">
            <v>C810</v>
          </cell>
          <cell r="C1669" t="str">
            <v>X</v>
          </cell>
          <cell r="E1669">
            <v>0</v>
          </cell>
          <cell r="F1669" t="str">
            <v>Thanh chống L50x50x5-810</v>
          </cell>
          <cell r="G1669" t="str">
            <v>cái</v>
          </cell>
          <cell r="H1669">
            <v>0</v>
          </cell>
          <cell r="I1669">
            <v>70000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S1669">
            <v>3.5</v>
          </cell>
          <cell r="T1669">
            <v>0</v>
          </cell>
        </row>
        <row r="1670">
          <cell r="A1670" t="str">
            <v/>
          </cell>
          <cell r="B1670" t="str">
            <v>B1650</v>
          </cell>
          <cell r="C1670" t="str">
            <v>X</v>
          </cell>
          <cell r="E1670">
            <v>0</v>
          </cell>
          <cell r="F1670" t="str">
            <v>Boulon 16x50+ 2 long đền vuông D18-50x50x3/Zn</v>
          </cell>
          <cell r="G1670" t="str">
            <v>bộ</v>
          </cell>
          <cell r="H1670">
            <v>0</v>
          </cell>
          <cell r="I1670">
            <v>17000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S1670">
            <v>0.25</v>
          </cell>
          <cell r="T1670">
            <v>0</v>
          </cell>
        </row>
        <row r="1671">
          <cell r="A1671" t="str">
            <v/>
          </cell>
          <cell r="B1671" t="str">
            <v>B16250</v>
          </cell>
          <cell r="C1671" t="str">
            <v>X</v>
          </cell>
          <cell r="E1671">
            <v>0</v>
          </cell>
          <cell r="F1671" t="str">
            <v>Boulon 16x250+ 2 long đền vuông D18-50x50x3/Zn</v>
          </cell>
          <cell r="G1671" t="str">
            <v>bộ</v>
          </cell>
          <cell r="H1671">
            <v>0</v>
          </cell>
          <cell r="I1671">
            <v>28000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S1671">
            <v>0.23</v>
          </cell>
          <cell r="T1671">
            <v>0</v>
          </cell>
        </row>
        <row r="1672">
          <cell r="A1672" t="str">
            <v/>
          </cell>
          <cell r="B1672" t="str">
            <v>SD</v>
          </cell>
          <cell r="C1672" t="str">
            <v>X</v>
          </cell>
          <cell r="E1672" t="str">
            <v>D3.1115</v>
          </cell>
          <cell r="F1672" t="str">
            <v>Sứ đứng 24KV, đường rò 540mm (bọc chì)</v>
          </cell>
          <cell r="G1672" t="str">
            <v>cái</v>
          </cell>
          <cell r="H1672">
            <v>0</v>
          </cell>
          <cell r="I1672">
            <v>185000</v>
          </cell>
          <cell r="K1672">
            <v>49616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S1672">
            <v>4</v>
          </cell>
          <cell r="T1672">
            <v>0</v>
          </cell>
        </row>
        <row r="1673">
          <cell r="A1673" t="str">
            <v/>
          </cell>
          <cell r="B1673" t="str">
            <v>CSD</v>
          </cell>
          <cell r="C1673" t="str">
            <v>X</v>
          </cell>
          <cell r="E1673">
            <v>0</v>
          </cell>
          <cell r="F1673" t="str">
            <v>Chân sứ đứng 24kV bọc chì</v>
          </cell>
          <cell r="G1673" t="str">
            <v>cái</v>
          </cell>
          <cell r="H1673">
            <v>0</v>
          </cell>
          <cell r="I1673">
            <v>68000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S1673">
            <v>3</v>
          </cell>
          <cell r="T1673">
            <v>0</v>
          </cell>
        </row>
        <row r="1674">
          <cell r="A1674" t="str">
            <v/>
          </cell>
          <cell r="B1674" t="str">
            <v>CSDI</v>
          </cell>
          <cell r="C1674" t="str">
            <v>X</v>
          </cell>
          <cell r="E1674">
            <v>0</v>
          </cell>
          <cell r="F1674" t="str">
            <v xml:space="preserve">Chân sứ đỉnh thẳng dài 870 dày 4mm bọc chì </v>
          </cell>
          <cell r="G1674" t="str">
            <v>cái</v>
          </cell>
          <cell r="H1674">
            <v>0</v>
          </cell>
          <cell r="I1674">
            <v>130000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S1674">
            <v>5</v>
          </cell>
          <cell r="T1674">
            <v>0</v>
          </cell>
        </row>
        <row r="1675">
          <cell r="A1675" t="str">
            <v/>
          </cell>
          <cell r="B1675" t="str">
            <v>LSDTBA</v>
          </cell>
          <cell r="C1675" t="str">
            <v>X</v>
          </cell>
          <cell r="E1675" t="str">
            <v>T4.2201</v>
          </cell>
          <cell r="F1675" t="str">
            <v>Lắp sứ đứng 24KV trong TBA</v>
          </cell>
          <cell r="G1675" t="str">
            <v>bộ</v>
          </cell>
          <cell r="H1675">
            <v>0</v>
          </cell>
          <cell r="I1675">
            <v>0</v>
          </cell>
          <cell r="K1675">
            <v>54496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S1675">
            <v>0</v>
          </cell>
          <cell r="T1675">
            <v>0</v>
          </cell>
        </row>
        <row r="1676">
          <cell r="A1676" t="str">
            <v/>
          </cell>
          <cell r="B1676" t="str">
            <v>LX2100D</v>
          </cell>
          <cell r="C1676" t="str">
            <v>X</v>
          </cell>
          <cell r="E1676" t="str">
            <v>D2.6021d</v>
          </cell>
          <cell r="F1676" t="str">
            <v>Lắp đặt xà thép L75x75x8x2100 đơn cột đỡ (29,4245 kg/bộ)</v>
          </cell>
          <cell r="G1676" t="str">
            <v>bộ</v>
          </cell>
          <cell r="H1676">
            <v>0</v>
          </cell>
          <cell r="I1676">
            <v>0</v>
          </cell>
          <cell r="K1676">
            <v>297271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S1676">
            <v>0</v>
          </cell>
          <cell r="T1676">
            <v>0</v>
          </cell>
        </row>
        <row r="1677">
          <cell r="A1677" t="str">
            <v/>
          </cell>
          <cell r="C1677" t="str">
            <v>X</v>
          </cell>
          <cell r="D1677">
            <v>0</v>
          </cell>
          <cell r="F1677" t="str">
            <v>Xà hộp Composite đơn 110x80x5-2600</v>
          </cell>
          <cell r="G1677" t="str">
            <v>Bộ</v>
          </cell>
          <cell r="H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S1677">
            <v>0</v>
          </cell>
          <cell r="T1677">
            <v>0</v>
          </cell>
        </row>
        <row r="1678">
          <cell r="A1678" t="str">
            <v/>
          </cell>
          <cell r="C1678" t="str">
            <v>X</v>
          </cell>
          <cell r="F1678" t="str">
            <v>Gồm có: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S1678">
            <v>0</v>
          </cell>
          <cell r="T1678">
            <v>0</v>
          </cell>
        </row>
        <row r="1679">
          <cell r="A1679" t="str">
            <v/>
          </cell>
          <cell r="B1679" t="str">
            <v>com2600</v>
          </cell>
          <cell r="C1679" t="str">
            <v>X</v>
          </cell>
          <cell r="E1679">
            <v>0</v>
          </cell>
          <cell r="F1679" t="str">
            <v>Đà hộp composite 110x80x5-2600</v>
          </cell>
          <cell r="G1679" t="str">
            <v>cái</v>
          </cell>
          <cell r="H1679">
            <v>0</v>
          </cell>
          <cell r="I1679">
            <v>1191666.6666666667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S1679">
            <v>10.199999999999999</v>
          </cell>
          <cell r="T1679">
            <v>0</v>
          </cell>
        </row>
        <row r="1680">
          <cell r="A1680" t="str">
            <v/>
          </cell>
          <cell r="B1680" t="str">
            <v>B16350</v>
          </cell>
          <cell r="C1680" t="str">
            <v>X</v>
          </cell>
          <cell r="E1680">
            <v>0</v>
          </cell>
          <cell r="F1680" t="str">
            <v>Boulon 16x350+ 2 long đền vuông D18-50x50x3/Zn</v>
          </cell>
          <cell r="G1680" t="str">
            <v>bộ</v>
          </cell>
          <cell r="H1680">
            <v>0</v>
          </cell>
          <cell r="I1680">
            <v>32500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S1680">
            <v>0.3</v>
          </cell>
          <cell r="T1680">
            <v>0</v>
          </cell>
        </row>
        <row r="1681">
          <cell r="A1681" t="str">
            <v/>
          </cell>
          <cell r="B1681" t="str">
            <v>BATLL</v>
          </cell>
          <cell r="C1681" t="str">
            <v>X</v>
          </cell>
          <cell r="E1681">
            <v>0</v>
          </cell>
          <cell r="F1681" t="str">
            <v>Bass LL bắt FCO và LA</v>
          </cell>
          <cell r="G1681" t="str">
            <v>bộ</v>
          </cell>
          <cell r="H1681">
            <v>0</v>
          </cell>
          <cell r="I1681">
            <v>65000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S1681">
            <v>0.5</v>
          </cell>
          <cell r="T1681">
            <v>0</v>
          </cell>
        </row>
        <row r="1682">
          <cell r="A1682" t="str">
            <v/>
          </cell>
          <cell r="B1682" t="str">
            <v>lcom2600</v>
          </cell>
          <cell r="C1682" t="str">
            <v>X</v>
          </cell>
          <cell r="E1682" t="str">
            <v>D2.6011</v>
          </cell>
          <cell r="F1682" t="str">
            <v>Lắp đà composite 2600mm đơn</v>
          </cell>
          <cell r="G1682" t="str">
            <v>bộ</v>
          </cell>
          <cell r="H1682">
            <v>0</v>
          </cell>
          <cell r="I1682">
            <v>0</v>
          </cell>
          <cell r="K1682">
            <v>167950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S1682">
            <v>0</v>
          </cell>
          <cell r="T1682">
            <v>0</v>
          </cell>
        </row>
        <row r="1683">
          <cell r="A1683" t="str">
            <v/>
          </cell>
          <cell r="C1683" t="str">
            <v>X</v>
          </cell>
          <cell r="D1683">
            <v>0</v>
          </cell>
          <cell r="F1683" t="str">
            <v>Xà đơn L75x75x8x2600 (3 ốp)</v>
          </cell>
          <cell r="G1683" t="str">
            <v>Bộ</v>
          </cell>
          <cell r="H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S1683">
            <v>0</v>
          </cell>
          <cell r="T1683">
            <v>0</v>
          </cell>
        </row>
        <row r="1684">
          <cell r="A1684" t="str">
            <v/>
          </cell>
          <cell r="C1684" t="str">
            <v>X</v>
          </cell>
          <cell r="F1684" t="str">
            <v>Gồm có: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S1684">
            <v>0</v>
          </cell>
          <cell r="T1684">
            <v>0</v>
          </cell>
        </row>
        <row r="1685">
          <cell r="A1685" t="str">
            <v/>
          </cell>
          <cell r="B1685" t="str">
            <v>D2600</v>
          </cell>
          <cell r="C1685" t="str">
            <v>X</v>
          </cell>
          <cell r="E1685">
            <v>0</v>
          </cell>
          <cell r="F1685" t="str">
            <v>Đà sắt L75x75x8-2600 - 3 ốp</v>
          </cell>
          <cell r="G1685" t="str">
            <v>cái</v>
          </cell>
          <cell r="H1685">
            <v>0</v>
          </cell>
          <cell r="I1685">
            <v>521000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S1685">
            <v>26</v>
          </cell>
          <cell r="T1685">
            <v>0</v>
          </cell>
        </row>
        <row r="1686">
          <cell r="A1686" t="str">
            <v/>
          </cell>
          <cell r="B1686" t="str">
            <v>B16300</v>
          </cell>
          <cell r="C1686" t="str">
            <v>X</v>
          </cell>
          <cell r="E1686">
            <v>0</v>
          </cell>
          <cell r="F1686" t="str">
            <v>Boulon 16x300+ 2 long đền vuông D18-50x50x3/Zn</v>
          </cell>
          <cell r="G1686" t="str">
            <v>bộ</v>
          </cell>
          <cell r="H1686">
            <v>0</v>
          </cell>
          <cell r="I1686">
            <v>30000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S1686">
            <v>0.25</v>
          </cell>
          <cell r="T1686">
            <v>0</v>
          </cell>
        </row>
        <row r="1687">
          <cell r="A1687" t="str">
            <v/>
          </cell>
          <cell r="B1687" t="str">
            <v>LXHN1</v>
          </cell>
          <cell r="C1687" t="str">
            <v>X</v>
          </cell>
          <cell r="E1687" t="str">
            <v>05.6044</v>
          </cell>
          <cell r="F1687" t="str">
            <v>Lắp xà cột Pi loại ≤140kg/xà</v>
          </cell>
          <cell r="G1687" t="str">
            <v>bộ</v>
          </cell>
          <cell r="H1687">
            <v>0</v>
          </cell>
          <cell r="I1687">
            <v>0</v>
          </cell>
          <cell r="K1687">
            <v>511533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S1687">
            <v>0</v>
          </cell>
          <cell r="T1687">
            <v>0</v>
          </cell>
        </row>
        <row r="1688">
          <cell r="A1688" t="str">
            <v/>
          </cell>
          <cell r="C1688" t="str">
            <v>X</v>
          </cell>
          <cell r="D1688">
            <v>0</v>
          </cell>
          <cell r="F1688" t="str">
            <v>Xà đơn L75x75x8x2600 (0 ốp) đỡ thùng CB</v>
          </cell>
          <cell r="G1688" t="str">
            <v>Bộ</v>
          </cell>
          <cell r="H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S1688">
            <v>0</v>
          </cell>
          <cell r="T1688">
            <v>0</v>
          </cell>
        </row>
        <row r="1689">
          <cell r="A1689" t="str">
            <v/>
          </cell>
          <cell r="C1689" t="str">
            <v>X</v>
          </cell>
          <cell r="F1689" t="str">
            <v>Gồm có: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S1689">
            <v>0</v>
          </cell>
          <cell r="T1689">
            <v>0</v>
          </cell>
        </row>
        <row r="1690">
          <cell r="A1690" t="str">
            <v/>
          </cell>
          <cell r="B1690" t="str">
            <v>D2600-T</v>
          </cell>
          <cell r="C1690" t="str">
            <v>X</v>
          </cell>
          <cell r="E1690">
            <v>0</v>
          </cell>
          <cell r="F1690" t="str">
            <v>Đà sắt L75x75x8-2600 - 0 ốp</v>
          </cell>
          <cell r="G1690" t="str">
            <v>cái</v>
          </cell>
          <cell r="H1690">
            <v>0</v>
          </cell>
          <cell r="I1690">
            <v>475000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S1690">
            <v>26</v>
          </cell>
          <cell r="T1690">
            <v>0</v>
          </cell>
        </row>
        <row r="1691">
          <cell r="A1691" t="str">
            <v/>
          </cell>
          <cell r="B1691" t="str">
            <v>B16350</v>
          </cell>
          <cell r="C1691" t="str">
            <v>X</v>
          </cell>
          <cell r="E1691">
            <v>0</v>
          </cell>
          <cell r="F1691" t="str">
            <v>Boulon 16x350+ 2 long đền vuông D18-50x50x3/Zn</v>
          </cell>
          <cell r="G1691" t="str">
            <v>bộ</v>
          </cell>
          <cell r="H1691">
            <v>0</v>
          </cell>
          <cell r="I1691">
            <v>32500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S1691">
            <v>0.3</v>
          </cell>
          <cell r="T1691">
            <v>0</v>
          </cell>
        </row>
        <row r="1692">
          <cell r="A1692" t="str">
            <v/>
          </cell>
          <cell r="B1692" t="str">
            <v>B1450</v>
          </cell>
          <cell r="C1692" t="str">
            <v>X</v>
          </cell>
          <cell r="E1692">
            <v>0</v>
          </cell>
          <cell r="F1692" t="str">
            <v>Boulon 14x50+ 2 long đền vuông D16-50x50x3/Zn</v>
          </cell>
          <cell r="G1692" t="str">
            <v>bộ</v>
          </cell>
          <cell r="H1692">
            <v>0</v>
          </cell>
          <cell r="I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S1692">
            <v>0.2</v>
          </cell>
          <cell r="T1692">
            <v>0</v>
          </cell>
        </row>
        <row r="1693">
          <cell r="A1693" t="str">
            <v/>
          </cell>
          <cell r="B1693" t="str">
            <v>LX2600D</v>
          </cell>
          <cell r="C1693" t="str">
            <v>X</v>
          </cell>
          <cell r="E1693" t="str">
            <v>D2.6021e</v>
          </cell>
          <cell r="F1693" t="str">
            <v>Lắp đặt xà thép L75x75x8x2600 đơn cột đỡ (29,759 kg/bộ)</v>
          </cell>
          <cell r="G1693" t="str">
            <v>bộ</v>
          </cell>
          <cell r="H1693">
            <v>0</v>
          </cell>
          <cell r="I1693">
            <v>0</v>
          </cell>
          <cell r="K1693">
            <v>534080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S1693">
            <v>0</v>
          </cell>
          <cell r="T1693">
            <v>0</v>
          </cell>
        </row>
        <row r="1694">
          <cell r="A1694" t="str">
            <v/>
          </cell>
          <cell r="C1694" t="str">
            <v>X</v>
          </cell>
          <cell r="D1694">
            <v>0</v>
          </cell>
          <cell r="F1694" t="str">
            <v>Bộ tiếp địa Trạm biến áp</v>
          </cell>
          <cell r="G1694" t="str">
            <v>Bộ</v>
          </cell>
          <cell r="H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S1694">
            <v>0</v>
          </cell>
          <cell r="T1694">
            <v>0</v>
          </cell>
        </row>
        <row r="1695">
          <cell r="A1695" t="str">
            <v/>
          </cell>
          <cell r="C1695" t="str">
            <v>X</v>
          </cell>
          <cell r="F1695" t="str">
            <v>Gồm có: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S1695">
            <v>0</v>
          </cell>
          <cell r="T1695">
            <v>0</v>
          </cell>
        </row>
        <row r="1696">
          <cell r="A1696" t="str">
            <v/>
          </cell>
          <cell r="B1696" t="str">
            <v>M25</v>
          </cell>
          <cell r="C1696" t="str">
            <v>X</v>
          </cell>
          <cell r="E1696">
            <v>0</v>
          </cell>
          <cell r="F1696" t="str">
            <v>Cáp đồng trần M25mm2 (52 mét/trạm)</v>
          </cell>
          <cell r="G1696" t="str">
            <v>kg</v>
          </cell>
          <cell r="H1696">
            <v>0</v>
          </cell>
          <cell r="I1696">
            <v>191630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S1696">
            <v>1</v>
          </cell>
          <cell r="T1696">
            <v>0</v>
          </cell>
        </row>
        <row r="1697">
          <cell r="A1697" t="str">
            <v/>
          </cell>
          <cell r="B1697" t="str">
            <v>CTD</v>
          </cell>
          <cell r="C1697" t="str">
            <v>X</v>
          </cell>
          <cell r="E1697">
            <v>0</v>
          </cell>
          <cell r="F1697" t="str">
            <v>Cọc tiếp đất φ16 - 2,4m mạ Cu 16 micrômét</v>
          </cell>
          <cell r="G1697" t="str">
            <v>cọc</v>
          </cell>
          <cell r="H1697">
            <v>0</v>
          </cell>
          <cell r="I1697">
            <v>130000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S1697">
            <v>5.3</v>
          </cell>
          <cell r="T1697">
            <v>0</v>
          </cell>
        </row>
        <row r="1698">
          <cell r="A1698" t="str">
            <v/>
          </cell>
          <cell r="B1698" t="str">
            <v>KC</v>
          </cell>
          <cell r="C1698" t="str">
            <v>X</v>
          </cell>
          <cell r="E1698">
            <v>0</v>
          </cell>
          <cell r="F1698" t="str">
            <v>Kẹp cọc tiếp địa Cu loại lớn</v>
          </cell>
          <cell r="G1698" t="str">
            <v>bộ</v>
          </cell>
          <cell r="H1698">
            <v>0</v>
          </cell>
          <cell r="I1698">
            <v>25000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S1698">
            <v>0.05</v>
          </cell>
          <cell r="T1698">
            <v>0</v>
          </cell>
        </row>
        <row r="1699">
          <cell r="A1699" t="str">
            <v/>
          </cell>
          <cell r="B1699" t="str">
            <v>OXC38</v>
          </cell>
          <cell r="C1699" t="str">
            <v>X</v>
          </cell>
          <cell r="E1699">
            <v>0</v>
          </cell>
          <cell r="F1699" t="str">
            <v xml:space="preserve">Ốc xiết cáp cỡ 38mm2 </v>
          </cell>
          <cell r="G1699" t="str">
            <v>cái</v>
          </cell>
          <cell r="H1699">
            <v>0</v>
          </cell>
          <cell r="I1699">
            <v>17000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S1699">
            <v>0</v>
          </cell>
          <cell r="T1699">
            <v>0</v>
          </cell>
        </row>
        <row r="1700">
          <cell r="A1700" t="str">
            <v/>
          </cell>
          <cell r="B1700" t="str">
            <v>KE50</v>
          </cell>
          <cell r="C1700" t="str">
            <v>X</v>
          </cell>
          <cell r="E1700">
            <v>0</v>
          </cell>
          <cell r="F1700" t="str">
            <v>Kẹp ép WR cỡ dây 50mm2</v>
          </cell>
          <cell r="G1700" t="str">
            <v>cái</v>
          </cell>
          <cell r="H1700">
            <v>0</v>
          </cell>
          <cell r="I1700">
            <v>8500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S1700">
            <v>0.2</v>
          </cell>
          <cell r="T1700">
            <v>0</v>
          </cell>
        </row>
        <row r="1701">
          <cell r="A1701" t="str">
            <v/>
          </cell>
          <cell r="B1701" t="str">
            <v>KTDTBA</v>
          </cell>
          <cell r="C1701" t="str">
            <v>X</v>
          </cell>
          <cell r="E1701" t="str">
            <v>T4.7001</v>
          </cell>
          <cell r="F1701" t="str">
            <v>Kéo dây tiếp địa trong TBA</v>
          </cell>
          <cell r="G1701" t="str">
            <v>mét</v>
          </cell>
          <cell r="H1701">
            <v>0</v>
          </cell>
          <cell r="I1701">
            <v>0</v>
          </cell>
          <cell r="K1701">
            <v>6871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S1701">
            <v>0</v>
          </cell>
          <cell r="T1701">
            <v>0</v>
          </cell>
        </row>
        <row r="1702">
          <cell r="A1702" t="str">
            <v/>
          </cell>
          <cell r="B1702" t="str">
            <v>DCTDTBA</v>
          </cell>
          <cell r="C1702" t="str">
            <v>X</v>
          </cell>
          <cell r="E1702" t="str">
            <v>D2.8103</v>
          </cell>
          <cell r="F1702" t="str">
            <v>Đóng cọc tiếp địa trong TBA (đất cấp 3)</v>
          </cell>
          <cell r="G1702" t="str">
            <v>cọc</v>
          </cell>
          <cell r="H1702">
            <v>0</v>
          </cell>
          <cell r="I1702">
            <v>0</v>
          </cell>
          <cell r="K1702">
            <v>76928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S1702">
            <v>0</v>
          </cell>
          <cell r="T1702">
            <v>0</v>
          </cell>
        </row>
        <row r="1703">
          <cell r="A1703" t="str">
            <v/>
          </cell>
          <cell r="B1703" t="str">
            <v>DTD3</v>
          </cell>
          <cell r="C1703" t="str">
            <v>X</v>
          </cell>
          <cell r="E1703" t="str">
            <v>AB.11513</v>
          </cell>
          <cell r="F1703" t="str">
            <v>Đào rãnh tiếp địa đất cấp 3 (ĐC hệ số 0,934)</v>
          </cell>
          <cell r="G1703" t="str">
            <v>m3</v>
          </cell>
          <cell r="H1703">
            <v>0</v>
          </cell>
          <cell r="I1703">
            <v>0</v>
          </cell>
          <cell r="K1703">
            <v>258651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S1703">
            <v>0</v>
          </cell>
          <cell r="T1703">
            <v>0</v>
          </cell>
        </row>
        <row r="1704">
          <cell r="A1704" t="str">
            <v/>
          </cell>
          <cell r="B1704" t="str">
            <v>DATD3</v>
          </cell>
          <cell r="C1704" t="str">
            <v>X</v>
          </cell>
          <cell r="E1704" t="str">
            <v>AB.13111</v>
          </cell>
          <cell r="F1704" t="str">
            <v>Đắp đất rãnh tiếp địa (K=0,85) (ĐC hệ số 0,934)</v>
          </cell>
          <cell r="G1704" t="str">
            <v>m3</v>
          </cell>
          <cell r="H1704">
            <v>0</v>
          </cell>
          <cell r="I1704">
            <v>0</v>
          </cell>
          <cell r="K1704">
            <v>107292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S1704">
            <v>0</v>
          </cell>
          <cell r="T1704">
            <v>0</v>
          </cell>
        </row>
        <row r="1705">
          <cell r="A1705" t="str">
            <v/>
          </cell>
          <cell r="C1705" t="str">
            <v>X</v>
          </cell>
          <cell r="D1705">
            <v>0</v>
          </cell>
          <cell r="E1705">
            <v>0</v>
          </cell>
          <cell r="F1705" t="str">
            <v>Giếng tiếp địa khoan đất</v>
          </cell>
          <cell r="G1705" t="str">
            <v>Cái</v>
          </cell>
          <cell r="H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S1705">
            <v>0</v>
          </cell>
          <cell r="T1705">
            <v>0</v>
          </cell>
        </row>
        <row r="1706">
          <cell r="A1706">
            <v>0</v>
          </cell>
          <cell r="B1706" t="str">
            <v>DTD3</v>
          </cell>
          <cell r="C1706" t="str">
            <v>X</v>
          </cell>
          <cell r="E1706" t="str">
            <v>AB.11513</v>
          </cell>
          <cell r="F1706" t="str">
            <v>Đào rãnh tiếp địa đất cấp 3</v>
          </cell>
          <cell r="G1706" t="str">
            <v>m3</v>
          </cell>
          <cell r="I1706">
            <v>0</v>
          </cell>
          <cell r="K1706">
            <v>241580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S1706">
            <v>0</v>
          </cell>
          <cell r="T1706">
            <v>0</v>
          </cell>
        </row>
        <row r="1707">
          <cell r="A1707">
            <v>0</v>
          </cell>
          <cell r="B1707" t="str">
            <v>DATD3</v>
          </cell>
          <cell r="C1707" t="str">
            <v>X</v>
          </cell>
          <cell r="E1707" t="str">
            <v>AB.13111</v>
          </cell>
          <cell r="F1707" t="str">
            <v>Đắp đất rãnh tiếp địa (K=0,85)</v>
          </cell>
          <cell r="G1707" t="str">
            <v>m3</v>
          </cell>
          <cell r="I1707">
            <v>0</v>
          </cell>
          <cell r="K1707">
            <v>100211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S1707">
            <v>0</v>
          </cell>
          <cell r="T1707">
            <v>0</v>
          </cell>
        </row>
        <row r="1708">
          <cell r="A1708">
            <v>0</v>
          </cell>
          <cell r="B1708" t="str">
            <v>dctdtba</v>
          </cell>
          <cell r="C1708" t="str">
            <v>X</v>
          </cell>
          <cell r="E1708" t="str">
            <v>D2.8103</v>
          </cell>
          <cell r="F1708" t="str">
            <v>Đóng cọc tiếp địa trong TBA (đất cấp 3)</v>
          </cell>
          <cell r="G1708" t="str">
            <v>cọc</v>
          </cell>
          <cell r="I1708">
            <v>0</v>
          </cell>
          <cell r="K1708">
            <v>76928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S1708">
            <v>0</v>
          </cell>
          <cell r="T1708">
            <v>0</v>
          </cell>
        </row>
        <row r="1709">
          <cell r="A1709" t="str">
            <v/>
          </cell>
          <cell r="B1709" t="str">
            <v>ktdTBA</v>
          </cell>
          <cell r="C1709" t="str">
            <v>X</v>
          </cell>
          <cell r="E1709" t="str">
            <v>T4.7001</v>
          </cell>
          <cell r="F1709" t="str">
            <v>Kéo dây tiếp địa trong TBA</v>
          </cell>
          <cell r="G1709" t="str">
            <v>mét</v>
          </cell>
          <cell r="I1709">
            <v>0</v>
          </cell>
          <cell r="K1709">
            <v>6871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S1709">
            <v>0</v>
          </cell>
          <cell r="T1709">
            <v>0</v>
          </cell>
        </row>
        <row r="1710">
          <cell r="A1710" t="str">
            <v/>
          </cell>
          <cell r="C1710" t="str">
            <v>X</v>
          </cell>
          <cell r="D1710">
            <v>0</v>
          </cell>
          <cell r="F1710" t="str">
            <v>Tủ MCCB 3 pha dày 2mm sơn tĩnh điện</v>
          </cell>
          <cell r="G1710" t="str">
            <v>Bộ</v>
          </cell>
          <cell r="H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S1710">
            <v>0</v>
          </cell>
          <cell r="T1710">
            <v>0</v>
          </cell>
        </row>
        <row r="1711">
          <cell r="A1711" t="str">
            <v/>
          </cell>
          <cell r="C1711" t="str">
            <v>X</v>
          </cell>
          <cell r="F1711" t="str">
            <v>Gồm có: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S1711">
            <v>0</v>
          </cell>
          <cell r="T1711">
            <v>0</v>
          </cell>
        </row>
        <row r="1712">
          <cell r="A1712" t="str">
            <v/>
          </cell>
          <cell r="B1712" t="str">
            <v>TUAP3L</v>
          </cell>
          <cell r="C1712" t="str">
            <v>X</v>
          </cell>
          <cell r="E1712" t="str">
            <v>T5.1002</v>
          </cell>
          <cell r="F1712" t="str">
            <v>Vỏ tủ trạm giàn 2 ngăn + khóa tủ + Bakelit (3 pha)</v>
          </cell>
          <cell r="G1712" t="str">
            <v>cái</v>
          </cell>
          <cell r="H1712">
            <v>0</v>
          </cell>
          <cell r="I1712">
            <v>0</v>
          </cell>
          <cell r="K1712">
            <v>743230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S1712">
            <v>45</v>
          </cell>
          <cell r="T1712">
            <v>0</v>
          </cell>
        </row>
        <row r="1713">
          <cell r="A1713" t="str">
            <v/>
          </cell>
          <cell r="C1713" t="str">
            <v>X</v>
          </cell>
          <cell r="D1713">
            <v>0</v>
          </cell>
          <cell r="F1713" t="str">
            <v>Bộ dây dẫn trung thế 24kV 3 pha từ FCO vào MBA</v>
          </cell>
          <cell r="G1713" t="str">
            <v>Bộ</v>
          </cell>
          <cell r="H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S1713">
            <v>0</v>
          </cell>
          <cell r="T1713">
            <v>0</v>
          </cell>
        </row>
        <row r="1714">
          <cell r="A1714" t="str">
            <v/>
          </cell>
          <cell r="C1714" t="str">
            <v>X</v>
          </cell>
          <cell r="F1714" t="str">
            <v>Gồm có: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S1714">
            <v>0</v>
          </cell>
          <cell r="T1714">
            <v>0</v>
          </cell>
        </row>
        <row r="1715">
          <cell r="A1715" t="str">
            <v/>
          </cell>
          <cell r="B1715" t="str">
            <v>CXV25</v>
          </cell>
          <cell r="C1715" t="str">
            <v>X</v>
          </cell>
          <cell r="E1715">
            <v>0</v>
          </cell>
          <cell r="F1715" t="str">
            <v>Cáp 24KV C/XLPE/PVC 25mm2</v>
          </cell>
          <cell r="G1715" t="str">
            <v>mét</v>
          </cell>
          <cell r="H1715">
            <v>0</v>
          </cell>
          <cell r="I1715">
            <v>69890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S1715">
            <v>0.75</v>
          </cell>
          <cell r="T1715">
            <v>0</v>
          </cell>
        </row>
        <row r="1716">
          <cell r="A1716" t="str">
            <v/>
          </cell>
          <cell r="B1716" t="str">
            <v>SD</v>
          </cell>
          <cell r="C1716" t="str">
            <v>X</v>
          </cell>
          <cell r="E1716" t="str">
            <v>D3.1115</v>
          </cell>
          <cell r="F1716" t="str">
            <v>Sứ đứng 24KV, đường rò 540mm (bọc chì)</v>
          </cell>
          <cell r="G1716" t="str">
            <v>cái</v>
          </cell>
          <cell r="H1716">
            <v>0</v>
          </cell>
          <cell r="I1716">
            <v>185000</v>
          </cell>
          <cell r="K1716">
            <v>49616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S1716">
            <v>4</v>
          </cell>
          <cell r="T1716">
            <v>0</v>
          </cell>
        </row>
        <row r="1717">
          <cell r="A1717" t="str">
            <v/>
          </cell>
          <cell r="B1717" t="str">
            <v>CSD</v>
          </cell>
          <cell r="C1717" t="str">
            <v>X</v>
          </cell>
          <cell r="E1717">
            <v>0</v>
          </cell>
          <cell r="F1717" t="str">
            <v>Chân sứ đứng 24kV bọc chì</v>
          </cell>
          <cell r="G1717" t="str">
            <v>cái</v>
          </cell>
          <cell r="H1717">
            <v>0</v>
          </cell>
          <cell r="I1717">
            <v>68000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S1717">
            <v>3</v>
          </cell>
          <cell r="T1717">
            <v>0</v>
          </cell>
        </row>
        <row r="1718">
          <cell r="A1718" t="str">
            <v/>
          </cell>
          <cell r="B1718" t="str">
            <v>KQ4</v>
          </cell>
          <cell r="C1718" t="str">
            <v>X</v>
          </cell>
          <cell r="F1718" t="str">
            <v>Kẹp quai 4/0 (quai đồng 8mm)</v>
          </cell>
          <cell r="G1718" t="str">
            <v>cái</v>
          </cell>
          <cell r="H1718">
            <v>0</v>
          </cell>
          <cell r="I1718">
            <v>63000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S1718">
            <v>0.3</v>
          </cell>
          <cell r="T1718">
            <v>0</v>
          </cell>
        </row>
        <row r="1719">
          <cell r="A1719" t="str">
            <v/>
          </cell>
          <cell r="B1719" t="str">
            <v>CKQ</v>
          </cell>
          <cell r="C1719" t="str">
            <v>X</v>
          </cell>
          <cell r="E1719">
            <v>0</v>
          </cell>
          <cell r="F1719" t="str">
            <v>Chụp cách điện kẹp quai</v>
          </cell>
          <cell r="G1719" t="str">
            <v>cái</v>
          </cell>
          <cell r="H1719">
            <v>0</v>
          </cell>
          <cell r="I1719">
            <v>122000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S1719">
            <v>0.2</v>
          </cell>
          <cell r="T1719">
            <v>0</v>
          </cell>
        </row>
        <row r="1720">
          <cell r="A1720" t="str">
            <v/>
          </cell>
          <cell r="B1720" t="str">
            <v>HL2</v>
          </cell>
          <cell r="C1720" t="str">
            <v>X</v>
          </cell>
          <cell r="F1720" t="str">
            <v>Kẹp hotline 2/0</v>
          </cell>
          <cell r="G1720" t="str">
            <v>cái</v>
          </cell>
          <cell r="H1720">
            <v>0</v>
          </cell>
          <cell r="I1720">
            <v>68000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S1720">
            <v>0.1</v>
          </cell>
          <cell r="T1720">
            <v>0</v>
          </cell>
        </row>
        <row r="1721">
          <cell r="A1721" t="str">
            <v/>
          </cell>
          <cell r="B1721" t="str">
            <v>lcapdongTB95</v>
          </cell>
          <cell r="C1721" t="str">
            <v>X</v>
          </cell>
          <cell r="E1721" t="str">
            <v>T4.4201</v>
          </cell>
          <cell r="F1721" t="str">
            <v>Lắp cáp đồng xuống thiết bị D ≤ 95mm2</v>
          </cell>
          <cell r="G1721" t="str">
            <v>m</v>
          </cell>
          <cell r="H1721">
            <v>0</v>
          </cell>
          <cell r="I1721">
            <v>0</v>
          </cell>
          <cell r="K1721">
            <v>11847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S1721">
            <v>0</v>
          </cell>
          <cell r="T1721">
            <v>0</v>
          </cell>
        </row>
        <row r="1722">
          <cell r="A1722" t="str">
            <v/>
          </cell>
          <cell r="B1722" t="str">
            <v>LSDTBA</v>
          </cell>
          <cell r="C1722" t="str">
            <v>X</v>
          </cell>
          <cell r="E1722" t="str">
            <v>T4.2201</v>
          </cell>
          <cell r="F1722" t="str">
            <v>Lắp sứ đứng 24KV trong TBA</v>
          </cell>
          <cell r="G1722" t="str">
            <v>bộ</v>
          </cell>
          <cell r="H1722">
            <v>0</v>
          </cell>
          <cell r="I1722">
            <v>0</v>
          </cell>
          <cell r="K1722">
            <v>54496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S1722">
            <v>0</v>
          </cell>
          <cell r="T1722">
            <v>0</v>
          </cell>
        </row>
        <row r="1723">
          <cell r="A1723" t="str">
            <v/>
          </cell>
          <cell r="C1723" t="str">
            <v>X</v>
          </cell>
          <cell r="D1723">
            <v>0</v>
          </cell>
          <cell r="F1723" t="str">
            <v>Bộ dây dẫn cáp xuất hạ thế từ MBA vào tủ MCCB</v>
          </cell>
          <cell r="G1723" t="str">
            <v>Bộ</v>
          </cell>
          <cell r="H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S1723">
            <v>0</v>
          </cell>
          <cell r="T1723">
            <v>0</v>
          </cell>
        </row>
        <row r="1724">
          <cell r="A1724" t="str">
            <v/>
          </cell>
          <cell r="C1724" t="str">
            <v>X</v>
          </cell>
          <cell r="F1724" t="str">
            <v>Gồm có: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S1724">
            <v>0</v>
          </cell>
          <cell r="T1724">
            <v>0</v>
          </cell>
        </row>
        <row r="1725">
          <cell r="A1725" t="str">
            <v/>
          </cell>
          <cell r="B1725" t="str">
            <v>CV185</v>
          </cell>
          <cell r="C1725" t="str">
            <v>X</v>
          </cell>
          <cell r="E1725">
            <v>0</v>
          </cell>
          <cell r="F1725" t="str">
            <v>Cáp đồng bọc CV185</v>
          </cell>
          <cell r="G1725" t="str">
            <v>mét</v>
          </cell>
          <cell r="H1725">
            <v>0</v>
          </cell>
          <cell r="I1725">
            <v>329880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S1725">
            <v>1.9079999999999999</v>
          </cell>
          <cell r="T1725">
            <v>0</v>
          </cell>
        </row>
        <row r="1726">
          <cell r="A1726" t="str">
            <v/>
          </cell>
          <cell r="B1726" t="str">
            <v>CV120</v>
          </cell>
          <cell r="C1726" t="str">
            <v>X</v>
          </cell>
          <cell r="E1726">
            <v>0</v>
          </cell>
          <cell r="F1726" t="str">
            <v>Cáp đồng bọc CV120</v>
          </cell>
          <cell r="G1726" t="str">
            <v>mét</v>
          </cell>
          <cell r="H1726">
            <v>0</v>
          </cell>
          <cell r="I1726">
            <v>213430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S1726">
            <v>1.2350000000000001</v>
          </cell>
          <cell r="T1726">
            <v>0</v>
          </cell>
        </row>
        <row r="1727">
          <cell r="A1727" t="str">
            <v/>
          </cell>
          <cell r="B1727" t="str">
            <v>CVV4X4</v>
          </cell>
          <cell r="C1727" t="str">
            <v>X</v>
          </cell>
          <cell r="E1727">
            <v>0</v>
          </cell>
          <cell r="F1727" t="str">
            <v>Cáp điều khiển CVV 4x4,0mm2</v>
          </cell>
          <cell r="G1727" t="str">
            <v>mét</v>
          </cell>
          <cell r="H1727">
            <v>0</v>
          </cell>
          <cell r="I1727">
            <v>56700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S1727">
            <v>3.024</v>
          </cell>
          <cell r="T1727">
            <v>0</v>
          </cell>
        </row>
        <row r="1728">
          <cell r="A1728" t="str">
            <v/>
          </cell>
          <cell r="B1728" t="str">
            <v>COS185</v>
          </cell>
          <cell r="C1728" t="str">
            <v>X</v>
          </cell>
          <cell r="F1728" t="str">
            <v>Đầu cosse ép Cu 185mm2</v>
          </cell>
          <cell r="G1728" t="str">
            <v>cái</v>
          </cell>
          <cell r="H1728">
            <v>0</v>
          </cell>
          <cell r="I1728">
            <v>110500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S1728">
            <v>0</v>
          </cell>
          <cell r="T1728">
            <v>0</v>
          </cell>
        </row>
        <row r="1729">
          <cell r="A1729" t="str">
            <v/>
          </cell>
          <cell r="B1729" t="str">
            <v>COS120</v>
          </cell>
          <cell r="C1729" t="str">
            <v>X</v>
          </cell>
          <cell r="F1729" t="str">
            <v>Đầu cosse ép Cu 120mm2</v>
          </cell>
          <cell r="G1729" t="str">
            <v>cái</v>
          </cell>
          <cell r="H1729">
            <v>0</v>
          </cell>
          <cell r="I1729">
            <v>68500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S1729">
            <v>0.1</v>
          </cell>
          <cell r="T1729">
            <v>0</v>
          </cell>
        </row>
        <row r="1730">
          <cell r="A1730" t="str">
            <v/>
          </cell>
          <cell r="B1730" t="str">
            <v>CHCOS185</v>
          </cell>
          <cell r="C1730" t="str">
            <v>X</v>
          </cell>
          <cell r="E1730">
            <v>0</v>
          </cell>
          <cell r="F1730" t="str">
            <v>Chụp đầu cosse  185mm2</v>
          </cell>
          <cell r="G1730" t="str">
            <v>cái</v>
          </cell>
          <cell r="H1730">
            <v>0</v>
          </cell>
          <cell r="I1730">
            <v>5200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S1730">
            <v>0</v>
          </cell>
          <cell r="T1730">
            <v>0</v>
          </cell>
        </row>
        <row r="1731">
          <cell r="A1731" t="str">
            <v/>
          </cell>
          <cell r="B1731" t="str">
            <v>CHCOS120</v>
          </cell>
          <cell r="C1731" t="str">
            <v>X</v>
          </cell>
          <cell r="E1731">
            <v>0</v>
          </cell>
          <cell r="F1731" t="str">
            <v>Chụp đầu cosse  120mm2</v>
          </cell>
          <cell r="G1731" t="str">
            <v>cái</v>
          </cell>
          <cell r="H1731">
            <v>0</v>
          </cell>
          <cell r="I1731">
            <v>3900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S1731">
            <v>0</v>
          </cell>
          <cell r="T1731">
            <v>0</v>
          </cell>
        </row>
        <row r="1732">
          <cell r="A1732" t="str">
            <v/>
          </cell>
          <cell r="B1732" t="str">
            <v>PVC114</v>
          </cell>
          <cell r="C1732" t="str">
            <v>X</v>
          </cell>
          <cell r="E1732">
            <v>0</v>
          </cell>
          <cell r="F1732" t="str">
            <v xml:space="preserve">Ống PVC D114x4,9mm </v>
          </cell>
          <cell r="G1732" t="str">
            <v>m</v>
          </cell>
          <cell r="H1732">
            <v>0</v>
          </cell>
          <cell r="I1732">
            <v>103700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S1732">
            <v>2</v>
          </cell>
          <cell r="T1732">
            <v>0</v>
          </cell>
        </row>
        <row r="1733">
          <cell r="A1733" t="str">
            <v/>
          </cell>
          <cell r="B1733" t="str">
            <v>CD114</v>
          </cell>
          <cell r="C1733" t="str">
            <v>X</v>
          </cell>
          <cell r="E1733">
            <v>0</v>
          </cell>
          <cell r="F1733" t="str">
            <v>Cổ dê kẹp ống PVC φ 114 (có giá nới) (CD-230)</v>
          </cell>
          <cell r="G1733" t="str">
            <v>bộ</v>
          </cell>
          <cell r="H1733">
            <v>0</v>
          </cell>
          <cell r="I1733">
            <v>74000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S1733">
            <v>1.5</v>
          </cell>
          <cell r="T1733">
            <v>0</v>
          </cell>
        </row>
        <row r="1734">
          <cell r="A1734" t="str">
            <v/>
          </cell>
          <cell r="B1734" t="str">
            <v>CD114</v>
          </cell>
          <cell r="C1734" t="str">
            <v>X</v>
          </cell>
          <cell r="E1734">
            <v>0</v>
          </cell>
          <cell r="F1734" t="str">
            <v>Cổ dê kẹp ống PVC φ 114 (có giá nới) (CD-250)</v>
          </cell>
          <cell r="G1734" t="str">
            <v>bộ</v>
          </cell>
          <cell r="H1734">
            <v>0</v>
          </cell>
          <cell r="I1734">
            <v>74000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S1734">
            <v>1.5</v>
          </cell>
          <cell r="T1734">
            <v>0</v>
          </cell>
        </row>
        <row r="1735">
          <cell r="A1735" t="str">
            <v/>
          </cell>
          <cell r="B1735" t="str">
            <v>CD114</v>
          </cell>
          <cell r="C1735" t="str">
            <v>X</v>
          </cell>
          <cell r="E1735">
            <v>0</v>
          </cell>
          <cell r="F1735" t="str">
            <v>Cổ dê kẹp ống PVC φ 114 (có giá nới) (CD-280)</v>
          </cell>
          <cell r="G1735" t="str">
            <v>bộ</v>
          </cell>
          <cell r="H1735">
            <v>0</v>
          </cell>
          <cell r="I1735">
            <v>74000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S1735">
            <v>1.5</v>
          </cell>
          <cell r="T1735">
            <v>0</v>
          </cell>
        </row>
        <row r="1736">
          <cell r="A1736" t="str">
            <v/>
          </cell>
          <cell r="B1736" t="str">
            <v>KVRT114</v>
          </cell>
          <cell r="C1736" t="str">
            <v>X</v>
          </cell>
          <cell r="E1736">
            <v>0</v>
          </cell>
          <cell r="F1736" t="str">
            <v>Khâu ven răng trong D114</v>
          </cell>
          <cell r="G1736" t="str">
            <v>cái</v>
          </cell>
          <cell r="H1736">
            <v>0</v>
          </cell>
          <cell r="I1736">
            <v>35700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S1736">
            <v>0</v>
          </cell>
          <cell r="T1736">
            <v>0</v>
          </cell>
        </row>
        <row r="1737">
          <cell r="A1737" t="str">
            <v/>
          </cell>
          <cell r="B1737" t="str">
            <v>KVRN114</v>
          </cell>
          <cell r="C1737" t="str">
            <v>X</v>
          </cell>
          <cell r="E1737">
            <v>0</v>
          </cell>
          <cell r="F1737" t="str">
            <v>Khâu ven răng ngoài D114</v>
          </cell>
          <cell r="G1737" t="str">
            <v>cái</v>
          </cell>
          <cell r="H1737">
            <v>0</v>
          </cell>
          <cell r="I1737">
            <v>25600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S1737">
            <v>0</v>
          </cell>
          <cell r="T1737">
            <v>0</v>
          </cell>
        </row>
        <row r="1738">
          <cell r="A1738" t="str">
            <v/>
          </cell>
          <cell r="B1738" t="str">
            <v>CUT114TD</v>
          </cell>
          <cell r="C1738" t="str">
            <v>X</v>
          </cell>
          <cell r="E1738">
            <v>0</v>
          </cell>
          <cell r="F1738" t="str">
            <v>Co  90 độ PVC 114 (Loại dày)</v>
          </cell>
          <cell r="G1738" t="str">
            <v>cái</v>
          </cell>
          <cell r="H1738">
            <v>0</v>
          </cell>
          <cell r="I1738">
            <v>104800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S1738">
            <v>0</v>
          </cell>
          <cell r="T1738">
            <v>0</v>
          </cell>
        </row>
        <row r="1739">
          <cell r="A1739" t="str">
            <v/>
          </cell>
          <cell r="B1739" t="str">
            <v>CUT114</v>
          </cell>
          <cell r="C1739" t="str">
            <v>X</v>
          </cell>
          <cell r="E1739">
            <v>0</v>
          </cell>
          <cell r="F1739" t="str">
            <v>Co sừng 90 độ PVC 114</v>
          </cell>
          <cell r="G1739" t="str">
            <v>cái</v>
          </cell>
          <cell r="H1739">
            <v>0</v>
          </cell>
          <cell r="I1739">
            <v>195000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S1739">
            <v>0</v>
          </cell>
          <cell r="T1739">
            <v>0</v>
          </cell>
        </row>
        <row r="1740">
          <cell r="A1740" t="str">
            <v/>
          </cell>
          <cell r="B1740" t="str">
            <v>CUT114135</v>
          </cell>
          <cell r="C1740" t="str">
            <v>X</v>
          </cell>
          <cell r="E1740">
            <v>0</v>
          </cell>
          <cell r="F1740" t="str">
            <v>Co 135 độ PVC 114</v>
          </cell>
          <cell r="G1740" t="str">
            <v>cái</v>
          </cell>
          <cell r="H1740">
            <v>0</v>
          </cell>
          <cell r="I1740">
            <v>70800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S1740">
            <v>0</v>
          </cell>
          <cell r="T1740">
            <v>0</v>
          </cell>
        </row>
        <row r="1741">
          <cell r="A1741" t="str">
            <v/>
          </cell>
          <cell r="B1741" t="str">
            <v>KEODAN</v>
          </cell>
          <cell r="C1741" t="str">
            <v>X</v>
          </cell>
          <cell r="E1741">
            <v>0</v>
          </cell>
          <cell r="F1741" t="str">
            <v>Keo dán ống PVC (100gr)</v>
          </cell>
          <cell r="G1741" t="str">
            <v>tuýp</v>
          </cell>
          <cell r="H1741">
            <v>0</v>
          </cell>
          <cell r="I1741">
            <v>11500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S1741">
            <v>0</v>
          </cell>
          <cell r="T1741">
            <v>0</v>
          </cell>
        </row>
        <row r="1742">
          <cell r="A1742" t="str">
            <v/>
          </cell>
          <cell r="B1742" t="str">
            <v>KEOBIT</v>
          </cell>
          <cell r="C1742" t="str">
            <v>X</v>
          </cell>
          <cell r="E1742">
            <v>0</v>
          </cell>
          <cell r="F1742" t="str">
            <v>Keo silicon bít miệng ống</v>
          </cell>
          <cell r="G1742" t="str">
            <v>ống</v>
          </cell>
          <cell r="I1742">
            <v>45000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S1742">
            <v>0</v>
          </cell>
          <cell r="T1742">
            <v>0</v>
          </cell>
        </row>
        <row r="1743">
          <cell r="B1743" t="str">
            <v>BANGKEO</v>
          </cell>
          <cell r="C1743" t="str">
            <v>X</v>
          </cell>
          <cell r="E1743">
            <v>0</v>
          </cell>
          <cell r="F1743" t="str">
            <v>Băng keo cách điện (Màu đen)</v>
          </cell>
          <cell r="G1743" t="str">
            <v>cuộn</v>
          </cell>
          <cell r="H1743">
            <v>0</v>
          </cell>
          <cell r="I1743">
            <v>6500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S1743">
            <v>0</v>
          </cell>
          <cell r="T1743">
            <v>0</v>
          </cell>
        </row>
        <row r="1744">
          <cell r="B1744" t="str">
            <v>BANGKEOV</v>
          </cell>
          <cell r="C1744" t="str">
            <v>X</v>
          </cell>
          <cell r="E1744">
            <v>0</v>
          </cell>
          <cell r="F1744" t="str">
            <v>Băng keo cách điện (Màu vàng)</v>
          </cell>
          <cell r="G1744" t="str">
            <v>cuộn</v>
          </cell>
          <cell r="H1744">
            <v>0</v>
          </cell>
          <cell r="I1744">
            <v>6500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S1744">
            <v>0</v>
          </cell>
          <cell r="T1744">
            <v>0</v>
          </cell>
        </row>
        <row r="1745">
          <cell r="B1745" t="str">
            <v>BANGKEOX</v>
          </cell>
          <cell r="C1745" t="str">
            <v>X</v>
          </cell>
          <cell r="E1745">
            <v>0</v>
          </cell>
          <cell r="F1745" t="str">
            <v>Băng keo cách điện (Màu xanh)</v>
          </cell>
          <cell r="G1745" t="str">
            <v>cuộn</v>
          </cell>
          <cell r="H1745">
            <v>0</v>
          </cell>
          <cell r="I1745">
            <v>6500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S1745">
            <v>0</v>
          </cell>
          <cell r="T1745">
            <v>0</v>
          </cell>
        </row>
        <row r="1746">
          <cell r="B1746" t="str">
            <v>BANGKEOD</v>
          </cell>
          <cell r="C1746" t="str">
            <v>X</v>
          </cell>
          <cell r="E1746">
            <v>0</v>
          </cell>
          <cell r="F1746" t="str">
            <v>Băng keo cách điện (Màu đỏ)</v>
          </cell>
          <cell r="G1746" t="str">
            <v>cuộn</v>
          </cell>
          <cell r="H1746">
            <v>0</v>
          </cell>
          <cell r="I1746">
            <v>6500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S1746">
            <v>0</v>
          </cell>
          <cell r="T1746">
            <v>0</v>
          </cell>
        </row>
        <row r="1747">
          <cell r="A1747" t="str">
            <v/>
          </cell>
          <cell r="B1747" t="str">
            <v>LPVC114CL</v>
          </cell>
          <cell r="C1747" t="str">
            <v>X</v>
          </cell>
          <cell r="E1747" t="str">
            <v>T4.8003</v>
          </cell>
          <cell r="F1747" t="str">
            <v>Lắp ống nhựa PVC D114</v>
          </cell>
          <cell r="G1747" t="str">
            <v>mét</v>
          </cell>
          <cell r="H1747">
            <v>0</v>
          </cell>
          <cell r="I1747">
            <v>0</v>
          </cell>
          <cell r="K1747">
            <v>35541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S1747">
            <v>0</v>
          </cell>
          <cell r="T1747">
            <v>0</v>
          </cell>
        </row>
        <row r="1748">
          <cell r="A1748" t="str">
            <v/>
          </cell>
          <cell r="B1748" t="str">
            <v>LCAPDONGTB150</v>
          </cell>
          <cell r="C1748" t="str">
            <v>X</v>
          </cell>
          <cell r="E1748" t="str">
            <v>T4.4202</v>
          </cell>
          <cell r="F1748" t="str">
            <v>Lắp cáp đồng xuống thiết bị D ≤ 150mm2</v>
          </cell>
          <cell r="G1748" t="str">
            <v>m</v>
          </cell>
          <cell r="H1748">
            <v>0</v>
          </cell>
          <cell r="I1748">
            <v>0</v>
          </cell>
          <cell r="K1748">
            <v>28433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S1748">
            <v>0</v>
          </cell>
          <cell r="T1748">
            <v>0</v>
          </cell>
        </row>
        <row r="1749">
          <cell r="A1749" t="str">
            <v/>
          </cell>
          <cell r="B1749" t="str">
            <v>LCAPDONGTB240</v>
          </cell>
          <cell r="C1749" t="str">
            <v>X</v>
          </cell>
          <cell r="E1749" t="str">
            <v>T4.4203</v>
          </cell>
          <cell r="F1749" t="str">
            <v>Lắp cáp đồng xuống thiết bị D &gt; 150mm2</v>
          </cell>
          <cell r="G1749" t="str">
            <v>m</v>
          </cell>
          <cell r="H1749">
            <v>0</v>
          </cell>
          <cell r="I1749">
            <v>0</v>
          </cell>
          <cell r="K1749">
            <v>40280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S1749">
            <v>0</v>
          </cell>
          <cell r="T1749">
            <v>0</v>
          </cell>
        </row>
        <row r="1750">
          <cell r="A1750" t="str">
            <v/>
          </cell>
          <cell r="C1750" t="str">
            <v>X</v>
          </cell>
          <cell r="D1750">
            <v>0</v>
          </cell>
          <cell r="F1750" t="str">
            <v>Bộ dẫn cáp vào tủ tụ bù</v>
          </cell>
          <cell r="G1750" t="str">
            <v>Bộ</v>
          </cell>
          <cell r="H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S1750">
            <v>0</v>
          </cell>
          <cell r="T1750">
            <v>0</v>
          </cell>
        </row>
        <row r="1751">
          <cell r="A1751" t="str">
            <v/>
          </cell>
          <cell r="C1751" t="str">
            <v>X</v>
          </cell>
          <cell r="F1751" t="str">
            <v>Gồm có: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S1751">
            <v>0</v>
          </cell>
          <cell r="T1751">
            <v>0</v>
          </cell>
        </row>
        <row r="1752">
          <cell r="A1752" t="str">
            <v/>
          </cell>
          <cell r="B1752" t="str">
            <v>CV120</v>
          </cell>
          <cell r="C1752" t="str">
            <v>X</v>
          </cell>
          <cell r="E1752">
            <v>0</v>
          </cell>
          <cell r="F1752" t="str">
            <v>Cáp đồng bọc CV120</v>
          </cell>
          <cell r="G1752" t="str">
            <v>mét</v>
          </cell>
          <cell r="H1752">
            <v>0</v>
          </cell>
          <cell r="I1752">
            <v>291060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S1752">
            <v>1.2350000000000001</v>
          </cell>
          <cell r="T1752">
            <v>0</v>
          </cell>
        </row>
        <row r="1753">
          <cell r="A1753" t="str">
            <v/>
          </cell>
          <cell r="B1753" t="str">
            <v>CV95</v>
          </cell>
          <cell r="C1753" t="str">
            <v>X</v>
          </cell>
          <cell r="E1753">
            <v>0</v>
          </cell>
          <cell r="F1753" t="str">
            <v>Cáp đồng bọc CV95</v>
          </cell>
          <cell r="G1753" t="str">
            <v>mét</v>
          </cell>
          <cell r="H1753">
            <v>0</v>
          </cell>
          <cell r="I1753">
            <v>230580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S1753">
            <v>1.008</v>
          </cell>
          <cell r="T1753">
            <v>0</v>
          </cell>
        </row>
        <row r="1754">
          <cell r="A1754" t="str">
            <v/>
          </cell>
          <cell r="B1754" t="str">
            <v>COS120</v>
          </cell>
          <cell r="C1754" t="str">
            <v>X</v>
          </cell>
          <cell r="E1754" t="str">
            <v>D4.5005</v>
          </cell>
          <cell r="F1754" t="str">
            <v>Đầu cosse ép Cu 120mm2</v>
          </cell>
          <cell r="G1754" t="str">
            <v>cái</v>
          </cell>
          <cell r="H1754">
            <v>0</v>
          </cell>
          <cell r="I1754">
            <v>29000</v>
          </cell>
          <cell r="K1754">
            <v>215654</v>
          </cell>
          <cell r="L1754">
            <v>2061.6999999999998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S1754">
            <v>0.1</v>
          </cell>
          <cell r="T1754">
            <v>0</v>
          </cell>
        </row>
        <row r="1755">
          <cell r="A1755" t="str">
            <v/>
          </cell>
          <cell r="B1755" t="str">
            <v>COS95</v>
          </cell>
          <cell r="C1755" t="str">
            <v>X</v>
          </cell>
          <cell r="E1755" t="str">
            <v>D4.5004</v>
          </cell>
          <cell r="F1755" t="str">
            <v>Đầu cosse ép Cu 95mm2</v>
          </cell>
          <cell r="G1755" t="str">
            <v>cái</v>
          </cell>
          <cell r="H1755">
            <v>0</v>
          </cell>
          <cell r="I1755">
            <v>22000</v>
          </cell>
          <cell r="K1755">
            <v>167731</v>
          </cell>
          <cell r="L1755">
            <v>1767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S1755">
            <v>0.2</v>
          </cell>
          <cell r="T1755">
            <v>0</v>
          </cell>
        </row>
        <row r="1756">
          <cell r="A1756" t="str">
            <v/>
          </cell>
          <cell r="B1756" t="str">
            <v>CHCOS120</v>
          </cell>
          <cell r="C1756" t="str">
            <v>X</v>
          </cell>
          <cell r="E1756">
            <v>0</v>
          </cell>
          <cell r="F1756" t="str">
            <v>Chụp đầu cosse  120mm2</v>
          </cell>
          <cell r="G1756" t="str">
            <v>cái</v>
          </cell>
          <cell r="H1756">
            <v>0</v>
          </cell>
          <cell r="I1756">
            <v>4000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S1756">
            <v>0</v>
          </cell>
          <cell r="T1756">
            <v>0</v>
          </cell>
        </row>
        <row r="1757">
          <cell r="A1757" t="str">
            <v/>
          </cell>
          <cell r="B1757" t="str">
            <v>CHCOS95</v>
          </cell>
          <cell r="C1757" t="str">
            <v>X</v>
          </cell>
          <cell r="E1757">
            <v>0</v>
          </cell>
          <cell r="F1757" t="str">
            <v>Chụp đầu cosse  95mm2</v>
          </cell>
          <cell r="G1757" t="str">
            <v>cái</v>
          </cell>
          <cell r="H1757">
            <v>0</v>
          </cell>
          <cell r="I1757">
            <v>4000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S1757">
            <v>0</v>
          </cell>
          <cell r="T1757">
            <v>0</v>
          </cell>
        </row>
        <row r="1758">
          <cell r="A1758" t="str">
            <v/>
          </cell>
          <cell r="B1758" t="str">
            <v>pvc90</v>
          </cell>
          <cell r="C1758" t="str">
            <v>X</v>
          </cell>
          <cell r="E1758">
            <v>0</v>
          </cell>
          <cell r="F1758" t="str">
            <v xml:space="preserve">Ống PVC D90x3,8mm </v>
          </cell>
          <cell r="G1758" t="str">
            <v>m</v>
          </cell>
          <cell r="H1758">
            <v>0</v>
          </cell>
          <cell r="I1758">
            <v>63200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S1758">
            <v>2</v>
          </cell>
          <cell r="T1758">
            <v>0</v>
          </cell>
        </row>
        <row r="1759">
          <cell r="A1759" t="str">
            <v/>
          </cell>
          <cell r="B1759" t="str">
            <v>cut90t</v>
          </cell>
          <cell r="C1759" t="str">
            <v>X</v>
          </cell>
          <cell r="E1759">
            <v>0</v>
          </cell>
          <cell r="F1759" t="str">
            <v>Co  90 độ PVC 90</v>
          </cell>
          <cell r="G1759" t="str">
            <v>cái</v>
          </cell>
          <cell r="H1759">
            <v>0</v>
          </cell>
          <cell r="I1759">
            <v>45400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S1759">
            <v>0</v>
          </cell>
          <cell r="T1759">
            <v>0</v>
          </cell>
        </row>
        <row r="1760">
          <cell r="A1760" t="str">
            <v/>
          </cell>
          <cell r="B1760" t="str">
            <v>KVRT90</v>
          </cell>
          <cell r="C1760" t="str">
            <v>X</v>
          </cell>
          <cell r="E1760">
            <v>0</v>
          </cell>
          <cell r="F1760" t="str">
            <v>Khâu ven răng trong D90</v>
          </cell>
          <cell r="G1760" t="str">
            <v>cái</v>
          </cell>
          <cell r="H1760">
            <v>0</v>
          </cell>
          <cell r="I1760">
            <v>9500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S1760">
            <v>0</v>
          </cell>
          <cell r="T1760">
            <v>0</v>
          </cell>
        </row>
        <row r="1761">
          <cell r="A1761" t="str">
            <v/>
          </cell>
          <cell r="B1761" t="str">
            <v>KVRN90</v>
          </cell>
          <cell r="C1761" t="str">
            <v>X</v>
          </cell>
          <cell r="E1761">
            <v>0</v>
          </cell>
          <cell r="F1761" t="str">
            <v>Khâu ven răng ngoài D90</v>
          </cell>
          <cell r="G1761" t="str">
            <v>cái</v>
          </cell>
          <cell r="H1761">
            <v>0</v>
          </cell>
          <cell r="I1761">
            <v>10600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S1761">
            <v>0</v>
          </cell>
          <cell r="T1761">
            <v>0</v>
          </cell>
        </row>
        <row r="1762">
          <cell r="A1762" t="str">
            <v/>
          </cell>
          <cell r="B1762" t="str">
            <v>lcapdongTB150</v>
          </cell>
          <cell r="C1762" t="str">
            <v>X</v>
          </cell>
          <cell r="E1762" t="str">
            <v>T4.4202</v>
          </cell>
          <cell r="F1762" t="str">
            <v>Lắp cáp đồng xuống thiết bị D ≤ 150mm2:</v>
          </cell>
          <cell r="G1762" t="str">
            <v>m</v>
          </cell>
          <cell r="H1762">
            <v>0</v>
          </cell>
          <cell r="I1762">
            <v>0</v>
          </cell>
          <cell r="K1762">
            <v>26400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S1762">
            <v>0</v>
          </cell>
          <cell r="T1762">
            <v>0</v>
          </cell>
        </row>
        <row r="1763">
          <cell r="A1763" t="str">
            <v/>
          </cell>
          <cell r="C1763" t="str">
            <v>X</v>
          </cell>
          <cell r="D1763">
            <v>0</v>
          </cell>
          <cell r="F1763" t="str">
            <v>Bộ dây dẫn cáp xuất hạ thế từ tủ MCCB lên lưới</v>
          </cell>
          <cell r="G1763" t="str">
            <v>Bộ</v>
          </cell>
          <cell r="H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S1763">
            <v>0</v>
          </cell>
          <cell r="T1763">
            <v>0</v>
          </cell>
        </row>
        <row r="1764">
          <cell r="A1764" t="str">
            <v/>
          </cell>
          <cell r="C1764" t="str">
            <v>X</v>
          </cell>
          <cell r="F1764" t="str">
            <v>Gồm có: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S1764">
            <v>0</v>
          </cell>
          <cell r="T1764">
            <v>0</v>
          </cell>
        </row>
        <row r="1765">
          <cell r="A1765" t="str">
            <v/>
          </cell>
          <cell r="B1765" t="str">
            <v>CV95</v>
          </cell>
          <cell r="C1765" t="str">
            <v>X</v>
          </cell>
          <cell r="E1765">
            <v>0</v>
          </cell>
          <cell r="F1765" t="str">
            <v>Cáp đồng bọc CV95</v>
          </cell>
          <cell r="G1765" t="str">
            <v>mét</v>
          </cell>
          <cell r="H1765">
            <v>0</v>
          </cell>
          <cell r="I1765">
            <v>170620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S1765">
            <v>1.008</v>
          </cell>
          <cell r="T1765">
            <v>0</v>
          </cell>
        </row>
        <row r="1766">
          <cell r="A1766" t="str">
            <v/>
          </cell>
          <cell r="B1766" t="str">
            <v>CV70</v>
          </cell>
          <cell r="C1766" t="str">
            <v>X</v>
          </cell>
          <cell r="E1766">
            <v>0</v>
          </cell>
          <cell r="F1766" t="str">
            <v>Cáp đồng bọc CV70</v>
          </cell>
          <cell r="G1766" t="str">
            <v>mét</v>
          </cell>
          <cell r="H1766">
            <v>0</v>
          </cell>
          <cell r="I1766">
            <v>124570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S1766">
            <v>0.73899999999999999</v>
          </cell>
          <cell r="T1766">
            <v>0</v>
          </cell>
        </row>
        <row r="1767">
          <cell r="A1767" t="str">
            <v/>
          </cell>
          <cell r="B1767" t="str">
            <v>CV95</v>
          </cell>
          <cell r="C1767" t="str">
            <v>X</v>
          </cell>
          <cell r="E1767">
            <v>0</v>
          </cell>
          <cell r="F1767" t="str">
            <v>Cáp đồng bọc CV95 (Bắt CB phân đoạn)</v>
          </cell>
          <cell r="G1767" t="str">
            <v>mét</v>
          </cell>
          <cell r="H1767">
            <v>0</v>
          </cell>
          <cell r="I1767">
            <v>170620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S1767">
            <v>1.008</v>
          </cell>
          <cell r="T1767">
            <v>0</v>
          </cell>
        </row>
        <row r="1768">
          <cell r="A1768" t="str">
            <v/>
          </cell>
          <cell r="B1768" t="str">
            <v>COS95</v>
          </cell>
          <cell r="C1768" t="str">
            <v>X</v>
          </cell>
          <cell r="F1768" t="str">
            <v>Đầu cosse ép Cu 95mm2</v>
          </cell>
          <cell r="G1768" t="str">
            <v>cái</v>
          </cell>
          <cell r="H1768">
            <v>0</v>
          </cell>
          <cell r="I1768">
            <v>47500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S1768">
            <v>0.2</v>
          </cell>
          <cell r="T1768">
            <v>0</v>
          </cell>
        </row>
        <row r="1769">
          <cell r="A1769" t="str">
            <v/>
          </cell>
          <cell r="B1769" t="str">
            <v>COS70</v>
          </cell>
          <cell r="C1769" t="str">
            <v>X</v>
          </cell>
          <cell r="F1769" t="str">
            <v>Đầu cosse ép Cu 70mm2</v>
          </cell>
          <cell r="G1769" t="str">
            <v>cái</v>
          </cell>
          <cell r="H1769">
            <v>0</v>
          </cell>
          <cell r="I1769">
            <v>34500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S1769">
            <v>0.2</v>
          </cell>
          <cell r="T1769">
            <v>0</v>
          </cell>
        </row>
        <row r="1770">
          <cell r="A1770" t="str">
            <v/>
          </cell>
          <cell r="B1770" t="str">
            <v>CHCOS95</v>
          </cell>
          <cell r="C1770" t="str">
            <v>X</v>
          </cell>
          <cell r="E1770">
            <v>0</v>
          </cell>
          <cell r="F1770" t="str">
            <v>Chụp đầu cosse  95mm2</v>
          </cell>
          <cell r="G1770" t="str">
            <v>cái</v>
          </cell>
          <cell r="H1770">
            <v>0</v>
          </cell>
          <cell r="I1770">
            <v>3300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S1770">
            <v>0</v>
          </cell>
          <cell r="T1770">
            <v>0</v>
          </cell>
        </row>
        <row r="1771">
          <cell r="A1771" t="str">
            <v/>
          </cell>
          <cell r="B1771" t="str">
            <v>CHCOS70</v>
          </cell>
          <cell r="C1771" t="str">
            <v>X</v>
          </cell>
          <cell r="E1771">
            <v>0</v>
          </cell>
          <cell r="F1771" t="str">
            <v>Chụp đầu cosse  70mm2</v>
          </cell>
          <cell r="G1771" t="str">
            <v>cái</v>
          </cell>
          <cell r="H1771">
            <v>0</v>
          </cell>
          <cell r="I1771">
            <v>2300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S1771">
            <v>0</v>
          </cell>
          <cell r="T1771">
            <v>0</v>
          </cell>
        </row>
        <row r="1772">
          <cell r="A1772" t="str">
            <v/>
          </cell>
          <cell r="B1772" t="str">
            <v>PVC90</v>
          </cell>
          <cell r="C1772" t="str">
            <v>X</v>
          </cell>
          <cell r="E1772">
            <v>0</v>
          </cell>
          <cell r="F1772" t="str">
            <v xml:space="preserve">Ống PVC D90x3,8mm </v>
          </cell>
          <cell r="G1772" t="str">
            <v>m</v>
          </cell>
          <cell r="H1772">
            <v>0</v>
          </cell>
          <cell r="I1772">
            <v>63200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S1772">
            <v>2</v>
          </cell>
          <cell r="T1772">
            <v>0</v>
          </cell>
        </row>
        <row r="1773">
          <cell r="A1773" t="str">
            <v/>
          </cell>
          <cell r="B1773" t="str">
            <v>CD90</v>
          </cell>
          <cell r="C1773" t="str">
            <v>X</v>
          </cell>
          <cell r="E1773">
            <v>0</v>
          </cell>
          <cell r="F1773" t="str">
            <v>Cổ dê kẹp ống PVC φ 90 (có giá nới) (CD-230)</v>
          </cell>
          <cell r="G1773" t="str">
            <v>bộ</v>
          </cell>
          <cell r="H1773">
            <v>0</v>
          </cell>
          <cell r="I1773">
            <v>74000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S1773">
            <v>1.5</v>
          </cell>
          <cell r="T1773">
            <v>0</v>
          </cell>
        </row>
        <row r="1774">
          <cell r="A1774" t="str">
            <v/>
          </cell>
          <cell r="B1774" t="str">
            <v>CD90</v>
          </cell>
          <cell r="C1774" t="str">
            <v>X</v>
          </cell>
          <cell r="E1774">
            <v>0</v>
          </cell>
          <cell r="F1774" t="str">
            <v>Cổ dê kẹp ống PVC φ 90 (có giá nới) (CD-280)</v>
          </cell>
          <cell r="G1774" t="str">
            <v>bộ</v>
          </cell>
          <cell r="H1774">
            <v>0</v>
          </cell>
          <cell r="I1774">
            <v>74000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S1774">
            <v>1.5</v>
          </cell>
          <cell r="T1774">
            <v>0</v>
          </cell>
        </row>
        <row r="1775">
          <cell r="A1775" t="str">
            <v/>
          </cell>
          <cell r="B1775" t="str">
            <v>CD90</v>
          </cell>
          <cell r="C1775" t="str">
            <v>X</v>
          </cell>
          <cell r="E1775">
            <v>0</v>
          </cell>
          <cell r="F1775" t="str">
            <v>Cổ dê kẹp ống PVC φ 90 (có giá nới) (CD-320)</v>
          </cell>
          <cell r="G1775" t="str">
            <v>bộ</v>
          </cell>
          <cell r="H1775">
            <v>0</v>
          </cell>
          <cell r="I1775">
            <v>74000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S1775">
            <v>1.5</v>
          </cell>
          <cell r="T1775">
            <v>0</v>
          </cell>
        </row>
        <row r="1776">
          <cell r="A1776" t="str">
            <v/>
          </cell>
          <cell r="B1776" t="str">
            <v>KVRT90</v>
          </cell>
          <cell r="C1776" t="str">
            <v>X</v>
          </cell>
          <cell r="E1776">
            <v>0</v>
          </cell>
          <cell r="F1776" t="str">
            <v>Khâu ven răng trong D90</v>
          </cell>
          <cell r="G1776" t="str">
            <v>cái</v>
          </cell>
          <cell r="H1776">
            <v>0</v>
          </cell>
          <cell r="I1776">
            <v>25800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S1776">
            <v>0</v>
          </cell>
          <cell r="T1776">
            <v>0</v>
          </cell>
        </row>
        <row r="1777">
          <cell r="A1777" t="str">
            <v/>
          </cell>
          <cell r="B1777" t="str">
            <v>KVRN90</v>
          </cell>
          <cell r="C1777" t="str">
            <v>X</v>
          </cell>
          <cell r="E1777">
            <v>0</v>
          </cell>
          <cell r="F1777" t="str">
            <v>Khâu ven răng ngoài D90</v>
          </cell>
          <cell r="G1777" t="str">
            <v>cái</v>
          </cell>
          <cell r="H1777">
            <v>0</v>
          </cell>
          <cell r="I1777">
            <v>21500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S1777">
            <v>0</v>
          </cell>
          <cell r="T1777">
            <v>0</v>
          </cell>
        </row>
        <row r="1778">
          <cell r="A1778" t="str">
            <v/>
          </cell>
          <cell r="B1778" t="str">
            <v>CUT90T</v>
          </cell>
          <cell r="C1778" t="str">
            <v>X</v>
          </cell>
          <cell r="E1778">
            <v>0</v>
          </cell>
          <cell r="F1778" t="str">
            <v>Co  90 độ PVC 90</v>
          </cell>
          <cell r="G1778" t="str">
            <v>cái</v>
          </cell>
          <cell r="H1778">
            <v>0</v>
          </cell>
          <cell r="I1778">
            <v>35200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S1778">
            <v>0</v>
          </cell>
          <cell r="T1778">
            <v>0</v>
          </cell>
        </row>
        <row r="1779">
          <cell r="A1779" t="str">
            <v/>
          </cell>
          <cell r="B1779" t="str">
            <v>CUT90TD</v>
          </cell>
          <cell r="C1779" t="str">
            <v>X</v>
          </cell>
          <cell r="E1779">
            <v>0</v>
          </cell>
          <cell r="F1779" t="str">
            <v>Co  90 độ PVC 90 (Loại dày)</v>
          </cell>
          <cell r="G1779" t="str">
            <v>cái</v>
          </cell>
          <cell r="H1779">
            <v>0</v>
          </cell>
          <cell r="I1779">
            <v>45400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S1779">
            <v>0</v>
          </cell>
          <cell r="T1779">
            <v>0</v>
          </cell>
        </row>
        <row r="1780">
          <cell r="A1780" t="str">
            <v/>
          </cell>
          <cell r="B1780" t="str">
            <v>CUT90135</v>
          </cell>
          <cell r="C1780" t="str">
            <v>X</v>
          </cell>
          <cell r="E1780">
            <v>0</v>
          </cell>
          <cell r="F1780" t="str">
            <v>Co 135 độ PVC 90</v>
          </cell>
          <cell r="G1780" t="str">
            <v>cái</v>
          </cell>
          <cell r="H1780">
            <v>0</v>
          </cell>
          <cell r="I1780">
            <v>33900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S1780">
            <v>0</v>
          </cell>
          <cell r="T1780">
            <v>0</v>
          </cell>
        </row>
        <row r="1781">
          <cell r="A1781" t="str">
            <v/>
          </cell>
          <cell r="B1781" t="str">
            <v>KEODAN</v>
          </cell>
          <cell r="C1781" t="str">
            <v>X</v>
          </cell>
          <cell r="E1781">
            <v>0</v>
          </cell>
          <cell r="F1781" t="str">
            <v>Keo dán ống PVC (100gr)</v>
          </cell>
          <cell r="G1781" t="str">
            <v>tuýp</v>
          </cell>
          <cell r="H1781">
            <v>0</v>
          </cell>
          <cell r="I1781">
            <v>11500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S1781">
            <v>0</v>
          </cell>
          <cell r="T1781">
            <v>0</v>
          </cell>
        </row>
        <row r="1782">
          <cell r="A1782" t="str">
            <v/>
          </cell>
          <cell r="B1782" t="str">
            <v>KEOBIT</v>
          </cell>
          <cell r="C1782" t="str">
            <v>X</v>
          </cell>
          <cell r="E1782">
            <v>0</v>
          </cell>
          <cell r="F1782" t="str">
            <v>Keo silicon bít miệng ống</v>
          </cell>
          <cell r="G1782" t="str">
            <v>ống</v>
          </cell>
          <cell r="I1782">
            <v>45000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S1782">
            <v>0</v>
          </cell>
          <cell r="T1782">
            <v>0</v>
          </cell>
        </row>
        <row r="1783">
          <cell r="B1783" t="str">
            <v>BANGKEO</v>
          </cell>
          <cell r="C1783" t="str">
            <v>X</v>
          </cell>
          <cell r="E1783">
            <v>0</v>
          </cell>
          <cell r="F1783" t="str">
            <v>Băng keo cách điện (Màu đen)</v>
          </cell>
          <cell r="G1783" t="str">
            <v>cuộn</v>
          </cell>
          <cell r="H1783">
            <v>0</v>
          </cell>
          <cell r="I1783">
            <v>6500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S1783">
            <v>0</v>
          </cell>
          <cell r="T1783">
            <v>0</v>
          </cell>
        </row>
        <row r="1784">
          <cell r="B1784" t="str">
            <v>BANGKEOV</v>
          </cell>
          <cell r="C1784" t="str">
            <v>X</v>
          </cell>
          <cell r="E1784">
            <v>0</v>
          </cell>
          <cell r="F1784" t="str">
            <v>Băng keo cách điện (Màu vàng)</v>
          </cell>
          <cell r="G1784" t="str">
            <v>cuộn</v>
          </cell>
          <cell r="H1784">
            <v>0</v>
          </cell>
          <cell r="I1784">
            <v>6500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S1784">
            <v>0</v>
          </cell>
          <cell r="T1784">
            <v>0</v>
          </cell>
        </row>
        <row r="1785">
          <cell r="B1785" t="str">
            <v>BANGKEOX</v>
          </cell>
          <cell r="C1785" t="str">
            <v>X</v>
          </cell>
          <cell r="E1785">
            <v>0</v>
          </cell>
          <cell r="F1785" t="str">
            <v>Băng keo cách điện (Màu xanh)</v>
          </cell>
          <cell r="G1785" t="str">
            <v>cuộn</v>
          </cell>
          <cell r="H1785">
            <v>0</v>
          </cell>
          <cell r="I1785">
            <v>6500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S1785">
            <v>0</v>
          </cell>
          <cell r="T1785">
            <v>0</v>
          </cell>
        </row>
        <row r="1786">
          <cell r="B1786" t="str">
            <v>BANGKEOD</v>
          </cell>
          <cell r="C1786" t="str">
            <v>X</v>
          </cell>
          <cell r="E1786">
            <v>0</v>
          </cell>
          <cell r="F1786" t="str">
            <v>Băng keo cách điện (Màu đỏ)</v>
          </cell>
          <cell r="G1786" t="str">
            <v>cuộn</v>
          </cell>
          <cell r="H1786">
            <v>0</v>
          </cell>
          <cell r="I1786">
            <v>6500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S1786">
            <v>0</v>
          </cell>
          <cell r="T1786">
            <v>0</v>
          </cell>
        </row>
        <row r="1787">
          <cell r="A1787" t="str">
            <v/>
          </cell>
          <cell r="B1787" t="str">
            <v>LPVC90CL</v>
          </cell>
          <cell r="C1787" t="str">
            <v>X</v>
          </cell>
          <cell r="E1787" t="str">
            <v>T4.8003</v>
          </cell>
          <cell r="F1787" t="str">
            <v>Lắp ống nhựa PVC D90</v>
          </cell>
          <cell r="G1787" t="str">
            <v>mét</v>
          </cell>
          <cell r="H1787">
            <v>0</v>
          </cell>
          <cell r="I1787">
            <v>0</v>
          </cell>
          <cell r="K1787">
            <v>35541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S1787">
            <v>0</v>
          </cell>
          <cell r="T1787">
            <v>0</v>
          </cell>
        </row>
        <row r="1788">
          <cell r="A1788" t="str">
            <v/>
          </cell>
          <cell r="B1788" t="str">
            <v>LCAPDONGTB95</v>
          </cell>
          <cell r="C1788" t="str">
            <v>X</v>
          </cell>
          <cell r="E1788" t="str">
            <v>T4.4201</v>
          </cell>
          <cell r="F1788" t="str">
            <v>Lắp cáp đồng xuống thiết bị D ≤ 95mm2</v>
          </cell>
          <cell r="G1788" t="str">
            <v>m</v>
          </cell>
          <cell r="H1788">
            <v>0</v>
          </cell>
          <cell r="I1788">
            <v>0</v>
          </cell>
          <cell r="K1788">
            <v>11847</v>
          </cell>
          <cell r="L1788">
            <v>0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S1788">
            <v>0</v>
          </cell>
          <cell r="T1788">
            <v>0</v>
          </cell>
        </row>
        <row r="1789">
          <cell r="A1789" t="str">
            <v/>
          </cell>
          <cell r="B1789" t="str">
            <v>LCAPDONGTB150</v>
          </cell>
          <cell r="C1789" t="str">
            <v>X</v>
          </cell>
          <cell r="E1789" t="str">
            <v>T4.4202</v>
          </cell>
          <cell r="F1789" t="str">
            <v>Lắp cáp đồng xuống thiết bị D ≤ 150mm2</v>
          </cell>
          <cell r="G1789" t="str">
            <v>m</v>
          </cell>
          <cell r="I1789">
            <v>0</v>
          </cell>
          <cell r="K1789">
            <v>28433</v>
          </cell>
          <cell r="L1789">
            <v>0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S1789">
            <v>0</v>
          </cell>
          <cell r="T1789">
            <v>0</v>
          </cell>
        </row>
        <row r="1790">
          <cell r="C1790" t="str">
            <v>X</v>
          </cell>
          <cell r="D1790">
            <v>0</v>
          </cell>
          <cell r="F1790" t="str">
            <v>Phụ kiện dừng dây hạ thế vào trạm</v>
          </cell>
          <cell r="G1790" t="str">
            <v>Bộ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S1790">
            <v>0</v>
          </cell>
          <cell r="T1790">
            <v>0</v>
          </cell>
        </row>
        <row r="1791">
          <cell r="C1791" t="str">
            <v>X</v>
          </cell>
          <cell r="F1791" t="str">
            <v>Lưới hạ thế sau TBA Sông Ray 9B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S1791">
            <v>0</v>
          </cell>
          <cell r="T1791">
            <v>0</v>
          </cell>
        </row>
        <row r="1792">
          <cell r="B1792" t="str">
            <v>KNGUNG95</v>
          </cell>
          <cell r="C1792" t="str">
            <v>X</v>
          </cell>
          <cell r="E1792">
            <v>0</v>
          </cell>
          <cell r="F1792" t="str">
            <v>Kẹp ngừng cáp ABC4x95mm2</v>
          </cell>
          <cell r="G1792" t="str">
            <v>cái</v>
          </cell>
          <cell r="I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S1792">
            <v>0</v>
          </cell>
          <cell r="T1792">
            <v>0</v>
          </cell>
        </row>
        <row r="1793">
          <cell r="B1793" t="str">
            <v>BMOC16300</v>
          </cell>
          <cell r="C1793" t="str">
            <v>X</v>
          </cell>
          <cell r="E1793">
            <v>0</v>
          </cell>
          <cell r="F1793" t="str">
            <v>Boulon móc 16x300+ long đền vuông D18-50x50x3/Zn</v>
          </cell>
          <cell r="G1793" t="str">
            <v>bộ</v>
          </cell>
          <cell r="I1793">
            <v>41500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S1793">
            <v>0.3</v>
          </cell>
          <cell r="T1793">
            <v>0</v>
          </cell>
        </row>
        <row r="1794">
          <cell r="B1794" t="str">
            <v>ON95</v>
          </cell>
          <cell r="C1794" t="str">
            <v>X</v>
          </cell>
          <cell r="F1794" t="str">
            <v>Ống nối dây AC cỡ 95mm2 (Không lõi thép)</v>
          </cell>
          <cell r="G1794" t="str">
            <v>cái</v>
          </cell>
          <cell r="I1794">
            <v>47500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S1794">
            <v>2.5</v>
          </cell>
          <cell r="T1794">
            <v>0</v>
          </cell>
        </row>
        <row r="1795">
          <cell r="B1795" t="str">
            <v>OBCD</v>
          </cell>
          <cell r="C1795" t="str">
            <v>X</v>
          </cell>
          <cell r="E1795">
            <v>0</v>
          </cell>
          <cell r="F1795" t="str">
            <v>Ống bọc cách điện D30</v>
          </cell>
          <cell r="G1795" t="str">
            <v>mét</v>
          </cell>
          <cell r="I1795">
            <v>95000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S1795">
            <v>0</v>
          </cell>
          <cell r="T1795">
            <v>0</v>
          </cell>
        </row>
        <row r="1796">
          <cell r="C1796" t="str">
            <v>X</v>
          </cell>
          <cell r="F1796" t="str">
            <v>Lưới hạ thế sau TBA Xuân Đông 2A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S1796">
            <v>0</v>
          </cell>
          <cell r="T1796">
            <v>0</v>
          </cell>
        </row>
        <row r="1797">
          <cell r="B1797" t="str">
            <v>KNGUNG120</v>
          </cell>
          <cell r="C1797" t="str">
            <v>X</v>
          </cell>
          <cell r="E1797">
            <v>0</v>
          </cell>
          <cell r="F1797" t="str">
            <v>Kẹp ngừng cáp ABC4x120mm2</v>
          </cell>
          <cell r="G1797" t="str">
            <v>cái</v>
          </cell>
          <cell r="I1797">
            <v>74000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S1797">
            <v>0</v>
          </cell>
          <cell r="T1797">
            <v>0</v>
          </cell>
        </row>
        <row r="1798">
          <cell r="B1798" t="str">
            <v>BMOC16300</v>
          </cell>
          <cell r="C1798" t="str">
            <v>X</v>
          </cell>
          <cell r="E1798">
            <v>0</v>
          </cell>
          <cell r="F1798" t="str">
            <v>Boulon móc 16x300+ long đền vuông D18-50x50x3/Zn</v>
          </cell>
          <cell r="G1798" t="str">
            <v>bộ</v>
          </cell>
          <cell r="I1798">
            <v>41500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S1798">
            <v>0.3</v>
          </cell>
          <cell r="T1798">
            <v>0</v>
          </cell>
        </row>
        <row r="1799">
          <cell r="B1799" t="str">
            <v>ON120</v>
          </cell>
          <cell r="C1799" t="str">
            <v>X</v>
          </cell>
          <cell r="F1799" t="str">
            <v>Ống nối dây AC cỡ 120mm2 (Không lõi thép)</v>
          </cell>
          <cell r="G1799" t="str">
            <v>cái</v>
          </cell>
          <cell r="I1799">
            <v>65500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S1799">
            <v>2</v>
          </cell>
          <cell r="T1799">
            <v>0</v>
          </cell>
        </row>
        <row r="1800">
          <cell r="B1800" t="str">
            <v>OBCD</v>
          </cell>
          <cell r="C1800" t="str">
            <v>X</v>
          </cell>
          <cell r="E1800">
            <v>0</v>
          </cell>
          <cell r="F1800" t="str">
            <v>Ống bọc cách điện D30</v>
          </cell>
          <cell r="G1800" t="str">
            <v>mét</v>
          </cell>
          <cell r="I1800">
            <v>95000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S1800">
            <v>0</v>
          </cell>
          <cell r="T1800">
            <v>0</v>
          </cell>
        </row>
        <row r="1801">
          <cell r="B1801" t="str">
            <v>BANG</v>
          </cell>
          <cell r="C1801" t="str">
            <v>X</v>
          </cell>
          <cell r="D1801">
            <v>0</v>
          </cell>
          <cell r="E1801">
            <v>0</v>
          </cell>
          <cell r="F1801" t="str">
            <v>Bảng tên trạm + bulon</v>
          </cell>
          <cell r="G1801" t="str">
            <v>bộ</v>
          </cell>
          <cell r="H1801">
            <v>0</v>
          </cell>
          <cell r="I1801">
            <v>100000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S1801">
            <v>0</v>
          </cell>
          <cell r="T1801">
            <v>0</v>
          </cell>
        </row>
        <row r="1802">
          <cell r="A1802" t="str">
            <v>T3P160N</v>
          </cell>
          <cell r="C1802" t="str">
            <v>X</v>
          </cell>
          <cell r="D1802" t="str">
            <v>XV</v>
          </cell>
          <cell r="E1802" t="str">
            <v>0 Trạm 3 pha 160kVA (trạm ngồi)</v>
          </cell>
        </row>
        <row r="1803">
          <cell r="A1803" t="str">
            <v>TBT3P160N</v>
          </cell>
          <cell r="C1803" t="str">
            <v>X</v>
          </cell>
          <cell r="F1803" t="str">
            <v>A.PHẦN THIẾT BỊ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S1803">
            <v>0</v>
          </cell>
          <cell r="T1803">
            <v>0</v>
          </cell>
        </row>
        <row r="1804">
          <cell r="A1804" t="str">
            <v/>
          </cell>
          <cell r="B1804" t="str">
            <v>TR160</v>
          </cell>
          <cell r="C1804" t="str">
            <v>X</v>
          </cell>
          <cell r="D1804">
            <v>0</v>
          </cell>
          <cell r="E1804" t="str">
            <v>T1.1414</v>
          </cell>
          <cell r="F1804" t="str">
            <v>Máy biến áp 22/0,4kV- 160kVA</v>
          </cell>
          <cell r="G1804" t="str">
            <v>máy</v>
          </cell>
          <cell r="H1804">
            <v>0</v>
          </cell>
          <cell r="I1804">
            <v>120043000</v>
          </cell>
          <cell r="K1804">
            <v>1282588</v>
          </cell>
          <cell r="L1804">
            <v>360605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S1804">
            <v>904</v>
          </cell>
          <cell r="T1804">
            <v>0</v>
          </cell>
        </row>
        <row r="1805">
          <cell r="A1805" t="str">
            <v/>
          </cell>
          <cell r="B1805" t="str">
            <v>FCO100</v>
          </cell>
          <cell r="C1805" t="str">
            <v>X</v>
          </cell>
          <cell r="D1805">
            <v>0</v>
          </cell>
          <cell r="E1805" t="str">
            <v>T2.3505</v>
          </cell>
          <cell r="F1805" t="str">
            <v>FCO 27kV - 100A</v>
          </cell>
          <cell r="G1805" t="str">
            <v>cái</v>
          </cell>
          <cell r="H1805">
            <v>0</v>
          </cell>
          <cell r="I1805">
            <v>1020000</v>
          </cell>
          <cell r="K1805">
            <v>189552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S1805">
            <v>1.5</v>
          </cell>
          <cell r="T1805">
            <v>0</v>
          </cell>
        </row>
        <row r="1806">
          <cell r="A1806" t="str">
            <v/>
          </cell>
          <cell r="B1806" t="str">
            <v>LA18</v>
          </cell>
          <cell r="C1806" t="str">
            <v>X</v>
          </cell>
          <cell r="D1806">
            <v>0</v>
          </cell>
          <cell r="E1806" t="str">
            <v>T2.5004</v>
          </cell>
          <cell r="F1806" t="str">
            <v>LA 18kV 10kA</v>
          </cell>
          <cell r="G1806" t="str">
            <v>cái</v>
          </cell>
          <cell r="H1806">
            <v>0</v>
          </cell>
          <cell r="I1806">
            <v>910000</v>
          </cell>
          <cell r="K1806">
            <v>71082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S1806">
            <v>0.8</v>
          </cell>
          <cell r="T1806">
            <v>0</v>
          </cell>
        </row>
        <row r="1807">
          <cell r="A1807" t="str">
            <v/>
          </cell>
          <cell r="B1807" t="str">
            <v>ATM320</v>
          </cell>
          <cell r="C1807" t="str">
            <v>X</v>
          </cell>
          <cell r="D1807">
            <v>0</v>
          </cell>
          <cell r="F1807" t="str">
            <v>MCCB 3 cực 600V - 320A - 42KA (200-320A)</v>
          </cell>
          <cell r="G1807" t="str">
            <v>cái</v>
          </cell>
          <cell r="H1807">
            <v>0</v>
          </cell>
          <cell r="I1807">
            <v>4690000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S1807">
            <v>3</v>
          </cell>
          <cell r="T1807">
            <v>0</v>
          </cell>
        </row>
        <row r="1808">
          <cell r="A1808" t="str">
            <v/>
          </cell>
          <cell r="B1808" t="str">
            <v>ATM200</v>
          </cell>
          <cell r="C1808" t="str">
            <v>X</v>
          </cell>
          <cell r="F1808" t="str">
            <v>MCCB 3 cực 400V - 200A - 35KA (125-200A) (Phân đoạn)</v>
          </cell>
          <cell r="G1808" t="str">
            <v>cái</v>
          </cell>
          <cell r="H1808">
            <v>0</v>
          </cell>
          <cell r="I1808">
            <v>2590000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S1808">
            <v>2</v>
          </cell>
          <cell r="T1808">
            <v>0</v>
          </cell>
        </row>
        <row r="1809">
          <cell r="A1809" t="str">
            <v/>
          </cell>
          <cell r="B1809" t="str">
            <v>TI250</v>
          </cell>
          <cell r="C1809" t="str">
            <v>X</v>
          </cell>
          <cell r="D1809">
            <v>0</v>
          </cell>
          <cell r="E1809">
            <v>0</v>
          </cell>
          <cell r="F1809" t="str">
            <v>Biến dòng 600V - 250/5A</v>
          </cell>
          <cell r="G1809" t="str">
            <v>cái</v>
          </cell>
          <cell r="H1809">
            <v>0</v>
          </cell>
          <cell r="I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S1809">
            <v>1</v>
          </cell>
          <cell r="T1809">
            <v>0</v>
          </cell>
        </row>
        <row r="1810">
          <cell r="A1810" t="str">
            <v/>
          </cell>
          <cell r="B1810" t="str">
            <v>DK3P</v>
          </cell>
          <cell r="C1810" t="str">
            <v>X</v>
          </cell>
          <cell r="D1810">
            <v>0</v>
          </cell>
          <cell r="E1810">
            <v>0</v>
          </cell>
          <cell r="F1810" t="str">
            <v>Điện năng kế 3 pha 380V-5A</v>
          </cell>
          <cell r="G1810" t="str">
            <v>cái</v>
          </cell>
          <cell r="H1810">
            <v>0</v>
          </cell>
          <cell r="I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S1810">
            <v>0</v>
          </cell>
          <cell r="T1810">
            <v>0</v>
          </cell>
        </row>
        <row r="1811">
          <cell r="A1811" t="str">
            <v>VLT3P160N</v>
          </cell>
          <cell r="C1811" t="str">
            <v>X</v>
          </cell>
          <cell r="F1811" t="str">
            <v>B. PHẦN VẬT LIỆU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S1811">
            <v>0</v>
          </cell>
          <cell r="T1811">
            <v>0</v>
          </cell>
        </row>
        <row r="1812">
          <cell r="A1812" t="str">
            <v/>
          </cell>
          <cell r="C1812" t="str">
            <v>X</v>
          </cell>
          <cell r="D1812">
            <v>0</v>
          </cell>
          <cell r="F1812" t="str">
            <v>Vật liệu cách điện TBA và phụ kiện</v>
          </cell>
          <cell r="G1812" t="str">
            <v>Trụ</v>
          </cell>
          <cell r="H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S1812">
            <v>0</v>
          </cell>
          <cell r="T1812">
            <v>0</v>
          </cell>
        </row>
        <row r="1813">
          <cell r="A1813" t="str">
            <v/>
          </cell>
          <cell r="C1813" t="str">
            <v>X</v>
          </cell>
          <cell r="F1813" t="str">
            <v>Gồm có: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S1813">
            <v>0</v>
          </cell>
          <cell r="T1813">
            <v>0</v>
          </cell>
        </row>
        <row r="1814">
          <cell r="A1814" t="str">
            <v/>
          </cell>
          <cell r="B1814" t="str">
            <v>CHI6K</v>
          </cell>
          <cell r="C1814" t="str">
            <v>X</v>
          </cell>
          <cell r="D1814">
            <v>0</v>
          </cell>
          <cell r="E1814">
            <v>0</v>
          </cell>
          <cell r="F1814" t="str">
            <v>Dây chảy 6K</v>
          </cell>
          <cell r="G1814" t="str">
            <v>Sợi</v>
          </cell>
          <cell r="H1814">
            <v>0</v>
          </cell>
          <cell r="I1814">
            <v>84000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S1814">
            <v>0</v>
          </cell>
          <cell r="T1814">
            <v>0</v>
          </cell>
        </row>
        <row r="1815">
          <cell r="A1815" t="str">
            <v/>
          </cell>
          <cell r="B1815" t="str">
            <v>CHUPMBA</v>
          </cell>
          <cell r="C1815" t="str">
            <v>X</v>
          </cell>
          <cell r="E1815">
            <v>0</v>
          </cell>
          <cell r="F1815" t="str">
            <v>Chụp đầu cực MBA</v>
          </cell>
          <cell r="G1815" t="str">
            <v>cái</v>
          </cell>
          <cell r="H1815">
            <v>0</v>
          </cell>
          <cell r="I1815">
            <v>52000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S1815">
            <v>0</v>
          </cell>
          <cell r="T1815">
            <v>0</v>
          </cell>
        </row>
        <row r="1816">
          <cell r="A1816" t="str">
            <v/>
          </cell>
          <cell r="B1816" t="str">
            <v>CHUPFCO</v>
          </cell>
          <cell r="C1816" t="str">
            <v>X</v>
          </cell>
          <cell r="E1816">
            <v>0</v>
          </cell>
          <cell r="F1816" t="str">
            <v>Chụp đầu FCO (Trên + Dưới)</v>
          </cell>
          <cell r="G1816" t="str">
            <v>bộ</v>
          </cell>
          <cell r="H1816">
            <v>0</v>
          </cell>
          <cell r="I1816">
            <v>190000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S1816">
            <v>0</v>
          </cell>
          <cell r="T1816">
            <v>0</v>
          </cell>
        </row>
        <row r="1817">
          <cell r="A1817" t="str">
            <v/>
          </cell>
          <cell r="B1817" t="str">
            <v>CHUPLA</v>
          </cell>
          <cell r="C1817" t="str">
            <v>X</v>
          </cell>
          <cell r="E1817">
            <v>0</v>
          </cell>
          <cell r="F1817" t="str">
            <v>Chụp đầu LA</v>
          </cell>
          <cell r="G1817" t="str">
            <v>cái</v>
          </cell>
          <cell r="H1817">
            <v>0</v>
          </cell>
          <cell r="I1817">
            <v>32000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S1817">
            <v>0</v>
          </cell>
          <cell r="T1817">
            <v>0</v>
          </cell>
        </row>
        <row r="1818">
          <cell r="A1818" t="str">
            <v/>
          </cell>
          <cell r="C1818" t="str">
            <v>X</v>
          </cell>
          <cell r="D1818">
            <v>0</v>
          </cell>
          <cell r="F1818" t="str">
            <v>Trụ bê tông ly tâm 10,5m</v>
          </cell>
          <cell r="G1818" t="str">
            <v>Trụ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S1818">
            <v>0</v>
          </cell>
          <cell r="T1818">
            <v>0</v>
          </cell>
        </row>
        <row r="1819">
          <cell r="A1819" t="str">
            <v/>
          </cell>
          <cell r="C1819" t="str">
            <v>X</v>
          </cell>
          <cell r="F1819" t="str">
            <v>Gồm có: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S1819">
            <v>0</v>
          </cell>
          <cell r="T1819">
            <v>0</v>
          </cell>
        </row>
        <row r="1820">
          <cell r="A1820" t="str">
            <v/>
          </cell>
          <cell r="B1820" t="str">
            <v>T10</v>
          </cell>
          <cell r="C1820" t="str">
            <v>X</v>
          </cell>
          <cell r="E1820">
            <v>0</v>
          </cell>
          <cell r="F1820" t="str">
            <v>Trụ BTLT 10,5m F350 (hệ số K=2 dự ứng lực)</v>
          </cell>
          <cell r="G1820" t="str">
            <v>trụ</v>
          </cell>
          <cell r="I1820">
            <v>3454546</v>
          </cell>
          <cell r="K1820">
            <v>0</v>
          </cell>
          <cell r="L1820">
            <v>0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S1820">
            <v>700</v>
          </cell>
          <cell r="T1820">
            <v>0</v>
          </cell>
        </row>
        <row r="1821">
          <cell r="A1821" t="str">
            <v/>
          </cell>
          <cell r="B1821" t="str">
            <v>C10M</v>
          </cell>
          <cell r="C1821" t="str">
            <v>X</v>
          </cell>
          <cell r="E1821" t="str">
            <v>D2.5222</v>
          </cell>
          <cell r="F1821" t="str">
            <v>Dựng trụ BTLT &lt;=10m thủ công +cơ giới</v>
          </cell>
          <cell r="G1821" t="str">
            <v>trụ</v>
          </cell>
          <cell r="I1821">
            <v>0</v>
          </cell>
          <cell r="K1821">
            <v>469141</v>
          </cell>
          <cell r="L1821">
            <v>135772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S1821">
            <v>0</v>
          </cell>
          <cell r="T1821">
            <v>0</v>
          </cell>
        </row>
        <row r="1822">
          <cell r="A1822" t="str">
            <v/>
          </cell>
          <cell r="C1822" t="str">
            <v>X</v>
          </cell>
          <cell r="D1822">
            <v>0</v>
          </cell>
          <cell r="F1822" t="str">
            <v>Trụ bê tông ly tâm 12m</v>
          </cell>
          <cell r="G1822" t="str">
            <v>Trụ</v>
          </cell>
          <cell r="H1822">
            <v>0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S1822">
            <v>0</v>
          </cell>
          <cell r="T1822">
            <v>0</v>
          </cell>
        </row>
        <row r="1823">
          <cell r="A1823" t="str">
            <v/>
          </cell>
          <cell r="C1823" t="str">
            <v>X</v>
          </cell>
          <cell r="F1823" t="str">
            <v>Gồm có: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S1823">
            <v>0</v>
          </cell>
          <cell r="T1823">
            <v>0</v>
          </cell>
        </row>
        <row r="1824">
          <cell r="A1824" t="str">
            <v/>
          </cell>
          <cell r="B1824" t="str">
            <v>T12</v>
          </cell>
          <cell r="C1824" t="str">
            <v>X</v>
          </cell>
          <cell r="E1824">
            <v>0</v>
          </cell>
          <cell r="F1824" t="str">
            <v>Trụ BTLT 12m F540 (hệ số K=2 dự ứng lực)</v>
          </cell>
          <cell r="G1824" t="str">
            <v>trụ</v>
          </cell>
          <cell r="H1824">
            <v>0</v>
          </cell>
          <cell r="I1824">
            <v>4427273</v>
          </cell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S1824">
            <v>1250</v>
          </cell>
          <cell r="T1824">
            <v>0</v>
          </cell>
        </row>
        <row r="1825">
          <cell r="A1825" t="str">
            <v/>
          </cell>
          <cell r="B1825" t="str">
            <v>C12TBA</v>
          </cell>
          <cell r="C1825" t="str">
            <v>X</v>
          </cell>
          <cell r="E1825" t="str">
            <v>T4.9103</v>
          </cell>
          <cell r="F1825" t="str">
            <v>Dựng trụ BTLT 12m trong TBA</v>
          </cell>
          <cell r="G1825" t="str">
            <v>trụ</v>
          </cell>
          <cell r="H1825">
            <v>0</v>
          </cell>
          <cell r="I1825">
            <v>0</v>
          </cell>
          <cell r="K1825">
            <v>837772</v>
          </cell>
          <cell r="L1825">
            <v>310336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S1825">
            <v>0</v>
          </cell>
          <cell r="T1825">
            <v>0</v>
          </cell>
        </row>
        <row r="1826">
          <cell r="A1826" t="str">
            <v/>
          </cell>
          <cell r="C1826" t="str">
            <v>X</v>
          </cell>
          <cell r="D1826">
            <v>0</v>
          </cell>
          <cell r="F1826" t="str">
            <v>Móng M10a</v>
          </cell>
          <cell r="G1826" t="str">
            <v>Móng</v>
          </cell>
          <cell r="H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S1826">
            <v>0</v>
          </cell>
          <cell r="T1826">
            <v>0</v>
          </cell>
        </row>
        <row r="1827">
          <cell r="A1827" t="str">
            <v/>
          </cell>
          <cell r="C1827" t="str">
            <v>X</v>
          </cell>
          <cell r="F1827" t="str">
            <v>Gồm có: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S1827">
            <v>0</v>
          </cell>
          <cell r="T1827">
            <v>0</v>
          </cell>
        </row>
        <row r="1828">
          <cell r="A1828" t="str">
            <v/>
          </cell>
          <cell r="B1828" t="str">
            <v>d12</v>
          </cell>
          <cell r="C1828" t="str">
            <v>X</v>
          </cell>
          <cell r="E1828" t="str">
            <v>AG.42111</v>
          </cell>
          <cell r="F1828" t="str">
            <v>Đà cản BTCT 1,2m</v>
          </cell>
          <cell r="G1828" t="str">
            <v>cái</v>
          </cell>
          <cell r="I1828">
            <v>318000</v>
          </cell>
          <cell r="K1828">
            <v>161119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S1828">
            <v>80</v>
          </cell>
          <cell r="T1828">
            <v>0</v>
          </cell>
        </row>
        <row r="1829">
          <cell r="A1829" t="str">
            <v/>
          </cell>
          <cell r="B1829" t="str">
            <v>B22550v</v>
          </cell>
          <cell r="C1829" t="str">
            <v>X</v>
          </cell>
          <cell r="E1829">
            <v>0</v>
          </cell>
          <cell r="F1829" t="str">
            <v>Boulon 22x550VRS + 2 long đền vuông D24-60x60x6/Zn</v>
          </cell>
          <cell r="G1829" t="str">
            <v>bộ</v>
          </cell>
          <cell r="I1829">
            <v>90000</v>
          </cell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S1829">
            <v>0.55000000000000004</v>
          </cell>
          <cell r="T1829">
            <v>0</v>
          </cell>
        </row>
        <row r="1830">
          <cell r="A1830" t="str">
            <v/>
          </cell>
          <cell r="B1830" t="str">
            <v>MDD3</v>
          </cell>
          <cell r="C1830" t="str">
            <v>X</v>
          </cell>
          <cell r="E1830" t="str">
            <v>AB.11423</v>
          </cell>
          <cell r="F1830" t="str">
            <v>Đào hố móng đất cấp 3 sâu &gt;1m</v>
          </cell>
          <cell r="G1830" t="str">
            <v>m3</v>
          </cell>
          <cell r="I1830">
            <v>0</v>
          </cell>
          <cell r="K1830">
            <v>418738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S1830">
            <v>0</v>
          </cell>
          <cell r="T1830">
            <v>0</v>
          </cell>
        </row>
        <row r="1831">
          <cell r="A1831" t="str">
            <v/>
          </cell>
          <cell r="B1831" t="str">
            <v>MDAP3</v>
          </cell>
          <cell r="C1831" t="str">
            <v>X</v>
          </cell>
          <cell r="E1831" t="str">
            <v>AB.13113</v>
          </cell>
          <cell r="F1831" t="str">
            <v>Đắp đất hố móng (K=0,95)</v>
          </cell>
          <cell r="G1831" t="str">
            <v>m3</v>
          </cell>
          <cell r="I1831">
            <v>0</v>
          </cell>
          <cell r="K1831">
            <v>125264</v>
          </cell>
          <cell r="L1831">
            <v>0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  <cell r="S1831">
            <v>0</v>
          </cell>
          <cell r="T1831">
            <v>0</v>
          </cell>
        </row>
        <row r="1832">
          <cell r="A1832" t="str">
            <v/>
          </cell>
          <cell r="C1832" t="str">
            <v>X</v>
          </cell>
          <cell r="D1832">
            <v>0</v>
          </cell>
          <cell r="F1832" t="str">
            <v>Móng M12a</v>
          </cell>
          <cell r="G1832" t="str">
            <v>Móng</v>
          </cell>
          <cell r="H1832">
            <v>0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  <cell r="S1832">
            <v>0</v>
          </cell>
          <cell r="T1832">
            <v>0</v>
          </cell>
        </row>
        <row r="1833">
          <cell r="A1833" t="str">
            <v/>
          </cell>
          <cell r="C1833" t="str">
            <v>X</v>
          </cell>
          <cell r="F1833" t="str">
            <v>Gồm có: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  <cell r="S1833">
            <v>0</v>
          </cell>
          <cell r="T1833">
            <v>0</v>
          </cell>
        </row>
        <row r="1834">
          <cell r="A1834" t="str">
            <v/>
          </cell>
          <cell r="B1834" t="str">
            <v>d12</v>
          </cell>
          <cell r="C1834" t="str">
            <v>X</v>
          </cell>
          <cell r="E1834" t="str">
            <v>AG.42111</v>
          </cell>
          <cell r="F1834" t="str">
            <v>Đà cản BTCT 1,2m</v>
          </cell>
          <cell r="G1834" t="str">
            <v>cái</v>
          </cell>
          <cell r="I1834">
            <v>318000</v>
          </cell>
          <cell r="K1834">
            <v>161119</v>
          </cell>
          <cell r="L1834">
            <v>0</v>
          </cell>
          <cell r="M1834">
            <v>0</v>
          </cell>
          <cell r="N1834">
            <v>0</v>
          </cell>
          <cell r="O1834">
            <v>0</v>
          </cell>
          <cell r="P1834">
            <v>0</v>
          </cell>
          <cell r="S1834">
            <v>80</v>
          </cell>
          <cell r="T1834">
            <v>0</v>
          </cell>
        </row>
        <row r="1835">
          <cell r="A1835" t="str">
            <v/>
          </cell>
          <cell r="B1835" t="str">
            <v>B22550v</v>
          </cell>
          <cell r="C1835" t="str">
            <v>X</v>
          </cell>
          <cell r="E1835">
            <v>0</v>
          </cell>
          <cell r="F1835" t="str">
            <v>Boulon 22x550VRS + 2 long đền vuông D24-60x60x6/Zn</v>
          </cell>
          <cell r="G1835" t="str">
            <v>bộ</v>
          </cell>
          <cell r="I1835">
            <v>90000</v>
          </cell>
          <cell r="K1835">
            <v>0</v>
          </cell>
          <cell r="L1835">
            <v>0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S1835">
            <v>0.55000000000000004</v>
          </cell>
          <cell r="T1835">
            <v>0</v>
          </cell>
        </row>
        <row r="1836">
          <cell r="A1836" t="str">
            <v/>
          </cell>
          <cell r="B1836" t="str">
            <v>MDD3</v>
          </cell>
          <cell r="C1836" t="str">
            <v>X</v>
          </cell>
          <cell r="E1836" t="str">
            <v>AB.11423</v>
          </cell>
          <cell r="F1836" t="str">
            <v>Đào hố móng đất cấp 3 sâu &gt;1m</v>
          </cell>
          <cell r="G1836" t="str">
            <v>m3</v>
          </cell>
          <cell r="I1836">
            <v>0</v>
          </cell>
          <cell r="K1836">
            <v>418738</v>
          </cell>
          <cell r="L1836">
            <v>0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S1836">
            <v>0</v>
          </cell>
          <cell r="T1836">
            <v>0</v>
          </cell>
        </row>
        <row r="1837">
          <cell r="A1837" t="str">
            <v/>
          </cell>
          <cell r="B1837" t="str">
            <v>MDAP3</v>
          </cell>
          <cell r="C1837" t="str">
            <v>X</v>
          </cell>
          <cell r="E1837" t="str">
            <v>AB.13113</v>
          </cell>
          <cell r="F1837" t="str">
            <v>Đắp đất hố móng (K=0,95)</v>
          </cell>
          <cell r="G1837" t="str">
            <v>m3</v>
          </cell>
          <cell r="I1837">
            <v>0</v>
          </cell>
          <cell r="K1837">
            <v>125264</v>
          </cell>
          <cell r="L1837">
            <v>0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S1837">
            <v>0</v>
          </cell>
          <cell r="T1837">
            <v>0</v>
          </cell>
        </row>
        <row r="1838">
          <cell r="A1838" t="str">
            <v/>
          </cell>
          <cell r="C1838" t="str">
            <v>X</v>
          </cell>
          <cell r="D1838">
            <v>0</v>
          </cell>
          <cell r="F1838" t="str">
            <v>Móng bê tông đôi trụ 12m</v>
          </cell>
          <cell r="G1838" t="str">
            <v>Móng</v>
          </cell>
          <cell r="H1838">
            <v>0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S1838">
            <v>0</v>
          </cell>
          <cell r="T1838">
            <v>0</v>
          </cell>
        </row>
        <row r="1839">
          <cell r="A1839" t="str">
            <v/>
          </cell>
          <cell r="C1839" t="str">
            <v>X</v>
          </cell>
          <cell r="F1839" t="str">
            <v>Gồm có: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S1839">
            <v>0</v>
          </cell>
          <cell r="T1839">
            <v>0</v>
          </cell>
        </row>
        <row r="1840">
          <cell r="A1840" t="str">
            <v/>
          </cell>
          <cell r="B1840" t="str">
            <v>XM</v>
          </cell>
          <cell r="C1840" t="str">
            <v>X</v>
          </cell>
          <cell r="E1840">
            <v>0</v>
          </cell>
          <cell r="F1840" t="str">
            <v>Xi măng</v>
          </cell>
          <cell r="G1840" t="str">
            <v>kg</v>
          </cell>
          <cell r="H1840">
            <v>0</v>
          </cell>
          <cell r="J1840">
            <v>1740</v>
          </cell>
          <cell r="K1840">
            <v>0</v>
          </cell>
          <cell r="L1840">
            <v>0</v>
          </cell>
          <cell r="M1840">
            <v>0</v>
          </cell>
          <cell r="N1840">
            <v>0</v>
          </cell>
          <cell r="O1840">
            <v>0</v>
          </cell>
          <cell r="P1840">
            <v>0</v>
          </cell>
          <cell r="T1840">
            <v>0</v>
          </cell>
        </row>
        <row r="1841">
          <cell r="A1841" t="str">
            <v/>
          </cell>
          <cell r="B1841" t="str">
            <v>CV</v>
          </cell>
          <cell r="C1841" t="str">
            <v>X</v>
          </cell>
          <cell r="E1841">
            <v>0</v>
          </cell>
          <cell r="F1841" t="str">
            <v>Cát vàng</v>
          </cell>
          <cell r="G1841" t="str">
            <v>m3</v>
          </cell>
          <cell r="H1841">
            <v>0</v>
          </cell>
          <cell r="J1841">
            <v>512000</v>
          </cell>
          <cell r="K1841">
            <v>0</v>
          </cell>
          <cell r="L1841">
            <v>0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T1841">
            <v>0</v>
          </cell>
        </row>
        <row r="1842">
          <cell r="A1842" t="str">
            <v/>
          </cell>
          <cell r="B1842" t="str">
            <v>D1X2</v>
          </cell>
          <cell r="C1842" t="str">
            <v>X</v>
          </cell>
          <cell r="E1842">
            <v>0</v>
          </cell>
          <cell r="F1842" t="str">
            <v>Đá 1x2</v>
          </cell>
          <cell r="G1842" t="str">
            <v>m3</v>
          </cell>
          <cell r="H1842">
            <v>0</v>
          </cell>
          <cell r="J1842">
            <v>335000</v>
          </cell>
          <cell r="K1842">
            <v>0</v>
          </cell>
          <cell r="L1842">
            <v>0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  <cell r="T1842">
            <v>0</v>
          </cell>
        </row>
        <row r="1843">
          <cell r="A1843" t="str">
            <v/>
          </cell>
          <cell r="B1843" t="str">
            <v>B16550VR</v>
          </cell>
          <cell r="C1843" t="str">
            <v>X</v>
          </cell>
          <cell r="E1843">
            <v>0</v>
          </cell>
          <cell r="F1843" t="str">
            <v>Boulon 16x550VRS + 2 long đền vuông D18-50x50x3/Zn</v>
          </cell>
          <cell r="G1843" t="str">
            <v>bộ</v>
          </cell>
          <cell r="H1843">
            <v>0</v>
          </cell>
          <cell r="I1843">
            <v>45000</v>
          </cell>
          <cell r="K1843">
            <v>0</v>
          </cell>
          <cell r="L1843">
            <v>0</v>
          </cell>
          <cell r="M1843">
            <v>0</v>
          </cell>
          <cell r="N1843">
            <v>0</v>
          </cell>
          <cell r="O1843">
            <v>0</v>
          </cell>
          <cell r="P1843">
            <v>0</v>
          </cell>
          <cell r="S1843">
            <v>0.95000000000000029</v>
          </cell>
          <cell r="T1843">
            <v>0</v>
          </cell>
        </row>
        <row r="1844">
          <cell r="A1844" t="str">
            <v/>
          </cell>
          <cell r="B1844" t="str">
            <v>B16650VR</v>
          </cell>
          <cell r="C1844" t="str">
            <v>X</v>
          </cell>
          <cell r="E1844">
            <v>0</v>
          </cell>
          <cell r="F1844" t="str">
            <v>Boulon 16x650VRS + 2 long đền vuông D18-50x50x3/Zn</v>
          </cell>
          <cell r="G1844" t="str">
            <v>bộ</v>
          </cell>
          <cell r="H1844">
            <v>0</v>
          </cell>
          <cell r="I1844">
            <v>53000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S1844">
            <v>1.0500000000000003</v>
          </cell>
          <cell r="T1844">
            <v>0</v>
          </cell>
        </row>
        <row r="1845">
          <cell r="A1845" t="str">
            <v/>
          </cell>
          <cell r="B1845" t="str">
            <v>B16750VR</v>
          </cell>
          <cell r="C1845" t="str">
            <v>X</v>
          </cell>
          <cell r="E1845">
            <v>0</v>
          </cell>
          <cell r="F1845" t="str">
            <v>Boulon 16x750VRS + 2 long đền vuông D18-50x50x3/Zn</v>
          </cell>
          <cell r="G1845" t="str">
            <v>bộ</v>
          </cell>
          <cell r="H1845">
            <v>0</v>
          </cell>
          <cell r="I1845">
            <v>56000</v>
          </cell>
          <cell r="K1845">
            <v>0</v>
          </cell>
          <cell r="L1845">
            <v>0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S1845">
            <v>1.1500000000000004</v>
          </cell>
          <cell r="T1845">
            <v>0</v>
          </cell>
        </row>
        <row r="1846">
          <cell r="A1846" t="str">
            <v/>
          </cell>
          <cell r="B1846" t="str">
            <v>MDD31</v>
          </cell>
          <cell r="C1846" t="str">
            <v>X</v>
          </cell>
          <cell r="E1846" t="str">
            <v>AB.11413</v>
          </cell>
          <cell r="F1846" t="str">
            <v>Đào hố móng đất cấp 3 sâu &lt;=1m (ĐC hệ số 0,934)</v>
          </cell>
          <cell r="G1846" t="str">
            <v>m3</v>
          </cell>
          <cell r="H1846">
            <v>0</v>
          </cell>
          <cell r="I1846">
            <v>0</v>
          </cell>
          <cell r="K1846">
            <v>364027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S1846">
            <v>0</v>
          </cell>
          <cell r="T1846">
            <v>0</v>
          </cell>
        </row>
        <row r="1847">
          <cell r="A1847" t="str">
            <v/>
          </cell>
          <cell r="B1847" t="str">
            <v>MDAP3</v>
          </cell>
          <cell r="C1847" t="str">
            <v>X</v>
          </cell>
          <cell r="E1847" t="str">
            <v>AB.13113</v>
          </cell>
          <cell r="F1847" t="str">
            <v>Đắp đất hố móng (K=0,95) (ĐC hệ số 0,934)</v>
          </cell>
          <cell r="G1847" t="str">
            <v>m3</v>
          </cell>
          <cell r="H1847">
            <v>0</v>
          </cell>
          <cell r="I1847">
            <v>0</v>
          </cell>
          <cell r="K1847">
            <v>134116</v>
          </cell>
          <cell r="L1847">
            <v>0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  <cell r="S1847">
            <v>0</v>
          </cell>
          <cell r="T1847">
            <v>0</v>
          </cell>
        </row>
        <row r="1848">
          <cell r="A1848" t="str">
            <v/>
          </cell>
          <cell r="B1848" t="str">
            <v>DBT20012</v>
          </cell>
          <cell r="C1848" t="str">
            <v>X</v>
          </cell>
          <cell r="E1848" t="str">
            <v>AF.11210</v>
          </cell>
          <cell r="F1848" t="str">
            <v>Đổ bê tông mác M200 đá 1x2 (ĐC hệ số 0,934)</v>
          </cell>
          <cell r="G1848" t="str">
            <v>m3</v>
          </cell>
          <cell r="H1848">
            <v>0</v>
          </cell>
          <cell r="I1848">
            <v>0</v>
          </cell>
          <cell r="K1848">
            <v>314213</v>
          </cell>
          <cell r="L1848">
            <v>44701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S1848">
            <v>0</v>
          </cell>
          <cell r="T1848">
            <v>0</v>
          </cell>
        </row>
        <row r="1849">
          <cell r="A1849" t="str">
            <v/>
          </cell>
          <cell r="C1849" t="str">
            <v>X</v>
          </cell>
          <cell r="D1849">
            <v>0</v>
          </cell>
          <cell r="F1849" t="str">
            <v>Bộ đà đặt MBA (trạm ngồi)</v>
          </cell>
          <cell r="G1849" t="str">
            <v>Bộ</v>
          </cell>
          <cell r="H1849">
            <v>0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S1849">
            <v>0</v>
          </cell>
          <cell r="T1849">
            <v>0</v>
          </cell>
        </row>
        <row r="1850">
          <cell r="A1850" t="str">
            <v/>
          </cell>
          <cell r="C1850" t="str">
            <v>X</v>
          </cell>
          <cell r="F1850" t="str">
            <v>Gồm có: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S1850">
            <v>0</v>
          </cell>
          <cell r="T1850">
            <v>0</v>
          </cell>
        </row>
        <row r="1851">
          <cell r="A1851" t="str">
            <v/>
          </cell>
          <cell r="B1851" t="str">
            <v>U16-1700T</v>
          </cell>
          <cell r="C1851" t="str">
            <v>X</v>
          </cell>
          <cell r="E1851">
            <v>0</v>
          </cell>
          <cell r="F1851" t="str">
            <v>Đà U160x64x5x1700 (24,14 kg/cái) (trái) (Đà số 1)</v>
          </cell>
          <cell r="G1851" t="str">
            <v>cái</v>
          </cell>
          <cell r="H1851">
            <v>0</v>
          </cell>
          <cell r="I1851">
            <v>702763.68</v>
          </cell>
          <cell r="K1851">
            <v>0</v>
          </cell>
          <cell r="L1851">
            <v>0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S1851">
            <v>24.14</v>
          </cell>
          <cell r="T1851">
            <v>0</v>
          </cell>
        </row>
        <row r="1852">
          <cell r="A1852" t="str">
            <v/>
          </cell>
          <cell r="B1852" t="str">
            <v>U16-1700P</v>
          </cell>
          <cell r="C1852" t="str">
            <v>X</v>
          </cell>
          <cell r="E1852">
            <v>0</v>
          </cell>
          <cell r="F1852" t="str">
            <v>Đà U160x64x5x1700 (24,14 kg/cái) (phải) (Đà số 1)</v>
          </cell>
          <cell r="G1852" t="str">
            <v>cái</v>
          </cell>
          <cell r="H1852">
            <v>0</v>
          </cell>
          <cell r="I1852">
            <v>702763.68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S1852">
            <v>24.14</v>
          </cell>
          <cell r="T1852">
            <v>0</v>
          </cell>
        </row>
        <row r="1853">
          <cell r="A1853" t="str">
            <v/>
          </cell>
          <cell r="B1853" t="str">
            <v>U16-2100T</v>
          </cell>
          <cell r="C1853" t="str">
            <v>X</v>
          </cell>
          <cell r="E1853">
            <v>0</v>
          </cell>
          <cell r="F1853" t="str">
            <v>Đà U160x64x5x2100 (29,82 kg/cái) (trái) (Đà số 2)</v>
          </cell>
          <cell r="G1853" t="str">
            <v>cái</v>
          </cell>
          <cell r="H1853">
            <v>0</v>
          </cell>
          <cell r="I1853">
            <v>868119.84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S1853">
            <v>29.82</v>
          </cell>
          <cell r="T1853">
            <v>0</v>
          </cell>
        </row>
        <row r="1854">
          <cell r="A1854" t="str">
            <v/>
          </cell>
          <cell r="B1854" t="str">
            <v>U16-2100P</v>
          </cell>
          <cell r="C1854" t="str">
            <v>X</v>
          </cell>
          <cell r="E1854">
            <v>0</v>
          </cell>
          <cell r="F1854" t="str">
            <v>Đà U160x64x5x2100 (29,82 kg/cái) (phải) (Đà số 2)</v>
          </cell>
          <cell r="G1854" t="str">
            <v>cái</v>
          </cell>
          <cell r="H1854">
            <v>0</v>
          </cell>
          <cell r="I1854">
            <v>868119.84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S1854">
            <v>29.82</v>
          </cell>
          <cell r="T1854">
            <v>0</v>
          </cell>
        </row>
        <row r="1855">
          <cell r="A1855" t="str">
            <v/>
          </cell>
          <cell r="B1855" t="str">
            <v>U16-1449</v>
          </cell>
          <cell r="C1855" t="str">
            <v>X</v>
          </cell>
          <cell r="E1855">
            <v>0</v>
          </cell>
          <cell r="F1855" t="str">
            <v>Đà U160x64x5x1543,5 (21,918 kg/cái) (Đà số 3)</v>
          </cell>
          <cell r="G1855" t="str">
            <v>cái</v>
          </cell>
          <cell r="H1855">
            <v>0</v>
          </cell>
          <cell r="I1855">
            <v>638076.81599999999</v>
          </cell>
          <cell r="K1855">
            <v>0</v>
          </cell>
          <cell r="L1855">
            <v>0</v>
          </cell>
          <cell r="M1855">
            <v>0</v>
          </cell>
          <cell r="N1855">
            <v>0</v>
          </cell>
          <cell r="O1855">
            <v>0</v>
          </cell>
          <cell r="P1855">
            <v>0</v>
          </cell>
          <cell r="S1855">
            <v>21.917999999999999</v>
          </cell>
          <cell r="T1855">
            <v>0</v>
          </cell>
        </row>
        <row r="1856">
          <cell r="A1856" t="str">
            <v/>
          </cell>
          <cell r="B1856" t="str">
            <v>U10-400</v>
          </cell>
          <cell r="C1856" t="str">
            <v>X</v>
          </cell>
          <cell r="E1856">
            <v>0</v>
          </cell>
          <cell r="F1856" t="str">
            <v>Đà U100x46x4,5x400 (3,436 kg/cái) (Đà số 4)</v>
          </cell>
          <cell r="G1856" t="str">
            <v>cái</v>
          </cell>
          <cell r="H1856">
            <v>0</v>
          </cell>
          <cell r="I1856">
            <v>100028.83199999999</v>
          </cell>
          <cell r="K1856">
            <v>0</v>
          </cell>
          <cell r="L1856">
            <v>0</v>
          </cell>
          <cell r="M1856">
            <v>0</v>
          </cell>
          <cell r="N1856">
            <v>0</v>
          </cell>
          <cell r="O1856">
            <v>0</v>
          </cell>
          <cell r="P1856">
            <v>0</v>
          </cell>
          <cell r="S1856">
            <v>3.4359999999999999</v>
          </cell>
          <cell r="T1856">
            <v>0</v>
          </cell>
        </row>
        <row r="1857">
          <cell r="A1857" t="str">
            <v/>
          </cell>
          <cell r="B1857" t="str">
            <v>U16-700</v>
          </cell>
          <cell r="C1857" t="str">
            <v>X</v>
          </cell>
          <cell r="E1857">
            <v>0</v>
          </cell>
          <cell r="F1857" t="str">
            <v>Đà U160x64x5x700 (9,94 kg/cái) (Đà số 5)</v>
          </cell>
          <cell r="G1857" t="str">
            <v>cái</v>
          </cell>
          <cell r="H1857">
            <v>0</v>
          </cell>
          <cell r="I1857">
            <v>289373.27999999997</v>
          </cell>
          <cell r="K1857">
            <v>0</v>
          </cell>
          <cell r="L1857">
            <v>0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S1857">
            <v>9.94</v>
          </cell>
          <cell r="T1857">
            <v>0</v>
          </cell>
        </row>
        <row r="1858">
          <cell r="A1858" t="str">
            <v/>
          </cell>
          <cell r="B1858" t="str">
            <v>U16-1100N</v>
          </cell>
          <cell r="C1858" t="str">
            <v>X</v>
          </cell>
          <cell r="E1858">
            <v>0</v>
          </cell>
          <cell r="F1858" t="str">
            <v>Đà U160x64x5x1100 (15,62 kg/cái) (Đà số 6)</v>
          </cell>
          <cell r="G1858" t="str">
            <v>cái</v>
          </cell>
          <cell r="H1858">
            <v>0</v>
          </cell>
          <cell r="I1858">
            <v>454729.44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S1858">
            <v>15.62</v>
          </cell>
          <cell r="T1858">
            <v>0</v>
          </cell>
        </row>
        <row r="1859">
          <cell r="A1859" t="str">
            <v/>
          </cell>
          <cell r="B1859" t="str">
            <v>U16-1100T</v>
          </cell>
          <cell r="C1859" t="str">
            <v>X</v>
          </cell>
          <cell r="E1859">
            <v>0</v>
          </cell>
          <cell r="F1859" t="str">
            <v>Đà U160x64x5x1100 (15,62 kg/cái) (Đà số 7)</v>
          </cell>
          <cell r="G1859" t="str">
            <v>cái</v>
          </cell>
          <cell r="H1859">
            <v>0</v>
          </cell>
          <cell r="I1859">
            <v>454729.44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S1859">
            <v>15.62</v>
          </cell>
          <cell r="T1859">
            <v>0</v>
          </cell>
        </row>
        <row r="1860">
          <cell r="A1860" t="str">
            <v/>
          </cell>
          <cell r="B1860" t="str">
            <v>U10-700</v>
          </cell>
          <cell r="C1860" t="str">
            <v>X</v>
          </cell>
          <cell r="E1860">
            <v>0</v>
          </cell>
          <cell r="F1860" t="str">
            <v>Đà U100x46x4,5x700 (6,013 kg/cái) (Đà số 8)</v>
          </cell>
          <cell r="G1860" t="str">
            <v>cái</v>
          </cell>
          <cell r="H1860">
            <v>0</v>
          </cell>
          <cell r="I1860">
            <v>175050.45600000001</v>
          </cell>
          <cell r="K1860">
            <v>0</v>
          </cell>
          <cell r="L1860">
            <v>0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S1860">
            <v>6.0129999999999999</v>
          </cell>
          <cell r="T1860">
            <v>0</v>
          </cell>
        </row>
        <row r="1861">
          <cell r="A1861" t="str">
            <v/>
          </cell>
          <cell r="B1861" t="str">
            <v>U10-1100T</v>
          </cell>
          <cell r="C1861" t="str">
            <v>X</v>
          </cell>
          <cell r="E1861">
            <v>0</v>
          </cell>
          <cell r="F1861" t="str">
            <v>Đà U100x46x4,5x1100 (9,449kg/cái) (Đà số 9)</v>
          </cell>
          <cell r="G1861" t="str">
            <v>cái</v>
          </cell>
          <cell r="H1861">
            <v>0</v>
          </cell>
          <cell r="I1861">
            <v>275079.288</v>
          </cell>
          <cell r="K1861">
            <v>0</v>
          </cell>
          <cell r="L1861">
            <v>0</v>
          </cell>
          <cell r="M1861">
            <v>0</v>
          </cell>
          <cell r="N1861">
            <v>0</v>
          </cell>
          <cell r="O1861">
            <v>0</v>
          </cell>
          <cell r="P1861">
            <v>0</v>
          </cell>
          <cell r="S1861">
            <v>9.4489999999999998</v>
          </cell>
          <cell r="T1861">
            <v>0</v>
          </cell>
        </row>
        <row r="1862">
          <cell r="A1862" t="str">
            <v/>
          </cell>
          <cell r="B1862" t="str">
            <v>U10-1100N</v>
          </cell>
          <cell r="C1862" t="str">
            <v>X</v>
          </cell>
          <cell r="E1862">
            <v>0</v>
          </cell>
          <cell r="F1862" t="str">
            <v>Đà U100x46x4,5x1100 (9,449 kg/cái) (Đà số 10)</v>
          </cell>
          <cell r="G1862" t="str">
            <v>cái</v>
          </cell>
          <cell r="H1862">
            <v>0</v>
          </cell>
          <cell r="I1862">
            <v>275079.288</v>
          </cell>
          <cell r="K1862">
            <v>0</v>
          </cell>
          <cell r="L1862">
            <v>0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S1862">
            <v>9.4489999999999998</v>
          </cell>
          <cell r="T1862">
            <v>0</v>
          </cell>
        </row>
        <row r="1863">
          <cell r="A1863" t="str">
            <v/>
          </cell>
          <cell r="B1863" t="str">
            <v>B1650</v>
          </cell>
          <cell r="C1863" t="str">
            <v>X</v>
          </cell>
          <cell r="E1863">
            <v>0</v>
          </cell>
          <cell r="F1863" t="str">
            <v>Boulon 16x50+ 2 long đền vuông D18-50x50x3/Zn</v>
          </cell>
          <cell r="G1863" t="str">
            <v>bộ</v>
          </cell>
          <cell r="H1863">
            <v>0</v>
          </cell>
          <cell r="I1863">
            <v>17000</v>
          </cell>
          <cell r="K1863">
            <v>0</v>
          </cell>
          <cell r="L1863">
            <v>0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  <cell r="S1863">
            <v>0.25</v>
          </cell>
          <cell r="T1863">
            <v>0</v>
          </cell>
        </row>
        <row r="1864">
          <cell r="A1864" t="str">
            <v/>
          </cell>
          <cell r="B1864" t="str">
            <v>B16250V</v>
          </cell>
          <cell r="C1864" t="str">
            <v>X</v>
          </cell>
          <cell r="E1864">
            <v>0</v>
          </cell>
          <cell r="F1864" t="str">
            <v>Boulon 16x250VRS+ 4 long đền vuông D18-50x50x3/Zn</v>
          </cell>
          <cell r="G1864" t="str">
            <v>bộ</v>
          </cell>
          <cell r="H1864">
            <v>0</v>
          </cell>
          <cell r="I1864">
            <v>39000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S1864">
            <v>0</v>
          </cell>
          <cell r="T1864">
            <v>0</v>
          </cell>
        </row>
        <row r="1865">
          <cell r="A1865" t="str">
            <v/>
          </cell>
          <cell r="B1865" t="str">
            <v>B16200V</v>
          </cell>
          <cell r="C1865" t="str">
            <v>X</v>
          </cell>
          <cell r="E1865">
            <v>0</v>
          </cell>
          <cell r="F1865" t="str">
            <v>Boulon 16x200VRS+ 4 long đền vuông D18-50x50x3/Zn</v>
          </cell>
          <cell r="G1865" t="str">
            <v>bộ</v>
          </cell>
          <cell r="H1865">
            <v>0</v>
          </cell>
          <cell r="I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S1865">
            <v>0</v>
          </cell>
          <cell r="T1865">
            <v>0</v>
          </cell>
        </row>
        <row r="1866">
          <cell r="A1866" t="str">
            <v/>
          </cell>
          <cell r="B1866" t="str">
            <v>B16350V</v>
          </cell>
          <cell r="C1866" t="str">
            <v>X</v>
          </cell>
          <cell r="E1866">
            <v>0</v>
          </cell>
          <cell r="F1866" t="str">
            <v>Boulon 16x350VRS+ 4 long đền vuông D18-50x50x3/Zn</v>
          </cell>
          <cell r="G1866" t="str">
            <v>bộ</v>
          </cell>
          <cell r="H1866">
            <v>0</v>
          </cell>
          <cell r="I1866">
            <v>42000</v>
          </cell>
          <cell r="K1866">
            <v>0</v>
          </cell>
          <cell r="L1866">
            <v>0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S1866">
            <v>0.35</v>
          </cell>
          <cell r="T1866">
            <v>0</v>
          </cell>
        </row>
        <row r="1867">
          <cell r="A1867" t="str">
            <v/>
          </cell>
          <cell r="B1867" t="str">
            <v>B16700V</v>
          </cell>
          <cell r="C1867" t="str">
            <v>X</v>
          </cell>
          <cell r="E1867">
            <v>0</v>
          </cell>
          <cell r="F1867" t="str">
            <v>Boulon 16x700VRS + 4 long đền vuông D18-50x50x3/Zn</v>
          </cell>
          <cell r="G1867" t="str">
            <v>bộ</v>
          </cell>
          <cell r="H1867">
            <v>0</v>
          </cell>
          <cell r="I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S1867">
            <v>0.70000000000000007</v>
          </cell>
          <cell r="T1867">
            <v>0</v>
          </cell>
        </row>
        <row r="1868">
          <cell r="A1868" t="str">
            <v/>
          </cell>
          <cell r="B1868" t="str">
            <v>B16700VR</v>
          </cell>
          <cell r="C1868" t="str">
            <v>X</v>
          </cell>
          <cell r="E1868">
            <v>0</v>
          </cell>
          <cell r="F1868" t="str">
            <v>Boulon 16x700VRS + 2 long đền vuông D18-50x50x3/Zn</v>
          </cell>
          <cell r="G1868" t="str">
            <v>bộ</v>
          </cell>
          <cell r="H1868">
            <v>0</v>
          </cell>
          <cell r="I1868">
            <v>0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S1868">
            <v>1.1000000000000003</v>
          </cell>
          <cell r="T1868">
            <v>0</v>
          </cell>
        </row>
        <row r="1869">
          <cell r="A1869" t="str">
            <v/>
          </cell>
          <cell r="B1869" t="str">
            <v>LXTBAN</v>
          </cell>
          <cell r="C1869" t="str">
            <v>X</v>
          </cell>
          <cell r="E1869" t="str">
            <v>T4.8002</v>
          </cell>
          <cell r="F1869" t="str">
            <v>Lắp bộ đà trạm ngồi (S&lt;560kVA) - 186,6kg/bộ</v>
          </cell>
          <cell r="G1869" t="str">
            <v>bộ</v>
          </cell>
          <cell r="H1869">
            <v>0</v>
          </cell>
          <cell r="I1869">
            <v>0</v>
          </cell>
          <cell r="K1869">
            <v>448319.93520000001</v>
          </cell>
          <cell r="L1869">
            <v>0</v>
          </cell>
          <cell r="M1869">
            <v>0</v>
          </cell>
          <cell r="N1869">
            <v>0</v>
          </cell>
          <cell r="O1869">
            <v>0</v>
          </cell>
          <cell r="P1869">
            <v>0</v>
          </cell>
          <cell r="S1869">
            <v>186.6</v>
          </cell>
          <cell r="T1869">
            <v>0</v>
          </cell>
        </row>
        <row r="1870">
          <cell r="A1870" t="str">
            <v/>
          </cell>
          <cell r="C1870" t="str">
            <v>X</v>
          </cell>
          <cell r="D1870">
            <v>0</v>
          </cell>
          <cell r="F1870" t="str">
            <v>Xà đơn L75x75x8x2200 (4 ốp) đỡ sứ</v>
          </cell>
          <cell r="G1870" t="str">
            <v>Bộ</v>
          </cell>
          <cell r="H1870">
            <v>0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  <cell r="S1870">
            <v>0</v>
          </cell>
          <cell r="T1870">
            <v>0</v>
          </cell>
        </row>
        <row r="1871">
          <cell r="A1871" t="str">
            <v/>
          </cell>
          <cell r="C1871" t="str">
            <v>X</v>
          </cell>
          <cell r="F1871" t="str">
            <v>Gồm có: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S1871">
            <v>0</v>
          </cell>
          <cell r="T1871">
            <v>0</v>
          </cell>
        </row>
        <row r="1872">
          <cell r="A1872" t="str">
            <v/>
          </cell>
          <cell r="B1872" t="str">
            <v>D2200</v>
          </cell>
          <cell r="C1872" t="str">
            <v>X</v>
          </cell>
          <cell r="E1872">
            <v>0</v>
          </cell>
          <cell r="F1872" t="str">
            <v>Đà sắt L75x75x8-2200 - 4 ốp</v>
          </cell>
          <cell r="G1872" t="str">
            <v>cái</v>
          </cell>
          <cell r="H1872">
            <v>0</v>
          </cell>
          <cell r="I1872">
            <v>463000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S1872">
            <v>26</v>
          </cell>
          <cell r="T1872">
            <v>0</v>
          </cell>
        </row>
        <row r="1873">
          <cell r="A1873" t="str">
            <v/>
          </cell>
          <cell r="B1873" t="str">
            <v>C810</v>
          </cell>
          <cell r="C1873" t="str">
            <v>X</v>
          </cell>
          <cell r="E1873">
            <v>0</v>
          </cell>
          <cell r="F1873" t="str">
            <v>Thanh chống L50x50x5-810</v>
          </cell>
          <cell r="G1873" t="str">
            <v>cái</v>
          </cell>
          <cell r="H1873">
            <v>0</v>
          </cell>
          <cell r="I1873">
            <v>70000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S1873">
            <v>3.5</v>
          </cell>
          <cell r="T1873">
            <v>0</v>
          </cell>
        </row>
        <row r="1874">
          <cell r="A1874" t="str">
            <v/>
          </cell>
          <cell r="B1874" t="str">
            <v>B16300</v>
          </cell>
          <cell r="C1874" t="str">
            <v>X</v>
          </cell>
          <cell r="E1874">
            <v>0</v>
          </cell>
          <cell r="F1874" t="str">
            <v>Boulon 16x300+ 2 long đền vuông D18-50x50x3/Zn</v>
          </cell>
          <cell r="G1874" t="str">
            <v>bộ</v>
          </cell>
          <cell r="H1874">
            <v>0</v>
          </cell>
          <cell r="I1874">
            <v>30000</v>
          </cell>
          <cell r="K1874">
            <v>0</v>
          </cell>
          <cell r="L1874">
            <v>0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S1874">
            <v>0.25</v>
          </cell>
          <cell r="T1874">
            <v>0</v>
          </cell>
        </row>
        <row r="1875">
          <cell r="A1875" t="str">
            <v/>
          </cell>
          <cell r="B1875" t="str">
            <v>B1650</v>
          </cell>
          <cell r="C1875" t="str">
            <v>X</v>
          </cell>
          <cell r="E1875">
            <v>0</v>
          </cell>
          <cell r="F1875" t="str">
            <v>Boulon 16x50+ 2 long đền vuông D18-50x50x3/Zn</v>
          </cell>
          <cell r="G1875" t="str">
            <v>bộ</v>
          </cell>
          <cell r="H1875">
            <v>0</v>
          </cell>
          <cell r="I1875">
            <v>17000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S1875">
            <v>0.25</v>
          </cell>
          <cell r="T1875">
            <v>0</v>
          </cell>
        </row>
        <row r="1876">
          <cell r="A1876" t="str">
            <v/>
          </cell>
          <cell r="B1876" t="str">
            <v>LX2200D</v>
          </cell>
          <cell r="C1876" t="str">
            <v>X</v>
          </cell>
          <cell r="E1876" t="str">
            <v>D2.6021e</v>
          </cell>
          <cell r="F1876" t="str">
            <v>Lắp đặt xà thép L75x75x8x2200 đơn cột đỡ (29,759 kg/bộ)</v>
          </cell>
          <cell r="G1876" t="str">
            <v>bộ</v>
          </cell>
          <cell r="H1876">
            <v>0</v>
          </cell>
          <cell r="I1876">
            <v>0</v>
          </cell>
          <cell r="K1876">
            <v>298670</v>
          </cell>
          <cell r="L1876">
            <v>0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S1876">
            <v>0</v>
          </cell>
          <cell r="T1876">
            <v>0</v>
          </cell>
        </row>
        <row r="1877">
          <cell r="A1877" t="str">
            <v/>
          </cell>
          <cell r="C1877" t="str">
            <v>X</v>
          </cell>
          <cell r="D1877">
            <v>0</v>
          </cell>
          <cell r="F1877" t="str">
            <v>Xà hộp Composite kép 110x80x5-2400</v>
          </cell>
          <cell r="G1877" t="str">
            <v>Bộ</v>
          </cell>
          <cell r="H1877">
            <v>0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S1877">
            <v>0</v>
          </cell>
          <cell r="T1877">
            <v>0</v>
          </cell>
        </row>
        <row r="1878">
          <cell r="A1878" t="str">
            <v/>
          </cell>
          <cell r="C1878" t="str">
            <v>X</v>
          </cell>
          <cell r="F1878" t="str">
            <v>Gồm có: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S1878">
            <v>0</v>
          </cell>
          <cell r="T1878">
            <v>0</v>
          </cell>
        </row>
        <row r="1879">
          <cell r="A1879" t="str">
            <v/>
          </cell>
          <cell r="B1879" t="str">
            <v>COM2400</v>
          </cell>
          <cell r="C1879" t="str">
            <v>X</v>
          </cell>
          <cell r="E1879">
            <v>0</v>
          </cell>
          <cell r="F1879" t="str">
            <v>Đà hộp composite 110x80x5-2400</v>
          </cell>
          <cell r="G1879" t="str">
            <v>cái</v>
          </cell>
          <cell r="H1879">
            <v>0</v>
          </cell>
          <cell r="I1879">
            <v>1100000</v>
          </cell>
          <cell r="K1879">
            <v>0</v>
          </cell>
          <cell r="L1879">
            <v>0</v>
          </cell>
          <cell r="M1879">
            <v>0</v>
          </cell>
          <cell r="N1879">
            <v>0</v>
          </cell>
          <cell r="O1879">
            <v>0</v>
          </cell>
          <cell r="P1879">
            <v>0</v>
          </cell>
          <cell r="S1879">
            <v>9.6</v>
          </cell>
          <cell r="T1879">
            <v>0</v>
          </cell>
        </row>
        <row r="1880">
          <cell r="A1880" t="str">
            <v/>
          </cell>
          <cell r="B1880" t="str">
            <v>CCOM2400</v>
          </cell>
          <cell r="C1880" t="str">
            <v>X</v>
          </cell>
          <cell r="E1880">
            <v>0</v>
          </cell>
          <cell r="F1880" t="str">
            <v>Thanh chống Composite dẹp 10x40x920</v>
          </cell>
          <cell r="G1880" t="str">
            <v>cái</v>
          </cell>
          <cell r="H1880">
            <v>0</v>
          </cell>
          <cell r="I1880">
            <v>132000</v>
          </cell>
          <cell r="K1880">
            <v>0</v>
          </cell>
          <cell r="L1880">
            <v>0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  <cell r="S1880">
            <v>0.7</v>
          </cell>
          <cell r="T1880">
            <v>0</v>
          </cell>
        </row>
        <row r="1881">
          <cell r="A1881" t="str">
            <v/>
          </cell>
          <cell r="B1881" t="str">
            <v>B16400V</v>
          </cell>
          <cell r="C1881" t="str">
            <v>X</v>
          </cell>
          <cell r="E1881">
            <v>0</v>
          </cell>
          <cell r="F1881" t="str">
            <v>Boulon 16x400VRS + 4 long đền vuông D18-50x50x3/Zn</v>
          </cell>
          <cell r="G1881" t="str">
            <v>bộ</v>
          </cell>
          <cell r="H1881">
            <v>0</v>
          </cell>
          <cell r="I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S1881">
            <v>0.39999999999999997</v>
          </cell>
          <cell r="T1881">
            <v>0</v>
          </cell>
        </row>
        <row r="1882">
          <cell r="A1882" t="str">
            <v/>
          </cell>
          <cell r="B1882" t="str">
            <v>B16300</v>
          </cell>
          <cell r="C1882" t="str">
            <v>X</v>
          </cell>
          <cell r="E1882">
            <v>0</v>
          </cell>
          <cell r="F1882" t="str">
            <v>Boulon 16x300+ 2 long đền vuông D18-50x50x3/Zn</v>
          </cell>
          <cell r="G1882" t="str">
            <v>bộ</v>
          </cell>
          <cell r="H1882">
            <v>0</v>
          </cell>
          <cell r="I1882">
            <v>30000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S1882">
            <v>0.25</v>
          </cell>
          <cell r="T1882">
            <v>0</v>
          </cell>
        </row>
        <row r="1883">
          <cell r="A1883" t="str">
            <v/>
          </cell>
          <cell r="B1883" t="str">
            <v>BATLI</v>
          </cell>
          <cell r="C1883" t="str">
            <v>X</v>
          </cell>
          <cell r="E1883">
            <v>0</v>
          </cell>
          <cell r="F1883" t="str">
            <v>Bass LI bắt FCO, LA</v>
          </cell>
          <cell r="G1883" t="str">
            <v>Bộ</v>
          </cell>
          <cell r="H1883">
            <v>0</v>
          </cell>
          <cell r="I1883">
            <v>45000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  <cell r="S1883">
            <v>0.4</v>
          </cell>
          <cell r="T1883">
            <v>0</v>
          </cell>
        </row>
        <row r="1884">
          <cell r="A1884" t="str">
            <v/>
          </cell>
          <cell r="B1884" t="str">
            <v>LCOM2400K</v>
          </cell>
          <cell r="C1884" t="str">
            <v>X</v>
          </cell>
          <cell r="E1884" t="str">
            <v>D2.6011</v>
          </cell>
          <cell r="F1884" t="str">
            <v>Lắp đà composite 2400mm kép</v>
          </cell>
          <cell r="G1884" t="str">
            <v>bộ</v>
          </cell>
          <cell r="H1884">
            <v>0</v>
          </cell>
          <cell r="I1884">
            <v>0</v>
          </cell>
          <cell r="K1884">
            <v>167950</v>
          </cell>
          <cell r="L1884">
            <v>0</v>
          </cell>
          <cell r="M1884">
            <v>0</v>
          </cell>
          <cell r="N1884">
            <v>0</v>
          </cell>
          <cell r="O1884">
            <v>0</v>
          </cell>
          <cell r="P1884">
            <v>0</v>
          </cell>
          <cell r="S1884">
            <v>0</v>
          </cell>
          <cell r="T1884">
            <v>0</v>
          </cell>
        </row>
        <row r="1885">
          <cell r="A1885" t="str">
            <v/>
          </cell>
          <cell r="C1885" t="str">
            <v>X</v>
          </cell>
          <cell r="D1885">
            <v>0</v>
          </cell>
          <cell r="F1885" t="str">
            <v>Xà kép L75x75x8x2100 (3 ốp) - Đơn</v>
          </cell>
          <cell r="G1885" t="str">
            <v>Bộ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 t="str">
            <v>XT4A, 4B</v>
          </cell>
          <cell r="S1885">
            <v>0</v>
          </cell>
          <cell r="T1885">
            <v>0</v>
          </cell>
        </row>
        <row r="1886">
          <cell r="A1886" t="str">
            <v/>
          </cell>
          <cell r="C1886" t="str">
            <v>X</v>
          </cell>
          <cell r="F1886" t="str">
            <v>Gồm có: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S1886">
            <v>0</v>
          </cell>
          <cell r="T1886">
            <v>0</v>
          </cell>
        </row>
        <row r="1887">
          <cell r="A1887" t="str">
            <v/>
          </cell>
          <cell r="B1887" t="str">
            <v>D2100</v>
          </cell>
          <cell r="C1887" t="str">
            <v>X</v>
          </cell>
          <cell r="E1887">
            <v>0</v>
          </cell>
          <cell r="F1887" t="str">
            <v>Đà sắt L75x75x8-2100 - 3 ốp (Lệch 100%)</v>
          </cell>
          <cell r="G1887" t="str">
            <v>cái</v>
          </cell>
          <cell r="H1887">
            <v>0</v>
          </cell>
          <cell r="I1887">
            <v>431000</v>
          </cell>
          <cell r="K1887">
            <v>0</v>
          </cell>
          <cell r="L1887">
            <v>0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  <cell r="S1887">
            <v>25</v>
          </cell>
          <cell r="T1887">
            <v>0</v>
          </cell>
        </row>
        <row r="1888">
          <cell r="A1888" t="str">
            <v/>
          </cell>
          <cell r="B1888" t="str">
            <v>C1990</v>
          </cell>
          <cell r="C1888" t="str">
            <v>X</v>
          </cell>
          <cell r="E1888">
            <v>0</v>
          </cell>
          <cell r="F1888" t="str">
            <v>Thanh chống L50x50x5-1990</v>
          </cell>
          <cell r="G1888" t="str">
            <v>cái</v>
          </cell>
          <cell r="H1888">
            <v>0</v>
          </cell>
          <cell r="I1888">
            <v>180000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S1888">
            <v>7.5</v>
          </cell>
          <cell r="T1888">
            <v>0</v>
          </cell>
        </row>
        <row r="1889">
          <cell r="A1889" t="str">
            <v/>
          </cell>
          <cell r="B1889" t="str">
            <v>B16450VR</v>
          </cell>
          <cell r="C1889" t="str">
            <v>X</v>
          </cell>
          <cell r="E1889">
            <v>0</v>
          </cell>
          <cell r="F1889" t="str">
            <v>Boulon 16x450VRS + 2 long đền vuông D18-50x50x3/Zn</v>
          </cell>
          <cell r="G1889" t="str">
            <v>bộ</v>
          </cell>
          <cell r="H1889">
            <v>0</v>
          </cell>
          <cell r="I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S1889">
            <v>0.8500000000000002</v>
          </cell>
          <cell r="T1889">
            <v>0</v>
          </cell>
        </row>
        <row r="1890">
          <cell r="A1890" t="str">
            <v/>
          </cell>
          <cell r="B1890" t="str">
            <v>B1650</v>
          </cell>
          <cell r="C1890" t="str">
            <v>X</v>
          </cell>
          <cell r="E1890">
            <v>0</v>
          </cell>
          <cell r="F1890" t="str">
            <v>Boulon 16x50+ 2 long đền vuông D18-50x50x3/Zn</v>
          </cell>
          <cell r="G1890" t="str">
            <v>bộ</v>
          </cell>
          <cell r="H1890">
            <v>0</v>
          </cell>
          <cell r="I1890">
            <v>17000</v>
          </cell>
          <cell r="K1890">
            <v>0</v>
          </cell>
          <cell r="L1890">
            <v>0</v>
          </cell>
          <cell r="M1890">
            <v>0</v>
          </cell>
          <cell r="N1890">
            <v>0</v>
          </cell>
          <cell r="O1890">
            <v>0</v>
          </cell>
          <cell r="P1890">
            <v>0</v>
          </cell>
          <cell r="S1890">
            <v>0.25</v>
          </cell>
          <cell r="T1890">
            <v>0</v>
          </cell>
        </row>
        <row r="1891">
          <cell r="A1891" t="str">
            <v/>
          </cell>
          <cell r="B1891" t="str">
            <v>SD</v>
          </cell>
          <cell r="C1891" t="str">
            <v>X</v>
          </cell>
          <cell r="E1891" t="str">
            <v>D3.1115</v>
          </cell>
          <cell r="F1891" t="str">
            <v>Sứ đứng 24KV, đường rò 540mm (bọc chì)</v>
          </cell>
          <cell r="G1891" t="str">
            <v>cái</v>
          </cell>
          <cell r="H1891">
            <v>0</v>
          </cell>
          <cell r="I1891">
            <v>185000</v>
          </cell>
          <cell r="K1891">
            <v>49616</v>
          </cell>
          <cell r="L1891">
            <v>0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  <cell r="S1891">
            <v>4</v>
          </cell>
          <cell r="T1891">
            <v>0</v>
          </cell>
        </row>
        <row r="1892">
          <cell r="A1892" t="str">
            <v/>
          </cell>
          <cell r="B1892" t="str">
            <v>CSD</v>
          </cell>
          <cell r="C1892" t="str">
            <v>X</v>
          </cell>
          <cell r="E1892">
            <v>0</v>
          </cell>
          <cell r="F1892" t="str">
            <v>Chân sứ đứng 24kV bọc chì</v>
          </cell>
          <cell r="G1892" t="str">
            <v>cái</v>
          </cell>
          <cell r="H1892">
            <v>0</v>
          </cell>
          <cell r="I1892">
            <v>68000</v>
          </cell>
          <cell r="K1892">
            <v>0</v>
          </cell>
          <cell r="L1892">
            <v>0</v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S1892">
            <v>3</v>
          </cell>
          <cell r="T1892">
            <v>0</v>
          </cell>
        </row>
        <row r="1893">
          <cell r="A1893" t="str">
            <v/>
          </cell>
          <cell r="B1893" t="str">
            <v>LSDTBA</v>
          </cell>
          <cell r="C1893" t="str">
            <v>X</v>
          </cell>
          <cell r="E1893" t="str">
            <v>T4.2201</v>
          </cell>
          <cell r="F1893" t="str">
            <v>Lắp sứ đứng 24KV trong TBA</v>
          </cell>
          <cell r="G1893" t="str">
            <v>bộ</v>
          </cell>
          <cell r="H1893">
            <v>0</v>
          </cell>
          <cell r="I1893">
            <v>0</v>
          </cell>
          <cell r="K1893">
            <v>54496</v>
          </cell>
          <cell r="L1893">
            <v>0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  <cell r="S1893">
            <v>0</v>
          </cell>
          <cell r="T1893">
            <v>0</v>
          </cell>
        </row>
        <row r="1894">
          <cell r="A1894" t="str">
            <v/>
          </cell>
          <cell r="B1894" t="str">
            <v>LX2100D</v>
          </cell>
          <cell r="C1894" t="str">
            <v>X</v>
          </cell>
          <cell r="E1894" t="str">
            <v>D2.6021d</v>
          </cell>
          <cell r="F1894" t="str">
            <v>Lắp đặt xà thép L75x75x8x2100 đơn cột đỡ (29,4245 kg/bộ)</v>
          </cell>
          <cell r="G1894" t="str">
            <v>bộ</v>
          </cell>
          <cell r="H1894">
            <v>0</v>
          </cell>
          <cell r="I1894">
            <v>0</v>
          </cell>
          <cell r="K1894">
            <v>297271</v>
          </cell>
          <cell r="L1894">
            <v>0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  <cell r="S1894">
            <v>0</v>
          </cell>
          <cell r="T1894">
            <v>0</v>
          </cell>
        </row>
        <row r="1895">
          <cell r="A1895" t="str">
            <v/>
          </cell>
          <cell r="C1895" t="str">
            <v>X</v>
          </cell>
          <cell r="D1895">
            <v>0</v>
          </cell>
          <cell r="F1895" t="str">
            <v>Xà đơn L75x75x8x1660 (2 ốp) + Sứ đỉnh đơn</v>
          </cell>
          <cell r="G1895" t="str">
            <v>Bộ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  <cell r="Q1895" t="str">
            <v>XM1A</v>
          </cell>
          <cell r="S1895">
            <v>0</v>
          </cell>
          <cell r="T1895">
            <v>0</v>
          </cell>
        </row>
        <row r="1896">
          <cell r="A1896" t="str">
            <v/>
          </cell>
          <cell r="C1896" t="str">
            <v>X</v>
          </cell>
          <cell r="F1896" t="str">
            <v>Gồm có:</v>
          </cell>
          <cell r="M1896">
            <v>0</v>
          </cell>
          <cell r="N1896">
            <v>0</v>
          </cell>
          <cell r="O1896">
            <v>0</v>
          </cell>
          <cell r="P1896">
            <v>0</v>
          </cell>
          <cell r="S1896">
            <v>0</v>
          </cell>
          <cell r="T1896">
            <v>0</v>
          </cell>
        </row>
        <row r="1897">
          <cell r="A1897" t="str">
            <v/>
          </cell>
          <cell r="B1897" t="str">
            <v>D1660</v>
          </cell>
          <cell r="C1897" t="str">
            <v>X</v>
          </cell>
          <cell r="E1897">
            <v>0</v>
          </cell>
          <cell r="F1897" t="str">
            <v>Đà sắt L75x75x8-1660 - 2 ốp</v>
          </cell>
          <cell r="G1897" t="str">
            <v>cái</v>
          </cell>
          <cell r="H1897">
            <v>0</v>
          </cell>
          <cell r="I1897">
            <v>334000</v>
          </cell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S1897">
            <v>23</v>
          </cell>
          <cell r="T1897">
            <v>0</v>
          </cell>
        </row>
        <row r="1898">
          <cell r="A1898" t="str">
            <v/>
          </cell>
          <cell r="B1898" t="str">
            <v>C810</v>
          </cell>
          <cell r="C1898" t="str">
            <v>X</v>
          </cell>
          <cell r="E1898">
            <v>0</v>
          </cell>
          <cell r="F1898" t="str">
            <v>Thanh chống L50x50x5-810</v>
          </cell>
          <cell r="G1898" t="str">
            <v>cái</v>
          </cell>
          <cell r="H1898">
            <v>0</v>
          </cell>
          <cell r="I1898">
            <v>70000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S1898">
            <v>3.5</v>
          </cell>
          <cell r="T1898">
            <v>0</v>
          </cell>
        </row>
        <row r="1899">
          <cell r="A1899" t="str">
            <v/>
          </cell>
          <cell r="B1899" t="str">
            <v>B16450VR</v>
          </cell>
          <cell r="C1899" t="str">
            <v>X</v>
          </cell>
          <cell r="E1899">
            <v>0</v>
          </cell>
          <cell r="F1899" t="str">
            <v>Boulon 16x450VRS + 2 long đền vuông D18-50x50x3/Zn</v>
          </cell>
          <cell r="G1899" t="str">
            <v>bộ</v>
          </cell>
          <cell r="H1899">
            <v>0</v>
          </cell>
          <cell r="I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S1899">
            <v>0.8500000000000002</v>
          </cell>
          <cell r="T1899">
            <v>0</v>
          </cell>
        </row>
        <row r="1900">
          <cell r="A1900" t="str">
            <v/>
          </cell>
          <cell r="B1900" t="str">
            <v>B1650</v>
          </cell>
          <cell r="C1900" t="str">
            <v>X</v>
          </cell>
          <cell r="E1900">
            <v>0</v>
          </cell>
          <cell r="F1900" t="str">
            <v>Boulon 16x50+ 2 long đền vuông D18-50x50x3/Zn</v>
          </cell>
          <cell r="G1900" t="str">
            <v>bộ</v>
          </cell>
          <cell r="H1900">
            <v>0</v>
          </cell>
          <cell r="I1900">
            <v>17000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  <cell r="S1900">
            <v>0.25</v>
          </cell>
          <cell r="T1900">
            <v>0</v>
          </cell>
        </row>
        <row r="1901">
          <cell r="A1901" t="str">
            <v/>
          </cell>
          <cell r="B1901" t="str">
            <v>SD</v>
          </cell>
          <cell r="C1901" t="str">
            <v>X</v>
          </cell>
          <cell r="E1901" t="str">
            <v>D3.1115</v>
          </cell>
          <cell r="F1901" t="str">
            <v>Sứ đứng 24KV, đường rò 540mm (bọc chì)</v>
          </cell>
          <cell r="G1901" t="str">
            <v>cái</v>
          </cell>
          <cell r="H1901">
            <v>0</v>
          </cell>
          <cell r="I1901">
            <v>185000</v>
          </cell>
          <cell r="K1901">
            <v>49616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S1901">
            <v>4</v>
          </cell>
          <cell r="T1901">
            <v>0</v>
          </cell>
        </row>
        <row r="1902">
          <cell r="A1902" t="str">
            <v/>
          </cell>
          <cell r="B1902" t="str">
            <v>CSD</v>
          </cell>
          <cell r="C1902" t="str">
            <v>X</v>
          </cell>
          <cell r="E1902">
            <v>0</v>
          </cell>
          <cell r="F1902" t="str">
            <v>Chân sứ đứng 24kV bọc chì</v>
          </cell>
          <cell r="G1902" t="str">
            <v>cái</v>
          </cell>
          <cell r="H1902">
            <v>0</v>
          </cell>
          <cell r="I1902">
            <v>68000</v>
          </cell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S1902">
            <v>3</v>
          </cell>
          <cell r="T1902">
            <v>0</v>
          </cell>
        </row>
        <row r="1903">
          <cell r="A1903" t="str">
            <v/>
          </cell>
          <cell r="B1903" t="str">
            <v>CSDI</v>
          </cell>
          <cell r="C1903" t="str">
            <v>X</v>
          </cell>
          <cell r="E1903">
            <v>0</v>
          </cell>
          <cell r="F1903" t="str">
            <v xml:space="preserve">Chân sứ đỉnh thẳng dài 870 dày 4mm bọc chì </v>
          </cell>
          <cell r="G1903" t="str">
            <v>cái</v>
          </cell>
          <cell r="H1903">
            <v>0</v>
          </cell>
          <cell r="I1903">
            <v>130000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S1903">
            <v>5</v>
          </cell>
          <cell r="T1903">
            <v>0</v>
          </cell>
        </row>
        <row r="1904">
          <cell r="A1904" t="str">
            <v/>
          </cell>
          <cell r="B1904" t="str">
            <v>LSDTBA</v>
          </cell>
          <cell r="C1904" t="str">
            <v>X</v>
          </cell>
          <cell r="E1904" t="str">
            <v>T4.2201</v>
          </cell>
          <cell r="F1904" t="str">
            <v>Lắp sứ đứng 24KV trong TBA</v>
          </cell>
          <cell r="G1904" t="str">
            <v>bộ</v>
          </cell>
          <cell r="H1904">
            <v>0</v>
          </cell>
          <cell r="I1904">
            <v>0</v>
          </cell>
          <cell r="K1904">
            <v>54496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S1904">
            <v>0</v>
          </cell>
          <cell r="T1904">
            <v>0</v>
          </cell>
        </row>
        <row r="1905">
          <cell r="A1905" t="str">
            <v/>
          </cell>
          <cell r="B1905" t="str">
            <v>LX1660D</v>
          </cell>
          <cell r="C1905" t="str">
            <v>X</v>
          </cell>
          <cell r="E1905" t="str">
            <v>D2.6021c</v>
          </cell>
          <cell r="F1905" t="str">
            <v>Lắp đặt xà thép L75x75x8x1660 đơn cột đỡ (26,5504 kg/bộ)</v>
          </cell>
          <cell r="G1905" t="str">
            <v>bộ</v>
          </cell>
          <cell r="H1905">
            <v>0</v>
          </cell>
          <cell r="I1905">
            <v>0</v>
          </cell>
          <cell r="K1905">
            <v>286074</v>
          </cell>
          <cell r="L1905">
            <v>0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S1905">
            <v>0</v>
          </cell>
          <cell r="T1905">
            <v>0</v>
          </cell>
        </row>
        <row r="1906">
          <cell r="A1906" t="str">
            <v/>
          </cell>
          <cell r="C1906" t="str">
            <v>X</v>
          </cell>
          <cell r="D1906">
            <v>0</v>
          </cell>
          <cell r="F1906" t="str">
            <v>Bộ tiếp địa Trạm biến áp</v>
          </cell>
          <cell r="G1906" t="str">
            <v>Bộ</v>
          </cell>
          <cell r="H1906">
            <v>0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  <cell r="S1906">
            <v>0</v>
          </cell>
          <cell r="T1906">
            <v>0</v>
          </cell>
        </row>
        <row r="1907">
          <cell r="A1907" t="str">
            <v/>
          </cell>
          <cell r="C1907" t="str">
            <v>X</v>
          </cell>
          <cell r="F1907" t="str">
            <v>Gồm có: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  <cell r="S1907">
            <v>0</v>
          </cell>
          <cell r="T1907">
            <v>0</v>
          </cell>
        </row>
        <row r="1908">
          <cell r="A1908" t="str">
            <v/>
          </cell>
          <cell r="B1908" t="str">
            <v>M25</v>
          </cell>
          <cell r="C1908" t="str">
            <v>X</v>
          </cell>
          <cell r="E1908">
            <v>0</v>
          </cell>
          <cell r="F1908" t="str">
            <v>Cáp đồng trần M25mm2 (52 mét/trạm)</v>
          </cell>
          <cell r="G1908" t="str">
            <v>kg</v>
          </cell>
          <cell r="H1908">
            <v>0</v>
          </cell>
          <cell r="I1908">
            <v>191630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S1908">
            <v>1</v>
          </cell>
          <cell r="T1908">
            <v>0</v>
          </cell>
        </row>
        <row r="1909">
          <cell r="A1909" t="str">
            <v/>
          </cell>
          <cell r="B1909" t="str">
            <v>CTD</v>
          </cell>
          <cell r="C1909" t="str">
            <v>X</v>
          </cell>
          <cell r="E1909">
            <v>0</v>
          </cell>
          <cell r="F1909" t="str">
            <v>Cọc tiếp đất φ16 - 2,4m mạ Cu 16 micrômét</v>
          </cell>
          <cell r="G1909" t="str">
            <v>cọc</v>
          </cell>
          <cell r="H1909">
            <v>0</v>
          </cell>
          <cell r="I1909">
            <v>130000</v>
          </cell>
          <cell r="K1909">
            <v>0</v>
          </cell>
          <cell r="L1909">
            <v>0</v>
          </cell>
          <cell r="M1909">
            <v>0</v>
          </cell>
          <cell r="N1909">
            <v>0</v>
          </cell>
          <cell r="O1909">
            <v>0</v>
          </cell>
          <cell r="P1909">
            <v>0</v>
          </cell>
          <cell r="S1909">
            <v>5.3</v>
          </cell>
          <cell r="T1909">
            <v>0</v>
          </cell>
        </row>
        <row r="1910">
          <cell r="A1910" t="str">
            <v/>
          </cell>
          <cell r="B1910" t="str">
            <v>KC</v>
          </cell>
          <cell r="C1910" t="str">
            <v>X</v>
          </cell>
          <cell r="E1910">
            <v>0</v>
          </cell>
          <cell r="F1910" t="str">
            <v>Kẹp cọc tiếp địa Cu loại lớn</v>
          </cell>
          <cell r="G1910" t="str">
            <v>bộ</v>
          </cell>
          <cell r="H1910">
            <v>0</v>
          </cell>
          <cell r="I1910">
            <v>25000</v>
          </cell>
          <cell r="K1910">
            <v>0</v>
          </cell>
          <cell r="L1910">
            <v>0</v>
          </cell>
          <cell r="M1910">
            <v>0</v>
          </cell>
          <cell r="N1910">
            <v>0</v>
          </cell>
          <cell r="O1910">
            <v>0</v>
          </cell>
          <cell r="P1910">
            <v>0</v>
          </cell>
          <cell r="S1910">
            <v>0.05</v>
          </cell>
          <cell r="T1910">
            <v>0</v>
          </cell>
        </row>
        <row r="1911">
          <cell r="A1911" t="str">
            <v/>
          </cell>
          <cell r="B1911" t="str">
            <v>OXC38</v>
          </cell>
          <cell r="C1911" t="str">
            <v>X</v>
          </cell>
          <cell r="E1911">
            <v>0</v>
          </cell>
          <cell r="F1911" t="str">
            <v xml:space="preserve">Ốc xiết cáp cỡ 38mm2 </v>
          </cell>
          <cell r="G1911" t="str">
            <v>cái</v>
          </cell>
          <cell r="H1911">
            <v>0</v>
          </cell>
          <cell r="I1911">
            <v>17000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S1911">
            <v>0</v>
          </cell>
          <cell r="T1911">
            <v>0</v>
          </cell>
        </row>
        <row r="1912">
          <cell r="A1912" t="str">
            <v/>
          </cell>
          <cell r="B1912" t="str">
            <v>KE50</v>
          </cell>
          <cell r="C1912" t="str">
            <v>X</v>
          </cell>
          <cell r="E1912">
            <v>0</v>
          </cell>
          <cell r="F1912" t="str">
            <v>Kẹp ép WR cỡ dây 50mm2</v>
          </cell>
          <cell r="G1912" t="str">
            <v>cái</v>
          </cell>
          <cell r="H1912">
            <v>0</v>
          </cell>
          <cell r="I1912">
            <v>8500</v>
          </cell>
          <cell r="K1912">
            <v>0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S1912">
            <v>0.2</v>
          </cell>
          <cell r="T1912">
            <v>0</v>
          </cell>
        </row>
        <row r="1913">
          <cell r="A1913" t="str">
            <v/>
          </cell>
          <cell r="B1913" t="str">
            <v>KTDTBA</v>
          </cell>
          <cell r="C1913" t="str">
            <v>X</v>
          </cell>
          <cell r="E1913" t="str">
            <v>T4.7001</v>
          </cell>
          <cell r="F1913" t="str">
            <v>Kéo dây tiếp địa trong TBA</v>
          </cell>
          <cell r="G1913" t="str">
            <v>mét</v>
          </cell>
          <cell r="H1913">
            <v>0</v>
          </cell>
          <cell r="I1913">
            <v>0</v>
          </cell>
          <cell r="K1913">
            <v>6871</v>
          </cell>
          <cell r="L1913">
            <v>0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S1913">
            <v>0</v>
          </cell>
          <cell r="T1913">
            <v>0</v>
          </cell>
        </row>
        <row r="1914">
          <cell r="A1914" t="str">
            <v/>
          </cell>
          <cell r="B1914" t="str">
            <v>DCTDTBA</v>
          </cell>
          <cell r="C1914" t="str">
            <v>X</v>
          </cell>
          <cell r="E1914" t="str">
            <v>D2.8103</v>
          </cell>
          <cell r="F1914" t="str">
            <v>Đóng cọc tiếp địa trong TBA (đất cấp 3)</v>
          </cell>
          <cell r="G1914" t="str">
            <v>cọc</v>
          </cell>
          <cell r="H1914">
            <v>0</v>
          </cell>
          <cell r="I1914">
            <v>0</v>
          </cell>
          <cell r="K1914">
            <v>76928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S1914">
            <v>0</v>
          </cell>
          <cell r="T1914">
            <v>0</v>
          </cell>
        </row>
        <row r="1915">
          <cell r="A1915" t="str">
            <v/>
          </cell>
          <cell r="B1915" t="str">
            <v>DTD3</v>
          </cell>
          <cell r="C1915" t="str">
            <v>X</v>
          </cell>
          <cell r="E1915" t="str">
            <v>AB.11513</v>
          </cell>
          <cell r="F1915" t="str">
            <v>Đào rãnh tiếp địa đất cấp 3 (ĐC hệ số 0,934)</v>
          </cell>
          <cell r="G1915" t="str">
            <v>m3</v>
          </cell>
          <cell r="H1915">
            <v>0</v>
          </cell>
          <cell r="I1915">
            <v>0</v>
          </cell>
          <cell r="K1915">
            <v>258651</v>
          </cell>
          <cell r="L1915">
            <v>0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S1915">
            <v>0</v>
          </cell>
          <cell r="T1915">
            <v>0</v>
          </cell>
        </row>
        <row r="1916">
          <cell r="A1916" t="str">
            <v/>
          </cell>
          <cell r="B1916" t="str">
            <v>DATD3</v>
          </cell>
          <cell r="C1916" t="str">
            <v>X</v>
          </cell>
          <cell r="E1916" t="str">
            <v>AB.13111</v>
          </cell>
          <cell r="F1916" t="str">
            <v>Đắp đất rãnh tiếp địa (K=0,85) (ĐC hệ số 0,934)</v>
          </cell>
          <cell r="G1916" t="str">
            <v>m3</v>
          </cell>
          <cell r="H1916">
            <v>0</v>
          </cell>
          <cell r="I1916">
            <v>0</v>
          </cell>
          <cell r="K1916">
            <v>107292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S1916">
            <v>0</v>
          </cell>
          <cell r="T1916">
            <v>0</v>
          </cell>
        </row>
        <row r="1917">
          <cell r="A1917" t="str">
            <v/>
          </cell>
          <cell r="C1917" t="str">
            <v>X</v>
          </cell>
          <cell r="D1917">
            <v>0</v>
          </cell>
          <cell r="F1917" t="str">
            <v>Tủ trạm treo</v>
          </cell>
          <cell r="G1917" t="str">
            <v>Bộ</v>
          </cell>
          <cell r="H1917">
            <v>0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  <cell r="S1917">
            <v>0</v>
          </cell>
          <cell r="T1917">
            <v>0</v>
          </cell>
        </row>
        <row r="1918">
          <cell r="A1918" t="str">
            <v/>
          </cell>
          <cell r="C1918" t="str">
            <v>X</v>
          </cell>
          <cell r="F1918" t="str">
            <v>Gồm có: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S1918">
            <v>0</v>
          </cell>
          <cell r="T1918">
            <v>0</v>
          </cell>
        </row>
        <row r="1919">
          <cell r="A1919" t="str">
            <v/>
          </cell>
          <cell r="B1919" t="str">
            <v>TUAP1G</v>
          </cell>
          <cell r="C1919" t="str">
            <v>X</v>
          </cell>
          <cell r="E1919" t="str">
            <v>T5.1002</v>
          </cell>
          <cell r="F1919" t="str">
            <v>Tủ trạm treo + khóa + boulon + Bakelit (3 pha)</v>
          </cell>
          <cell r="G1919" t="str">
            <v>cái</v>
          </cell>
          <cell r="H1919">
            <v>0</v>
          </cell>
          <cell r="I1919">
            <v>3484174</v>
          </cell>
          <cell r="K1919">
            <v>966199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S1919">
            <v>45</v>
          </cell>
          <cell r="T1919">
            <v>0</v>
          </cell>
        </row>
        <row r="1920">
          <cell r="A1920" t="str">
            <v/>
          </cell>
          <cell r="B1920" t="str">
            <v>CDTG</v>
          </cell>
          <cell r="C1920" t="str">
            <v>X</v>
          </cell>
          <cell r="E1920">
            <v>0</v>
          </cell>
          <cell r="F1920" t="str">
            <v>Cổ dê bắt tủ trạm treo trụ ghép (có giá nới)</v>
          </cell>
          <cell r="G1920" t="str">
            <v>bộ</v>
          </cell>
          <cell r="H1920">
            <v>0</v>
          </cell>
          <cell r="I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S1920">
            <v>1.5</v>
          </cell>
          <cell r="T1920">
            <v>0</v>
          </cell>
        </row>
        <row r="1921">
          <cell r="A1921" t="str">
            <v/>
          </cell>
          <cell r="B1921" t="str">
            <v>BANG</v>
          </cell>
          <cell r="C1921" t="str">
            <v>X</v>
          </cell>
          <cell r="E1921">
            <v>0</v>
          </cell>
          <cell r="F1921" t="str">
            <v>Bảng tên trạm + bulon</v>
          </cell>
          <cell r="G1921" t="str">
            <v>bộ</v>
          </cell>
          <cell r="H1921">
            <v>0</v>
          </cell>
          <cell r="I1921">
            <v>100000</v>
          </cell>
          <cell r="K1921">
            <v>0</v>
          </cell>
          <cell r="L1921">
            <v>0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  <cell r="S1921">
            <v>0</v>
          </cell>
          <cell r="T1921">
            <v>0</v>
          </cell>
        </row>
        <row r="1922">
          <cell r="A1922" t="str">
            <v/>
          </cell>
          <cell r="C1922" t="str">
            <v>X</v>
          </cell>
          <cell r="D1922">
            <v>0</v>
          </cell>
          <cell r="F1922" t="str">
            <v>Bộ dây dẫn trung thế 24kV 3 pha từ FCO vào MBA</v>
          </cell>
          <cell r="G1922" t="str">
            <v>Bộ</v>
          </cell>
          <cell r="H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S1922">
            <v>0</v>
          </cell>
          <cell r="T1922">
            <v>0</v>
          </cell>
        </row>
        <row r="1923">
          <cell r="A1923" t="str">
            <v/>
          </cell>
          <cell r="C1923" t="str">
            <v>X</v>
          </cell>
          <cell r="F1923" t="str">
            <v>Gồm có: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  <cell r="S1923">
            <v>0</v>
          </cell>
          <cell r="T1923">
            <v>0</v>
          </cell>
        </row>
        <row r="1924">
          <cell r="A1924" t="str">
            <v/>
          </cell>
          <cell r="B1924" t="str">
            <v>CXV25</v>
          </cell>
          <cell r="C1924" t="str">
            <v>X</v>
          </cell>
          <cell r="E1924">
            <v>0</v>
          </cell>
          <cell r="F1924" t="str">
            <v>Cáp 24KV C/XLPE/PVC 25mm2</v>
          </cell>
          <cell r="G1924" t="str">
            <v>mét</v>
          </cell>
          <cell r="H1924">
            <v>0</v>
          </cell>
          <cell r="I1924">
            <v>69890</v>
          </cell>
          <cell r="K1924">
            <v>0</v>
          </cell>
          <cell r="L1924">
            <v>0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S1924">
            <v>0.75</v>
          </cell>
          <cell r="T1924">
            <v>0</v>
          </cell>
        </row>
        <row r="1925">
          <cell r="A1925" t="str">
            <v/>
          </cell>
          <cell r="B1925" t="str">
            <v>SD</v>
          </cell>
          <cell r="C1925" t="str">
            <v>X</v>
          </cell>
          <cell r="E1925" t="str">
            <v>D3.1115</v>
          </cell>
          <cell r="F1925" t="str">
            <v>Sứ đứng 24KV, đường rò 540mm (bọc chì)</v>
          </cell>
          <cell r="G1925" t="str">
            <v>cái</v>
          </cell>
          <cell r="H1925">
            <v>0</v>
          </cell>
          <cell r="I1925">
            <v>185000</v>
          </cell>
          <cell r="K1925">
            <v>49616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S1925">
            <v>4</v>
          </cell>
          <cell r="T1925">
            <v>0</v>
          </cell>
        </row>
        <row r="1926">
          <cell r="A1926" t="str">
            <v/>
          </cell>
          <cell r="B1926" t="str">
            <v>CSD</v>
          </cell>
          <cell r="C1926" t="str">
            <v>X</v>
          </cell>
          <cell r="E1926">
            <v>0</v>
          </cell>
          <cell r="F1926" t="str">
            <v>Chân sứ đứng 24kV bọc chì</v>
          </cell>
          <cell r="G1926" t="str">
            <v>cái</v>
          </cell>
          <cell r="H1926">
            <v>0</v>
          </cell>
          <cell r="I1926">
            <v>68000</v>
          </cell>
          <cell r="K1926">
            <v>0</v>
          </cell>
          <cell r="L1926">
            <v>0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S1926">
            <v>3</v>
          </cell>
          <cell r="T1926">
            <v>0</v>
          </cell>
        </row>
        <row r="1927">
          <cell r="A1927" t="str">
            <v/>
          </cell>
          <cell r="B1927" t="str">
            <v>KQ4</v>
          </cell>
          <cell r="C1927" t="str">
            <v>X</v>
          </cell>
          <cell r="F1927" t="str">
            <v>Kẹp quai 4/0 (quai đồng 8mm)</v>
          </cell>
          <cell r="G1927" t="str">
            <v>cái</v>
          </cell>
          <cell r="H1927">
            <v>0</v>
          </cell>
          <cell r="I1927">
            <v>63000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S1927">
            <v>0.3</v>
          </cell>
          <cell r="T1927">
            <v>0</v>
          </cell>
        </row>
        <row r="1928">
          <cell r="A1928" t="str">
            <v/>
          </cell>
          <cell r="B1928" t="str">
            <v>CKQ</v>
          </cell>
          <cell r="C1928" t="str">
            <v>X</v>
          </cell>
          <cell r="F1928" t="str">
            <v>Chụp cách điện kẹp quai</v>
          </cell>
          <cell r="G1928" t="str">
            <v>cái</v>
          </cell>
          <cell r="H1928">
            <v>0</v>
          </cell>
          <cell r="I1928">
            <v>122000</v>
          </cell>
          <cell r="L1928">
            <v>0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S1928">
            <v>0.2</v>
          </cell>
          <cell r="T1928">
            <v>0</v>
          </cell>
        </row>
        <row r="1929">
          <cell r="A1929" t="str">
            <v/>
          </cell>
          <cell r="B1929" t="str">
            <v>HL2</v>
          </cell>
          <cell r="C1929" t="str">
            <v>X</v>
          </cell>
          <cell r="F1929" t="str">
            <v>Kẹp hotline 2/0</v>
          </cell>
          <cell r="G1929" t="str">
            <v>cái</v>
          </cell>
          <cell r="H1929">
            <v>0</v>
          </cell>
          <cell r="I1929">
            <v>68000</v>
          </cell>
          <cell r="L1929">
            <v>0</v>
          </cell>
          <cell r="M1929">
            <v>0</v>
          </cell>
          <cell r="N1929">
            <v>0</v>
          </cell>
          <cell r="O1929">
            <v>0</v>
          </cell>
          <cell r="P1929">
            <v>0</v>
          </cell>
          <cell r="S1929">
            <v>0.1</v>
          </cell>
          <cell r="T1929">
            <v>0</v>
          </cell>
        </row>
        <row r="1930">
          <cell r="A1930" t="str">
            <v/>
          </cell>
          <cell r="B1930" t="str">
            <v>lcapdongTB95</v>
          </cell>
          <cell r="C1930" t="str">
            <v>X</v>
          </cell>
          <cell r="E1930" t="str">
            <v>T4.4201</v>
          </cell>
          <cell r="F1930" t="str">
            <v>Lắp cáp đồng xuống thiết bị D ≤ 95mm2</v>
          </cell>
          <cell r="G1930" t="str">
            <v>m</v>
          </cell>
          <cell r="H1930">
            <v>0</v>
          </cell>
          <cell r="I1930">
            <v>0</v>
          </cell>
          <cell r="K1930">
            <v>11847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S1930">
            <v>0</v>
          </cell>
          <cell r="T1930">
            <v>0</v>
          </cell>
        </row>
        <row r="1931">
          <cell r="A1931" t="str">
            <v/>
          </cell>
          <cell r="B1931" t="str">
            <v>LSDTBA</v>
          </cell>
          <cell r="C1931" t="str">
            <v>X</v>
          </cell>
          <cell r="E1931" t="str">
            <v>T4.2201</v>
          </cell>
          <cell r="F1931" t="str">
            <v>Lắp sứ đứng 24KV trong TBA</v>
          </cell>
          <cell r="G1931" t="str">
            <v>bộ</v>
          </cell>
          <cell r="H1931">
            <v>0</v>
          </cell>
          <cell r="I1931">
            <v>0</v>
          </cell>
          <cell r="K1931">
            <v>54496</v>
          </cell>
          <cell r="L1931">
            <v>0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  <cell r="S1931">
            <v>0</v>
          </cell>
          <cell r="T1931">
            <v>0</v>
          </cell>
        </row>
        <row r="1932">
          <cell r="A1932" t="str">
            <v/>
          </cell>
          <cell r="C1932" t="str">
            <v>X</v>
          </cell>
          <cell r="D1932">
            <v>0</v>
          </cell>
          <cell r="F1932" t="str">
            <v>Bộ dây dẫn cáp xuất hạ thế từ MBA vào tủ MCCB</v>
          </cell>
          <cell r="G1932" t="str">
            <v>Bộ</v>
          </cell>
          <cell r="H1932">
            <v>0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S1932">
            <v>0</v>
          </cell>
          <cell r="T1932">
            <v>0</v>
          </cell>
        </row>
        <row r="1933">
          <cell r="A1933" t="str">
            <v/>
          </cell>
          <cell r="C1933" t="str">
            <v>X</v>
          </cell>
          <cell r="F1933" t="str">
            <v>Gồm có: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S1933">
            <v>0</v>
          </cell>
          <cell r="T1933">
            <v>0</v>
          </cell>
        </row>
        <row r="1934">
          <cell r="A1934" t="str">
            <v/>
          </cell>
          <cell r="B1934" t="str">
            <v>CV185</v>
          </cell>
          <cell r="C1934" t="str">
            <v>X</v>
          </cell>
          <cell r="E1934">
            <v>0</v>
          </cell>
          <cell r="F1934" t="str">
            <v>Cáp đồng bọc CV185</v>
          </cell>
          <cell r="G1934" t="str">
            <v>mét</v>
          </cell>
          <cell r="H1934">
            <v>0</v>
          </cell>
          <cell r="I1934">
            <v>329880</v>
          </cell>
          <cell r="K1934">
            <v>0</v>
          </cell>
          <cell r="L1934">
            <v>0</v>
          </cell>
          <cell r="M1934">
            <v>0</v>
          </cell>
          <cell r="N1934">
            <v>0</v>
          </cell>
          <cell r="O1934">
            <v>0</v>
          </cell>
          <cell r="P1934">
            <v>0</v>
          </cell>
          <cell r="S1934">
            <v>1.9079999999999999</v>
          </cell>
          <cell r="T1934">
            <v>0</v>
          </cell>
        </row>
        <row r="1935">
          <cell r="A1935" t="str">
            <v/>
          </cell>
          <cell r="B1935" t="str">
            <v>CV120</v>
          </cell>
          <cell r="C1935" t="str">
            <v>X</v>
          </cell>
          <cell r="E1935">
            <v>0</v>
          </cell>
          <cell r="F1935" t="str">
            <v>Cáp đồng bọc CV120</v>
          </cell>
          <cell r="G1935" t="str">
            <v>mét</v>
          </cell>
          <cell r="H1935">
            <v>0</v>
          </cell>
          <cell r="I1935">
            <v>213430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S1935">
            <v>1.2350000000000001</v>
          </cell>
          <cell r="T1935">
            <v>0</v>
          </cell>
        </row>
        <row r="1936">
          <cell r="A1936" t="str">
            <v/>
          </cell>
          <cell r="B1936" t="str">
            <v>CVV4X4</v>
          </cell>
          <cell r="C1936" t="str">
            <v>X</v>
          </cell>
          <cell r="E1936">
            <v>0</v>
          </cell>
          <cell r="F1936" t="str">
            <v>Cáp điều khiển CVV 4x4,0mm2</v>
          </cell>
          <cell r="G1936" t="str">
            <v>mét</v>
          </cell>
          <cell r="H1936">
            <v>0</v>
          </cell>
          <cell r="I1936">
            <v>56700</v>
          </cell>
          <cell r="K1936">
            <v>0</v>
          </cell>
          <cell r="L1936">
            <v>0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S1936">
            <v>3.024</v>
          </cell>
          <cell r="T1936">
            <v>0</v>
          </cell>
        </row>
        <row r="1937">
          <cell r="A1937" t="str">
            <v/>
          </cell>
          <cell r="B1937" t="str">
            <v>COS185</v>
          </cell>
          <cell r="C1937" t="str">
            <v>X</v>
          </cell>
          <cell r="F1937" t="str">
            <v>Đầu cosse ép Cu 185mm2</v>
          </cell>
          <cell r="G1937" t="str">
            <v>cái</v>
          </cell>
          <cell r="H1937">
            <v>0</v>
          </cell>
          <cell r="I1937">
            <v>110500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S1937">
            <v>0</v>
          </cell>
          <cell r="T1937">
            <v>0</v>
          </cell>
        </row>
        <row r="1938">
          <cell r="A1938" t="str">
            <v/>
          </cell>
          <cell r="B1938" t="str">
            <v>COS120</v>
          </cell>
          <cell r="C1938" t="str">
            <v>X</v>
          </cell>
          <cell r="F1938" t="str">
            <v>Đầu cosse ép Cu 120mm2</v>
          </cell>
          <cell r="G1938" t="str">
            <v>cái</v>
          </cell>
          <cell r="H1938">
            <v>0</v>
          </cell>
          <cell r="I1938">
            <v>68500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S1938">
            <v>0.1</v>
          </cell>
          <cell r="T1938">
            <v>0</v>
          </cell>
        </row>
        <row r="1939">
          <cell r="A1939" t="str">
            <v/>
          </cell>
          <cell r="B1939" t="str">
            <v>CHCOS185</v>
          </cell>
          <cell r="C1939" t="str">
            <v>X</v>
          </cell>
          <cell r="E1939">
            <v>0</v>
          </cell>
          <cell r="F1939" t="str">
            <v>Chụp đầu cosse  185mm2</v>
          </cell>
          <cell r="G1939" t="str">
            <v>cái</v>
          </cell>
          <cell r="H1939">
            <v>0</v>
          </cell>
          <cell r="I1939">
            <v>5200</v>
          </cell>
          <cell r="K1939">
            <v>0</v>
          </cell>
          <cell r="L1939">
            <v>0</v>
          </cell>
          <cell r="M1939">
            <v>0</v>
          </cell>
          <cell r="N1939">
            <v>0</v>
          </cell>
          <cell r="O1939">
            <v>0</v>
          </cell>
          <cell r="P1939">
            <v>0</v>
          </cell>
          <cell r="S1939">
            <v>0</v>
          </cell>
          <cell r="T1939">
            <v>0</v>
          </cell>
        </row>
        <row r="1940">
          <cell r="A1940" t="str">
            <v/>
          </cell>
          <cell r="B1940" t="str">
            <v>CHCOS120</v>
          </cell>
          <cell r="C1940" t="str">
            <v>X</v>
          </cell>
          <cell r="E1940">
            <v>0</v>
          </cell>
          <cell r="F1940" t="str">
            <v>Chụp đầu cosse  120mm2</v>
          </cell>
          <cell r="G1940" t="str">
            <v>cái</v>
          </cell>
          <cell r="H1940">
            <v>0</v>
          </cell>
          <cell r="I1940">
            <v>3900</v>
          </cell>
          <cell r="K1940">
            <v>0</v>
          </cell>
          <cell r="L1940">
            <v>0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  <cell r="S1940">
            <v>0</v>
          </cell>
          <cell r="T1940">
            <v>0</v>
          </cell>
        </row>
        <row r="1941">
          <cell r="A1941" t="str">
            <v/>
          </cell>
          <cell r="B1941" t="str">
            <v>PVC114</v>
          </cell>
          <cell r="C1941" t="str">
            <v>X</v>
          </cell>
          <cell r="E1941">
            <v>0</v>
          </cell>
          <cell r="F1941" t="str">
            <v xml:space="preserve">Ống PVC D114x4,9mm </v>
          </cell>
          <cell r="G1941" t="str">
            <v>m</v>
          </cell>
          <cell r="H1941">
            <v>0</v>
          </cell>
          <cell r="I1941">
            <v>103700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S1941">
            <v>2</v>
          </cell>
          <cell r="T1941">
            <v>0</v>
          </cell>
        </row>
        <row r="1942">
          <cell r="A1942" t="str">
            <v/>
          </cell>
          <cell r="B1942" t="str">
            <v>CD114G</v>
          </cell>
          <cell r="C1942" t="str">
            <v>X</v>
          </cell>
          <cell r="E1942">
            <v>0</v>
          </cell>
          <cell r="F1942" t="str">
            <v>Cổ dê kẹp ống PVC φ 114 trụ ghép (có giá nới) (CD-230)</v>
          </cell>
          <cell r="G1942" t="str">
            <v>bộ</v>
          </cell>
          <cell r="H1942">
            <v>0</v>
          </cell>
          <cell r="I1942">
            <v>74000</v>
          </cell>
          <cell r="K1942">
            <v>0</v>
          </cell>
          <cell r="L1942">
            <v>0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S1942">
            <v>1.5</v>
          </cell>
          <cell r="T1942">
            <v>0</v>
          </cell>
        </row>
        <row r="1943">
          <cell r="A1943" t="str">
            <v/>
          </cell>
          <cell r="B1943" t="str">
            <v>CD114G</v>
          </cell>
          <cell r="C1943" t="str">
            <v>X</v>
          </cell>
          <cell r="E1943">
            <v>0</v>
          </cell>
          <cell r="F1943" t="str">
            <v>Cổ dê kẹp ống PVC φ 114 trụ ghép (có giá nới) (CD-250)</v>
          </cell>
          <cell r="G1943" t="str">
            <v>bộ</v>
          </cell>
          <cell r="H1943">
            <v>0</v>
          </cell>
          <cell r="I1943">
            <v>74000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S1943">
            <v>1.5</v>
          </cell>
          <cell r="T1943">
            <v>0</v>
          </cell>
        </row>
        <row r="1944">
          <cell r="A1944" t="str">
            <v/>
          </cell>
          <cell r="B1944" t="str">
            <v>CD114G</v>
          </cell>
          <cell r="C1944" t="str">
            <v>X</v>
          </cell>
          <cell r="E1944">
            <v>0</v>
          </cell>
          <cell r="F1944" t="str">
            <v>Cổ dê kẹp ống PVC φ 114 trụ ghép (có giá nới) (CD-280)</v>
          </cell>
          <cell r="G1944" t="str">
            <v>bộ</v>
          </cell>
          <cell r="H1944">
            <v>0</v>
          </cell>
          <cell r="I1944">
            <v>74000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S1944">
            <v>1.5</v>
          </cell>
          <cell r="T1944">
            <v>0</v>
          </cell>
        </row>
        <row r="1945">
          <cell r="A1945" t="str">
            <v/>
          </cell>
          <cell r="B1945" t="str">
            <v>KVRT114</v>
          </cell>
          <cell r="C1945" t="str">
            <v>X</v>
          </cell>
          <cell r="E1945">
            <v>0</v>
          </cell>
          <cell r="F1945" t="str">
            <v>Khâu ven răng trong D114</v>
          </cell>
          <cell r="G1945" t="str">
            <v>cái</v>
          </cell>
          <cell r="I1945">
            <v>35700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S1945">
            <v>0</v>
          </cell>
          <cell r="T1945">
            <v>0</v>
          </cell>
        </row>
        <row r="1946">
          <cell r="A1946" t="str">
            <v/>
          </cell>
          <cell r="B1946" t="str">
            <v>KVRN114</v>
          </cell>
          <cell r="C1946" t="str">
            <v>X</v>
          </cell>
          <cell r="E1946">
            <v>0</v>
          </cell>
          <cell r="F1946" t="str">
            <v>Khâu ven răng ngoài D114</v>
          </cell>
          <cell r="G1946" t="str">
            <v>cái</v>
          </cell>
          <cell r="I1946">
            <v>25600</v>
          </cell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S1946">
            <v>0</v>
          </cell>
          <cell r="T1946">
            <v>0</v>
          </cell>
        </row>
        <row r="1947">
          <cell r="A1947" t="str">
            <v/>
          </cell>
          <cell r="B1947" t="str">
            <v>CUT114T</v>
          </cell>
          <cell r="C1947" t="str">
            <v>X</v>
          </cell>
          <cell r="E1947">
            <v>0</v>
          </cell>
          <cell r="F1947" t="str">
            <v>Co  90 độ PVC 114</v>
          </cell>
          <cell r="G1947" t="str">
            <v>cái</v>
          </cell>
          <cell r="I1947">
            <v>65500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S1947">
            <v>0</v>
          </cell>
          <cell r="T1947">
            <v>0</v>
          </cell>
        </row>
        <row r="1948">
          <cell r="A1948" t="str">
            <v/>
          </cell>
          <cell r="B1948" t="str">
            <v>CUT114</v>
          </cell>
          <cell r="C1948" t="str">
            <v>X</v>
          </cell>
          <cell r="E1948">
            <v>0</v>
          </cell>
          <cell r="F1948" t="str">
            <v>Co sừng 90 độ PVC 114</v>
          </cell>
          <cell r="G1948" t="str">
            <v>cái</v>
          </cell>
          <cell r="H1948">
            <v>0</v>
          </cell>
          <cell r="I1948">
            <v>195000</v>
          </cell>
          <cell r="K1948">
            <v>0</v>
          </cell>
          <cell r="L1948">
            <v>0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  <cell r="S1948">
            <v>0</v>
          </cell>
          <cell r="T1948">
            <v>0</v>
          </cell>
        </row>
        <row r="1949">
          <cell r="A1949" t="str">
            <v/>
          </cell>
          <cell r="B1949" t="str">
            <v>CUT114135</v>
          </cell>
          <cell r="C1949" t="str">
            <v>X</v>
          </cell>
          <cell r="E1949">
            <v>0</v>
          </cell>
          <cell r="F1949" t="str">
            <v>Co 135 độ PVC 114</v>
          </cell>
          <cell r="G1949" t="str">
            <v>cái</v>
          </cell>
          <cell r="H1949">
            <v>0</v>
          </cell>
          <cell r="I1949">
            <v>70800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S1949">
            <v>0</v>
          </cell>
          <cell r="T1949">
            <v>0</v>
          </cell>
        </row>
        <row r="1950">
          <cell r="A1950" t="str">
            <v/>
          </cell>
          <cell r="B1950" t="str">
            <v>KEODAN</v>
          </cell>
          <cell r="C1950" t="str">
            <v>X</v>
          </cell>
          <cell r="E1950">
            <v>0</v>
          </cell>
          <cell r="F1950" t="str">
            <v>Keo dán ống PVC (100gr)</v>
          </cell>
          <cell r="G1950" t="str">
            <v>tuýp</v>
          </cell>
          <cell r="H1950">
            <v>0</v>
          </cell>
          <cell r="I1950">
            <v>11500</v>
          </cell>
          <cell r="K1950">
            <v>0</v>
          </cell>
          <cell r="L1950">
            <v>0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  <cell r="S1950">
            <v>0</v>
          </cell>
          <cell r="T1950">
            <v>0</v>
          </cell>
        </row>
        <row r="1951">
          <cell r="A1951" t="str">
            <v/>
          </cell>
          <cell r="B1951" t="str">
            <v>KEOBIT</v>
          </cell>
          <cell r="C1951" t="str">
            <v>X</v>
          </cell>
          <cell r="E1951">
            <v>0</v>
          </cell>
          <cell r="F1951" t="str">
            <v>Keo silicon bít miệng ống</v>
          </cell>
          <cell r="G1951" t="str">
            <v>ống</v>
          </cell>
          <cell r="I1951">
            <v>45000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S1951">
            <v>0</v>
          </cell>
          <cell r="T1951">
            <v>0</v>
          </cell>
        </row>
        <row r="1952">
          <cell r="B1952" t="str">
            <v>BANGKEO</v>
          </cell>
          <cell r="C1952" t="str">
            <v>X</v>
          </cell>
          <cell r="E1952">
            <v>0</v>
          </cell>
          <cell r="F1952" t="str">
            <v>Băng keo cách điện (Màu đen)</v>
          </cell>
          <cell r="G1952" t="str">
            <v>cuộn</v>
          </cell>
          <cell r="H1952">
            <v>0</v>
          </cell>
          <cell r="I1952">
            <v>6500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S1952">
            <v>0</v>
          </cell>
          <cell r="T1952">
            <v>0</v>
          </cell>
        </row>
        <row r="1953">
          <cell r="B1953" t="str">
            <v>BANGKEOV</v>
          </cell>
          <cell r="C1953" t="str">
            <v>X</v>
          </cell>
          <cell r="E1953">
            <v>0</v>
          </cell>
          <cell r="F1953" t="str">
            <v>Băng keo cách điện (Màu vàng)</v>
          </cell>
          <cell r="G1953" t="str">
            <v>cuộn</v>
          </cell>
          <cell r="H1953">
            <v>0</v>
          </cell>
          <cell r="I1953">
            <v>6500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S1953">
            <v>0</v>
          </cell>
          <cell r="T1953">
            <v>0</v>
          </cell>
        </row>
        <row r="1954">
          <cell r="B1954" t="str">
            <v>BANGKEOX</v>
          </cell>
          <cell r="C1954" t="str">
            <v>X</v>
          </cell>
          <cell r="E1954">
            <v>0</v>
          </cell>
          <cell r="F1954" t="str">
            <v>Băng keo cách điện (Màu xanh)</v>
          </cell>
          <cell r="G1954" t="str">
            <v>cuộn</v>
          </cell>
          <cell r="H1954">
            <v>0</v>
          </cell>
          <cell r="I1954">
            <v>6500</v>
          </cell>
          <cell r="K1954">
            <v>0</v>
          </cell>
          <cell r="L1954">
            <v>0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S1954">
            <v>0</v>
          </cell>
          <cell r="T1954">
            <v>0</v>
          </cell>
        </row>
        <row r="1955">
          <cell r="B1955" t="str">
            <v>BANGKEOD</v>
          </cell>
          <cell r="C1955" t="str">
            <v>X</v>
          </cell>
          <cell r="E1955">
            <v>0</v>
          </cell>
          <cell r="F1955" t="str">
            <v>Băng keo cách điện (Màu đỏ)</v>
          </cell>
          <cell r="G1955" t="str">
            <v>cuộn</v>
          </cell>
          <cell r="H1955">
            <v>0</v>
          </cell>
          <cell r="I1955">
            <v>6500</v>
          </cell>
          <cell r="K1955">
            <v>0</v>
          </cell>
          <cell r="L1955">
            <v>0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S1955">
            <v>0</v>
          </cell>
          <cell r="T1955">
            <v>0</v>
          </cell>
        </row>
        <row r="1956">
          <cell r="A1956" t="str">
            <v/>
          </cell>
          <cell r="B1956" t="str">
            <v>LPVC114CL</v>
          </cell>
          <cell r="C1956" t="str">
            <v>X</v>
          </cell>
          <cell r="E1956" t="str">
            <v>T4.8003</v>
          </cell>
          <cell r="F1956" t="str">
            <v>Lắp ống nhựa PVC D114</v>
          </cell>
          <cell r="G1956" t="str">
            <v>mét</v>
          </cell>
          <cell r="H1956">
            <v>0</v>
          </cell>
          <cell r="I1956">
            <v>0</v>
          </cell>
          <cell r="K1956">
            <v>35541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S1956">
            <v>0</v>
          </cell>
          <cell r="T1956">
            <v>0</v>
          </cell>
        </row>
        <row r="1957">
          <cell r="A1957" t="str">
            <v/>
          </cell>
          <cell r="B1957" t="str">
            <v>LCAPDONGTB150</v>
          </cell>
          <cell r="C1957" t="str">
            <v>X</v>
          </cell>
          <cell r="E1957" t="str">
            <v>T4.4202</v>
          </cell>
          <cell r="F1957" t="str">
            <v>Lắp cáp đồng xuống thiết bị D ≤ 150mm2</v>
          </cell>
          <cell r="G1957" t="str">
            <v>m</v>
          </cell>
          <cell r="H1957">
            <v>0</v>
          </cell>
          <cell r="I1957">
            <v>0</v>
          </cell>
          <cell r="K1957">
            <v>28433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S1957">
            <v>0</v>
          </cell>
          <cell r="T1957">
            <v>0</v>
          </cell>
        </row>
        <row r="1958">
          <cell r="A1958" t="str">
            <v/>
          </cell>
          <cell r="B1958" t="str">
            <v>LCAPDONGTB240</v>
          </cell>
          <cell r="C1958" t="str">
            <v>X</v>
          </cell>
          <cell r="E1958" t="str">
            <v>T4.4203</v>
          </cell>
          <cell r="F1958" t="str">
            <v>Lắp cáp đồng xuống thiết bị D &gt; 150mm2</v>
          </cell>
          <cell r="G1958" t="str">
            <v>m</v>
          </cell>
          <cell r="H1958">
            <v>0</v>
          </cell>
          <cell r="I1958">
            <v>0</v>
          </cell>
          <cell r="K1958">
            <v>40280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S1958">
            <v>0</v>
          </cell>
          <cell r="T1958">
            <v>0</v>
          </cell>
        </row>
        <row r="1959">
          <cell r="A1959" t="str">
            <v/>
          </cell>
          <cell r="C1959" t="str">
            <v>X</v>
          </cell>
          <cell r="D1959">
            <v>0</v>
          </cell>
          <cell r="F1959" t="str">
            <v>Bộ dẫn cáp vào tủ tụ bù</v>
          </cell>
          <cell r="G1959" t="str">
            <v>Bộ</v>
          </cell>
          <cell r="H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S1959">
            <v>0</v>
          </cell>
          <cell r="T1959">
            <v>0</v>
          </cell>
        </row>
        <row r="1960">
          <cell r="A1960" t="str">
            <v/>
          </cell>
          <cell r="C1960" t="str">
            <v>X</v>
          </cell>
          <cell r="F1960" t="str">
            <v>Gồm có: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  <cell r="S1960">
            <v>0</v>
          </cell>
          <cell r="T1960">
            <v>0</v>
          </cell>
        </row>
        <row r="1961">
          <cell r="A1961" t="str">
            <v/>
          </cell>
          <cell r="B1961" t="str">
            <v>CV120</v>
          </cell>
          <cell r="C1961" t="str">
            <v>X</v>
          </cell>
          <cell r="E1961">
            <v>0</v>
          </cell>
          <cell r="F1961" t="str">
            <v>Cáp đồng bọc CV120</v>
          </cell>
          <cell r="G1961" t="str">
            <v>mét</v>
          </cell>
          <cell r="H1961">
            <v>0</v>
          </cell>
          <cell r="I1961">
            <v>291060</v>
          </cell>
          <cell r="K1961">
            <v>0</v>
          </cell>
          <cell r="L1961">
            <v>0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S1961">
            <v>1.2350000000000001</v>
          </cell>
          <cell r="T1961">
            <v>0</v>
          </cell>
        </row>
        <row r="1962">
          <cell r="A1962" t="str">
            <v/>
          </cell>
          <cell r="B1962" t="str">
            <v>CV95</v>
          </cell>
          <cell r="C1962" t="str">
            <v>X</v>
          </cell>
          <cell r="E1962">
            <v>0</v>
          </cell>
          <cell r="F1962" t="str">
            <v>Cáp đồng bọc CV95</v>
          </cell>
          <cell r="G1962" t="str">
            <v>mét</v>
          </cell>
          <cell r="H1962">
            <v>0</v>
          </cell>
          <cell r="I1962">
            <v>230580</v>
          </cell>
          <cell r="K1962">
            <v>0</v>
          </cell>
          <cell r="L1962">
            <v>0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S1962">
            <v>1.008</v>
          </cell>
          <cell r="T1962">
            <v>0</v>
          </cell>
        </row>
        <row r="1963">
          <cell r="A1963" t="str">
            <v/>
          </cell>
          <cell r="B1963" t="str">
            <v>COS120</v>
          </cell>
          <cell r="C1963" t="str">
            <v>X</v>
          </cell>
          <cell r="E1963" t="str">
            <v>D4.5005</v>
          </cell>
          <cell r="F1963" t="str">
            <v>Đầu cosse ép Cu 120mm2</v>
          </cell>
          <cell r="G1963" t="str">
            <v>cái</v>
          </cell>
          <cell r="H1963">
            <v>0</v>
          </cell>
          <cell r="I1963">
            <v>29000</v>
          </cell>
          <cell r="K1963">
            <v>215654</v>
          </cell>
          <cell r="L1963">
            <v>2061.6999999999998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S1963">
            <v>0.1</v>
          </cell>
          <cell r="T1963">
            <v>0</v>
          </cell>
        </row>
        <row r="1964">
          <cell r="A1964" t="str">
            <v/>
          </cell>
          <cell r="B1964" t="str">
            <v>COS95</v>
          </cell>
          <cell r="C1964" t="str">
            <v>X</v>
          </cell>
          <cell r="E1964" t="str">
            <v>D4.5004</v>
          </cell>
          <cell r="F1964" t="str">
            <v>Đầu cosse ép Cu 95mm2</v>
          </cell>
          <cell r="G1964" t="str">
            <v>cái</v>
          </cell>
          <cell r="H1964">
            <v>0</v>
          </cell>
          <cell r="I1964">
            <v>22000</v>
          </cell>
          <cell r="K1964">
            <v>167731</v>
          </cell>
          <cell r="L1964">
            <v>1767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S1964">
            <v>0.2</v>
          </cell>
          <cell r="T1964">
            <v>0</v>
          </cell>
        </row>
        <row r="1965">
          <cell r="A1965" t="str">
            <v/>
          </cell>
          <cell r="B1965" t="str">
            <v>CHCOS120</v>
          </cell>
          <cell r="C1965" t="str">
            <v>X</v>
          </cell>
          <cell r="E1965">
            <v>0</v>
          </cell>
          <cell r="F1965" t="str">
            <v>Chụp đầu cosse  120mm2</v>
          </cell>
          <cell r="G1965" t="str">
            <v>cái</v>
          </cell>
          <cell r="H1965">
            <v>0</v>
          </cell>
          <cell r="I1965">
            <v>4000</v>
          </cell>
          <cell r="K1965">
            <v>0</v>
          </cell>
          <cell r="L1965">
            <v>0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S1965">
            <v>0</v>
          </cell>
          <cell r="T1965">
            <v>0</v>
          </cell>
        </row>
        <row r="1966">
          <cell r="A1966" t="str">
            <v/>
          </cell>
          <cell r="B1966" t="str">
            <v>CHCOS95</v>
          </cell>
          <cell r="C1966" t="str">
            <v>X</v>
          </cell>
          <cell r="E1966">
            <v>0</v>
          </cell>
          <cell r="F1966" t="str">
            <v>Chụp đầu cosse  95mm2</v>
          </cell>
          <cell r="G1966" t="str">
            <v>cái</v>
          </cell>
          <cell r="H1966">
            <v>0</v>
          </cell>
          <cell r="I1966">
            <v>4000</v>
          </cell>
          <cell r="K1966">
            <v>0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S1966">
            <v>0</v>
          </cell>
          <cell r="T1966">
            <v>0</v>
          </cell>
        </row>
        <row r="1967">
          <cell r="A1967" t="str">
            <v/>
          </cell>
          <cell r="B1967" t="str">
            <v>pvc90</v>
          </cell>
          <cell r="C1967" t="str">
            <v>X</v>
          </cell>
          <cell r="E1967">
            <v>0</v>
          </cell>
          <cell r="F1967" t="str">
            <v xml:space="preserve">Ống PVC D90x3,8mm </v>
          </cell>
          <cell r="G1967" t="str">
            <v>m</v>
          </cell>
          <cell r="H1967">
            <v>0</v>
          </cell>
          <cell r="I1967">
            <v>63200</v>
          </cell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S1967">
            <v>2</v>
          </cell>
          <cell r="T1967">
            <v>0</v>
          </cell>
        </row>
        <row r="1968">
          <cell r="A1968" t="str">
            <v/>
          </cell>
          <cell r="B1968" t="str">
            <v>cut90t</v>
          </cell>
          <cell r="C1968" t="str">
            <v>X</v>
          </cell>
          <cell r="E1968">
            <v>0</v>
          </cell>
          <cell r="F1968" t="str">
            <v>Co  90 độ PVC 90</v>
          </cell>
          <cell r="G1968" t="str">
            <v>cái</v>
          </cell>
          <cell r="H1968">
            <v>0</v>
          </cell>
          <cell r="I1968">
            <v>45400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S1968">
            <v>0</v>
          </cell>
          <cell r="T1968">
            <v>0</v>
          </cell>
        </row>
        <row r="1969">
          <cell r="A1969" t="str">
            <v/>
          </cell>
          <cell r="B1969" t="str">
            <v>KVRT90</v>
          </cell>
          <cell r="C1969" t="str">
            <v>X</v>
          </cell>
          <cell r="E1969">
            <v>0</v>
          </cell>
          <cell r="F1969" t="str">
            <v>Khâu ven răng trong D90</v>
          </cell>
          <cell r="G1969" t="str">
            <v>cái</v>
          </cell>
          <cell r="H1969">
            <v>0</v>
          </cell>
          <cell r="I1969">
            <v>9500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S1969">
            <v>0</v>
          </cell>
          <cell r="T1969">
            <v>0</v>
          </cell>
        </row>
        <row r="1970">
          <cell r="A1970" t="str">
            <v/>
          </cell>
          <cell r="B1970" t="str">
            <v>KVRN90</v>
          </cell>
          <cell r="C1970" t="str">
            <v>X</v>
          </cell>
          <cell r="E1970">
            <v>0</v>
          </cell>
          <cell r="F1970" t="str">
            <v>Khâu ven răng ngoài D90</v>
          </cell>
          <cell r="G1970" t="str">
            <v>cái</v>
          </cell>
          <cell r="H1970">
            <v>0</v>
          </cell>
          <cell r="I1970">
            <v>10600</v>
          </cell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S1970">
            <v>0</v>
          </cell>
          <cell r="T1970">
            <v>0</v>
          </cell>
        </row>
        <row r="1971">
          <cell r="A1971" t="str">
            <v/>
          </cell>
          <cell r="B1971" t="str">
            <v>lcapdongTB150</v>
          </cell>
          <cell r="C1971" t="str">
            <v>X</v>
          </cell>
          <cell r="E1971" t="str">
            <v>T4.4202</v>
          </cell>
          <cell r="F1971" t="str">
            <v>Lắp cáp đồng xuống thiết bị D ≤ 150mm2:</v>
          </cell>
          <cell r="G1971" t="str">
            <v>m</v>
          </cell>
          <cell r="H1971">
            <v>0</v>
          </cell>
          <cell r="I1971">
            <v>0</v>
          </cell>
          <cell r="K1971">
            <v>26400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S1971">
            <v>0</v>
          </cell>
          <cell r="T1971">
            <v>0</v>
          </cell>
        </row>
        <row r="1972">
          <cell r="A1972" t="str">
            <v/>
          </cell>
          <cell r="C1972" t="str">
            <v>X</v>
          </cell>
          <cell r="D1972">
            <v>0</v>
          </cell>
          <cell r="F1972" t="str">
            <v>Bộ dây dẫn cáp xuất hạ thế từ tủ MCCB lên lưới</v>
          </cell>
          <cell r="G1972" t="str">
            <v>Bộ</v>
          </cell>
          <cell r="H1972">
            <v>0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S1972">
            <v>0</v>
          </cell>
          <cell r="T1972">
            <v>0</v>
          </cell>
        </row>
        <row r="1973">
          <cell r="A1973" t="str">
            <v/>
          </cell>
          <cell r="C1973" t="str">
            <v>X</v>
          </cell>
          <cell r="F1973" t="str">
            <v>Gồm có: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S1973">
            <v>0</v>
          </cell>
          <cell r="T1973">
            <v>0</v>
          </cell>
        </row>
        <row r="1974">
          <cell r="A1974" t="str">
            <v/>
          </cell>
          <cell r="B1974" t="str">
            <v>CV95</v>
          </cell>
          <cell r="C1974" t="str">
            <v>X</v>
          </cell>
          <cell r="E1974">
            <v>0</v>
          </cell>
          <cell r="F1974" t="str">
            <v>Cáp đồng bọc CV95</v>
          </cell>
          <cell r="G1974" t="str">
            <v>mét</v>
          </cell>
          <cell r="H1974">
            <v>0</v>
          </cell>
          <cell r="I1974">
            <v>170620</v>
          </cell>
          <cell r="K1974">
            <v>0</v>
          </cell>
          <cell r="L1974">
            <v>0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S1974">
            <v>1.008</v>
          </cell>
          <cell r="T1974">
            <v>0</v>
          </cell>
        </row>
        <row r="1975">
          <cell r="A1975" t="str">
            <v/>
          </cell>
          <cell r="B1975" t="str">
            <v>CV70</v>
          </cell>
          <cell r="C1975" t="str">
            <v>X</v>
          </cell>
          <cell r="E1975">
            <v>0</v>
          </cell>
          <cell r="F1975" t="str">
            <v>Cáp đồng bọc CV70</v>
          </cell>
          <cell r="G1975" t="str">
            <v>mét</v>
          </cell>
          <cell r="H1975">
            <v>0</v>
          </cell>
          <cell r="I1975">
            <v>124570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S1975">
            <v>0.73899999999999999</v>
          </cell>
          <cell r="T1975">
            <v>0</v>
          </cell>
        </row>
        <row r="1976">
          <cell r="A1976" t="str">
            <v/>
          </cell>
          <cell r="B1976" t="str">
            <v>CV95</v>
          </cell>
          <cell r="C1976" t="str">
            <v>X</v>
          </cell>
          <cell r="E1976">
            <v>0</v>
          </cell>
          <cell r="F1976" t="str">
            <v>Cáp đồng bọc CV95 (Bắt CB phân đoạn)</v>
          </cell>
          <cell r="G1976" t="str">
            <v>mét</v>
          </cell>
          <cell r="H1976">
            <v>0</v>
          </cell>
          <cell r="I1976">
            <v>170620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S1976">
            <v>1.008</v>
          </cell>
          <cell r="T1976">
            <v>0</v>
          </cell>
        </row>
        <row r="1977">
          <cell r="A1977" t="str">
            <v/>
          </cell>
          <cell r="B1977" t="str">
            <v>COS95</v>
          </cell>
          <cell r="C1977" t="str">
            <v>X</v>
          </cell>
          <cell r="F1977" t="str">
            <v>Đầu cosse ép Cu 95mm2</v>
          </cell>
          <cell r="G1977" t="str">
            <v>cái</v>
          </cell>
          <cell r="H1977">
            <v>0</v>
          </cell>
          <cell r="I1977">
            <v>47500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S1977">
            <v>0.2</v>
          </cell>
          <cell r="T1977">
            <v>0</v>
          </cell>
        </row>
        <row r="1978">
          <cell r="A1978" t="str">
            <v/>
          </cell>
          <cell r="B1978" t="str">
            <v>COS70</v>
          </cell>
          <cell r="C1978" t="str">
            <v>X</v>
          </cell>
          <cell r="F1978" t="str">
            <v>Đầu cosse ép Cu 70mm2</v>
          </cell>
          <cell r="G1978" t="str">
            <v>cái</v>
          </cell>
          <cell r="H1978">
            <v>0</v>
          </cell>
          <cell r="I1978">
            <v>34500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S1978">
            <v>0.2</v>
          </cell>
          <cell r="T1978">
            <v>0</v>
          </cell>
        </row>
        <row r="1979">
          <cell r="A1979" t="str">
            <v/>
          </cell>
          <cell r="B1979" t="str">
            <v>CHCOS95</v>
          </cell>
          <cell r="C1979" t="str">
            <v>X</v>
          </cell>
          <cell r="E1979">
            <v>0</v>
          </cell>
          <cell r="F1979" t="str">
            <v>Chụp đầu cosse  95mm2</v>
          </cell>
          <cell r="G1979" t="str">
            <v>cái</v>
          </cell>
          <cell r="H1979">
            <v>0</v>
          </cell>
          <cell r="I1979">
            <v>3300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S1979">
            <v>0</v>
          </cell>
          <cell r="T1979">
            <v>0</v>
          </cell>
        </row>
        <row r="1980">
          <cell r="A1980" t="str">
            <v/>
          </cell>
          <cell r="B1980" t="str">
            <v>CHCOS70</v>
          </cell>
          <cell r="C1980" t="str">
            <v>X</v>
          </cell>
          <cell r="E1980">
            <v>0</v>
          </cell>
          <cell r="F1980" t="str">
            <v>Chụp đầu cosse  70mm2</v>
          </cell>
          <cell r="G1980" t="str">
            <v>cái</v>
          </cell>
          <cell r="H1980">
            <v>0</v>
          </cell>
          <cell r="I1980">
            <v>2300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S1980">
            <v>0</v>
          </cell>
          <cell r="T1980">
            <v>0</v>
          </cell>
        </row>
        <row r="1981">
          <cell r="A1981" t="str">
            <v/>
          </cell>
          <cell r="B1981" t="str">
            <v>PVC90</v>
          </cell>
          <cell r="C1981" t="str">
            <v>X</v>
          </cell>
          <cell r="E1981">
            <v>0</v>
          </cell>
          <cell r="F1981" t="str">
            <v xml:space="preserve">Ống PVC D90x3,8mm </v>
          </cell>
          <cell r="G1981" t="str">
            <v>m</v>
          </cell>
          <cell r="H1981">
            <v>0</v>
          </cell>
          <cell r="I1981">
            <v>63200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S1981">
            <v>2</v>
          </cell>
          <cell r="T1981">
            <v>0</v>
          </cell>
        </row>
        <row r="1982">
          <cell r="A1982" t="str">
            <v/>
          </cell>
          <cell r="B1982" t="str">
            <v>CD90G</v>
          </cell>
          <cell r="C1982" t="str">
            <v>X</v>
          </cell>
          <cell r="E1982">
            <v>0</v>
          </cell>
          <cell r="F1982" t="str">
            <v>Cổ dê kẹp ống PVC φ 90 hướng trụ ghép (có giá nới) (CD-230)</v>
          </cell>
          <cell r="G1982" t="str">
            <v>bộ</v>
          </cell>
          <cell r="H1982">
            <v>0</v>
          </cell>
          <cell r="I1982">
            <v>74000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S1982">
            <v>1.5</v>
          </cell>
          <cell r="T1982">
            <v>0</v>
          </cell>
        </row>
        <row r="1983">
          <cell r="A1983" t="str">
            <v/>
          </cell>
          <cell r="B1983" t="str">
            <v>CD90G</v>
          </cell>
          <cell r="C1983" t="str">
            <v>X</v>
          </cell>
          <cell r="E1983">
            <v>0</v>
          </cell>
          <cell r="F1983" t="str">
            <v>Cổ dê kẹp ống PVC φ 90 hướng trụ ghép (có giá nới) (CD-280)</v>
          </cell>
          <cell r="G1983" t="str">
            <v>bộ</v>
          </cell>
          <cell r="H1983">
            <v>0</v>
          </cell>
          <cell r="I1983">
            <v>74000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S1983">
            <v>1.5</v>
          </cell>
          <cell r="T1983">
            <v>0</v>
          </cell>
        </row>
        <row r="1984">
          <cell r="A1984" t="str">
            <v/>
          </cell>
          <cell r="B1984" t="str">
            <v>CD90G</v>
          </cell>
          <cell r="C1984" t="str">
            <v>X</v>
          </cell>
          <cell r="E1984">
            <v>0</v>
          </cell>
          <cell r="F1984" t="str">
            <v>Cổ dê kẹp ống PVC φ 90 hướng trụ ghép (có giá nới) (CD-320)</v>
          </cell>
          <cell r="G1984" t="str">
            <v>bộ</v>
          </cell>
          <cell r="H1984">
            <v>0</v>
          </cell>
          <cell r="I1984">
            <v>74000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S1984">
            <v>1.5</v>
          </cell>
          <cell r="T1984">
            <v>0</v>
          </cell>
        </row>
        <row r="1985">
          <cell r="A1985" t="str">
            <v/>
          </cell>
          <cell r="B1985" t="str">
            <v>KVRT90</v>
          </cell>
          <cell r="C1985" t="str">
            <v>X</v>
          </cell>
          <cell r="E1985">
            <v>0</v>
          </cell>
          <cell r="F1985" t="str">
            <v>Khâu ven răng trong D90</v>
          </cell>
          <cell r="G1985" t="str">
            <v>cái</v>
          </cell>
          <cell r="H1985">
            <v>0</v>
          </cell>
          <cell r="I1985">
            <v>25800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S1985">
            <v>0</v>
          </cell>
          <cell r="T1985">
            <v>0</v>
          </cell>
        </row>
        <row r="1986">
          <cell r="A1986" t="str">
            <v/>
          </cell>
          <cell r="B1986" t="str">
            <v>KVRN90</v>
          </cell>
          <cell r="C1986" t="str">
            <v>X</v>
          </cell>
          <cell r="E1986">
            <v>0</v>
          </cell>
          <cell r="F1986" t="str">
            <v>Khâu ven răng ngoài D90</v>
          </cell>
          <cell r="G1986" t="str">
            <v>cái</v>
          </cell>
          <cell r="H1986">
            <v>0</v>
          </cell>
          <cell r="I1986">
            <v>21500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S1986">
            <v>0</v>
          </cell>
          <cell r="T1986">
            <v>0</v>
          </cell>
        </row>
        <row r="1987">
          <cell r="A1987" t="str">
            <v/>
          </cell>
          <cell r="B1987" t="str">
            <v>CUT90T</v>
          </cell>
          <cell r="C1987" t="str">
            <v>X</v>
          </cell>
          <cell r="E1987">
            <v>0</v>
          </cell>
          <cell r="F1987" t="str">
            <v>Co  90 độ PVC 90</v>
          </cell>
          <cell r="G1987" t="str">
            <v>cái</v>
          </cell>
          <cell r="H1987">
            <v>0</v>
          </cell>
          <cell r="I1987">
            <v>35200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S1987">
            <v>0</v>
          </cell>
          <cell r="T1987">
            <v>0</v>
          </cell>
        </row>
        <row r="1988">
          <cell r="A1988" t="str">
            <v/>
          </cell>
          <cell r="B1988" t="str">
            <v>CUT90TD</v>
          </cell>
          <cell r="C1988" t="str">
            <v>X</v>
          </cell>
          <cell r="E1988">
            <v>0</v>
          </cell>
          <cell r="F1988" t="str">
            <v>Co  90 độ PVC 90 (Loại dày)</v>
          </cell>
          <cell r="G1988" t="str">
            <v>cái</v>
          </cell>
          <cell r="H1988">
            <v>0</v>
          </cell>
          <cell r="I1988">
            <v>45400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S1988">
            <v>0</v>
          </cell>
          <cell r="T1988">
            <v>0</v>
          </cell>
        </row>
        <row r="1989">
          <cell r="A1989" t="str">
            <v/>
          </cell>
          <cell r="B1989" t="str">
            <v>CUT90135</v>
          </cell>
          <cell r="C1989" t="str">
            <v>X</v>
          </cell>
          <cell r="E1989">
            <v>0</v>
          </cell>
          <cell r="F1989" t="str">
            <v>Co 135 độ PVC 90</v>
          </cell>
          <cell r="G1989" t="str">
            <v>cái</v>
          </cell>
          <cell r="H1989">
            <v>0</v>
          </cell>
          <cell r="I1989">
            <v>33900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S1989">
            <v>0</v>
          </cell>
          <cell r="T1989">
            <v>0</v>
          </cell>
        </row>
        <row r="1990">
          <cell r="A1990" t="str">
            <v/>
          </cell>
          <cell r="B1990" t="str">
            <v>KEODAN</v>
          </cell>
          <cell r="C1990" t="str">
            <v>X</v>
          </cell>
          <cell r="E1990">
            <v>0</v>
          </cell>
          <cell r="F1990" t="str">
            <v>Keo dán ống PVC (100gr)</v>
          </cell>
          <cell r="G1990" t="str">
            <v>tuýp</v>
          </cell>
          <cell r="H1990">
            <v>0</v>
          </cell>
          <cell r="I1990">
            <v>11500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S1990">
            <v>0</v>
          </cell>
          <cell r="T1990">
            <v>0</v>
          </cell>
        </row>
        <row r="1991">
          <cell r="A1991" t="str">
            <v/>
          </cell>
          <cell r="B1991" t="str">
            <v>KEOBIT</v>
          </cell>
          <cell r="C1991" t="str">
            <v>X</v>
          </cell>
          <cell r="E1991">
            <v>0</v>
          </cell>
          <cell r="F1991" t="str">
            <v>Keo silicon bít miệng ống</v>
          </cell>
          <cell r="G1991" t="str">
            <v>ống</v>
          </cell>
          <cell r="I1991">
            <v>45000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S1991">
            <v>0</v>
          </cell>
          <cell r="T1991">
            <v>0</v>
          </cell>
        </row>
        <row r="1992">
          <cell r="B1992" t="str">
            <v>BANGKEO</v>
          </cell>
          <cell r="C1992" t="str">
            <v>X</v>
          </cell>
          <cell r="E1992">
            <v>0</v>
          </cell>
          <cell r="F1992" t="str">
            <v>Băng keo cách điện (Màu đen)</v>
          </cell>
          <cell r="G1992" t="str">
            <v>cuộn</v>
          </cell>
          <cell r="H1992">
            <v>0</v>
          </cell>
          <cell r="I1992">
            <v>6500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S1992">
            <v>0</v>
          </cell>
          <cell r="T1992">
            <v>0</v>
          </cell>
        </row>
        <row r="1993">
          <cell r="B1993" t="str">
            <v>BANGKEOV</v>
          </cell>
          <cell r="C1993" t="str">
            <v>X</v>
          </cell>
          <cell r="E1993">
            <v>0</v>
          </cell>
          <cell r="F1993" t="str">
            <v>Băng keo cách điện (Màu vàng)</v>
          </cell>
          <cell r="G1993" t="str">
            <v>cuộn</v>
          </cell>
          <cell r="H1993">
            <v>0</v>
          </cell>
          <cell r="I1993">
            <v>6500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S1993">
            <v>0</v>
          </cell>
          <cell r="T1993">
            <v>0</v>
          </cell>
        </row>
        <row r="1994">
          <cell r="B1994" t="str">
            <v>BANGKEOX</v>
          </cell>
          <cell r="C1994" t="str">
            <v>X</v>
          </cell>
          <cell r="E1994">
            <v>0</v>
          </cell>
          <cell r="F1994" t="str">
            <v>Băng keo cách điện (Màu xanh)</v>
          </cell>
          <cell r="G1994" t="str">
            <v>cuộn</v>
          </cell>
          <cell r="H1994">
            <v>0</v>
          </cell>
          <cell r="I1994">
            <v>6500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S1994">
            <v>0</v>
          </cell>
          <cell r="T1994">
            <v>0</v>
          </cell>
        </row>
        <row r="1995">
          <cell r="B1995" t="str">
            <v>BANGKEOD</v>
          </cell>
          <cell r="C1995" t="str">
            <v>X</v>
          </cell>
          <cell r="E1995">
            <v>0</v>
          </cell>
          <cell r="F1995" t="str">
            <v>Băng keo cách điện (Màu đỏ)</v>
          </cell>
          <cell r="G1995" t="str">
            <v>cuộn</v>
          </cell>
          <cell r="H1995">
            <v>0</v>
          </cell>
          <cell r="I1995">
            <v>6500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S1995">
            <v>0</v>
          </cell>
          <cell r="T1995">
            <v>0</v>
          </cell>
        </row>
        <row r="1996">
          <cell r="A1996" t="str">
            <v/>
          </cell>
          <cell r="B1996" t="str">
            <v>ON70</v>
          </cell>
          <cell r="C1996" t="str">
            <v>X</v>
          </cell>
          <cell r="E1996">
            <v>0</v>
          </cell>
          <cell r="F1996" t="str">
            <v>Ống nối dây AC cỡ 70mm2 (Không lõi thép)</v>
          </cell>
          <cell r="G1996" t="str">
            <v>cái</v>
          </cell>
          <cell r="I1996">
            <v>40000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S1996">
            <v>2</v>
          </cell>
          <cell r="T1996">
            <v>0</v>
          </cell>
        </row>
        <row r="1997">
          <cell r="A1997" t="str">
            <v/>
          </cell>
          <cell r="B1997" t="str">
            <v>ON95</v>
          </cell>
          <cell r="C1997" t="str">
            <v>X</v>
          </cell>
          <cell r="F1997" t="str">
            <v>Ống nối dây AC cỡ 95mm2 (Không lõi thép)</v>
          </cell>
          <cell r="G1997" t="str">
            <v>cái</v>
          </cell>
          <cell r="I1997">
            <v>47500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S1997">
            <v>2.5</v>
          </cell>
          <cell r="T1997">
            <v>0</v>
          </cell>
        </row>
        <row r="1998">
          <cell r="A1998" t="str">
            <v/>
          </cell>
          <cell r="B1998" t="str">
            <v>ON120</v>
          </cell>
          <cell r="C1998" t="str">
            <v>X</v>
          </cell>
          <cell r="F1998" t="str">
            <v>Ống nối dây AC cỡ 120mm2 (Không lõi thép)</v>
          </cell>
          <cell r="G1998" t="str">
            <v>cái</v>
          </cell>
          <cell r="I1998">
            <v>65500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S1998">
            <v>2</v>
          </cell>
          <cell r="T1998">
            <v>0</v>
          </cell>
        </row>
        <row r="1999">
          <cell r="A1999" t="str">
            <v/>
          </cell>
          <cell r="B1999" t="str">
            <v>OBCD</v>
          </cell>
          <cell r="C1999" t="str">
            <v>X</v>
          </cell>
          <cell r="E1999">
            <v>0</v>
          </cell>
          <cell r="F1999" t="str">
            <v>Ống bọc cách điện D30</v>
          </cell>
          <cell r="G1999" t="str">
            <v>mét</v>
          </cell>
          <cell r="I1999">
            <v>95000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S1999">
            <v>0</v>
          </cell>
          <cell r="T1999">
            <v>0</v>
          </cell>
        </row>
        <row r="2000">
          <cell r="A2000" t="str">
            <v/>
          </cell>
          <cell r="B2000" t="str">
            <v>KNGUNG70</v>
          </cell>
          <cell r="C2000" t="str">
            <v>X</v>
          </cell>
          <cell r="E2000">
            <v>0</v>
          </cell>
          <cell r="F2000" t="str">
            <v>Kẹp ngừng cáp ABC4x70mm2</v>
          </cell>
          <cell r="G2000" t="str">
            <v>cái</v>
          </cell>
          <cell r="I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S2000">
            <v>0</v>
          </cell>
          <cell r="T2000">
            <v>0</v>
          </cell>
        </row>
        <row r="2001">
          <cell r="A2001" t="str">
            <v/>
          </cell>
          <cell r="B2001" t="str">
            <v>KNGUNG95</v>
          </cell>
          <cell r="C2001" t="str">
            <v>X</v>
          </cell>
          <cell r="E2001">
            <v>0</v>
          </cell>
          <cell r="F2001" t="str">
            <v>Kẹp ngừng cáp ABC4x95mm2</v>
          </cell>
          <cell r="G2001" t="str">
            <v>cái</v>
          </cell>
          <cell r="I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S2001">
            <v>0</v>
          </cell>
          <cell r="T2001">
            <v>0</v>
          </cell>
        </row>
        <row r="2002">
          <cell r="A2002" t="str">
            <v/>
          </cell>
          <cell r="B2002" t="str">
            <v>KNGUNG120</v>
          </cell>
          <cell r="C2002" t="str">
            <v>X</v>
          </cell>
          <cell r="E2002">
            <v>0</v>
          </cell>
          <cell r="F2002" t="str">
            <v>Kẹp ngừng cáp ABC4x120mm2</v>
          </cell>
          <cell r="G2002" t="str">
            <v>cái</v>
          </cell>
          <cell r="I2002">
            <v>74000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S2002">
            <v>0</v>
          </cell>
          <cell r="T2002">
            <v>0</v>
          </cell>
        </row>
        <row r="2003">
          <cell r="A2003" t="str">
            <v/>
          </cell>
          <cell r="B2003" t="str">
            <v>BMOC16550</v>
          </cell>
          <cell r="C2003" t="str">
            <v>X</v>
          </cell>
          <cell r="E2003">
            <v>0</v>
          </cell>
          <cell r="F2003" t="str">
            <v>Boulon móc 16x550+ long đền vuông D18-50x50x3/Zn</v>
          </cell>
          <cell r="G2003" t="str">
            <v>bộ</v>
          </cell>
          <cell r="I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S2003">
            <v>0.4</v>
          </cell>
          <cell r="T2003">
            <v>0</v>
          </cell>
        </row>
        <row r="2004">
          <cell r="A2004" t="str">
            <v/>
          </cell>
          <cell r="B2004" t="str">
            <v>LPVC90CL</v>
          </cell>
          <cell r="C2004" t="str">
            <v>X</v>
          </cell>
          <cell r="E2004" t="str">
            <v>T4.8003</v>
          </cell>
          <cell r="F2004" t="str">
            <v>Lắp ống nhựa PVC D90</v>
          </cell>
          <cell r="G2004" t="str">
            <v>mét</v>
          </cell>
          <cell r="H2004">
            <v>0</v>
          </cell>
          <cell r="I2004">
            <v>0</v>
          </cell>
          <cell r="K2004">
            <v>35541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S2004">
            <v>0</v>
          </cell>
          <cell r="T2004">
            <v>0</v>
          </cell>
        </row>
        <row r="2005">
          <cell r="A2005" t="str">
            <v/>
          </cell>
          <cell r="B2005" t="str">
            <v>LCAPDONGTB95</v>
          </cell>
          <cell r="C2005" t="str">
            <v>X</v>
          </cell>
          <cell r="E2005" t="str">
            <v>T4.4201</v>
          </cell>
          <cell r="F2005" t="str">
            <v>Lắp cáp đồng xuống thiết bị D ≤ 95mm2</v>
          </cell>
          <cell r="G2005" t="str">
            <v>m</v>
          </cell>
          <cell r="H2005">
            <v>0</v>
          </cell>
          <cell r="I2005">
            <v>0</v>
          </cell>
          <cell r="K2005">
            <v>11847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S2005">
            <v>0</v>
          </cell>
          <cell r="T2005">
            <v>0</v>
          </cell>
        </row>
        <row r="2006">
          <cell r="A2006" t="str">
            <v/>
          </cell>
          <cell r="B2006" t="str">
            <v>LCAPDONGTB150</v>
          </cell>
          <cell r="C2006" t="str">
            <v>X</v>
          </cell>
          <cell r="E2006" t="str">
            <v>T4.4202</v>
          </cell>
          <cell r="F2006" t="str">
            <v>Lắp cáp đồng xuống thiết bị D ≤ 150mm2</v>
          </cell>
          <cell r="G2006" t="str">
            <v>m</v>
          </cell>
          <cell r="I2006">
            <v>0</v>
          </cell>
          <cell r="K2006">
            <v>28433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S2006">
            <v>0</v>
          </cell>
          <cell r="T2006">
            <v>0</v>
          </cell>
        </row>
        <row r="2007">
          <cell r="C2007" t="str">
            <v>X</v>
          </cell>
          <cell r="D2007">
            <v>0</v>
          </cell>
          <cell r="F2007" t="str">
            <v>Phụ kiện dừng dây hạ thế vào trạm</v>
          </cell>
          <cell r="G2007" t="str">
            <v>Bộ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S2007">
            <v>0</v>
          </cell>
          <cell r="T2007">
            <v>0</v>
          </cell>
        </row>
        <row r="2008">
          <cell r="C2008" t="str">
            <v>X</v>
          </cell>
          <cell r="F2008" t="str">
            <v>Lưới hạ thế sau TBA Xuân Mỹ 1A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S2008">
            <v>0</v>
          </cell>
          <cell r="T2008">
            <v>0</v>
          </cell>
        </row>
        <row r="2009">
          <cell r="B2009" t="str">
            <v>KNGUNG120</v>
          </cell>
          <cell r="C2009" t="str">
            <v>X</v>
          </cell>
          <cell r="E2009">
            <v>0</v>
          </cell>
          <cell r="F2009" t="str">
            <v>Kẹp ngừng cáp ABC4x120mm2</v>
          </cell>
          <cell r="G2009" t="str">
            <v>cái</v>
          </cell>
          <cell r="I2009">
            <v>74000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S2009">
            <v>0</v>
          </cell>
          <cell r="T2009">
            <v>0</v>
          </cell>
        </row>
        <row r="2010">
          <cell r="B2010" t="str">
            <v>BMOC16300</v>
          </cell>
          <cell r="C2010" t="str">
            <v>X</v>
          </cell>
          <cell r="E2010">
            <v>0</v>
          </cell>
          <cell r="F2010" t="str">
            <v>Boulon móc 16x300+ long đền vuông D18-50x50x3/Zn</v>
          </cell>
          <cell r="G2010" t="str">
            <v>bộ</v>
          </cell>
          <cell r="I2010">
            <v>41500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S2010">
            <v>0.3</v>
          </cell>
          <cell r="T2010">
            <v>0</v>
          </cell>
        </row>
        <row r="2011">
          <cell r="B2011" t="str">
            <v>ON120</v>
          </cell>
          <cell r="C2011" t="str">
            <v>X</v>
          </cell>
          <cell r="F2011" t="str">
            <v>Ống nối dây AC cỡ 120mm2 (Không lõi thép)</v>
          </cell>
          <cell r="G2011" t="str">
            <v>cái</v>
          </cell>
          <cell r="I2011">
            <v>65500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S2011">
            <v>2</v>
          </cell>
          <cell r="T2011">
            <v>0</v>
          </cell>
        </row>
        <row r="2012">
          <cell r="B2012" t="str">
            <v>OBCD</v>
          </cell>
          <cell r="C2012" t="str">
            <v>X</v>
          </cell>
          <cell r="E2012">
            <v>0</v>
          </cell>
          <cell r="F2012" t="str">
            <v>Ống bọc cách điện D30</v>
          </cell>
          <cell r="G2012" t="str">
            <v>mét</v>
          </cell>
          <cell r="I2012">
            <v>95000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S2012">
            <v>0</v>
          </cell>
          <cell r="T2012">
            <v>0</v>
          </cell>
        </row>
        <row r="2013">
          <cell r="C2013" t="str">
            <v>X</v>
          </cell>
          <cell r="F2013" t="str">
            <v>Lưới hạ thế sau TBA Xuân Tây 4A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S2013">
            <v>0</v>
          </cell>
          <cell r="T2013">
            <v>0</v>
          </cell>
        </row>
        <row r="2014">
          <cell r="B2014" t="str">
            <v>KNGUNG70</v>
          </cell>
          <cell r="C2014" t="str">
            <v>X</v>
          </cell>
          <cell r="E2014">
            <v>0</v>
          </cell>
          <cell r="F2014" t="str">
            <v>Kẹp ngừng cáp ABC4x70mm2</v>
          </cell>
          <cell r="G2014" t="str">
            <v>cái</v>
          </cell>
          <cell r="I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S2014">
            <v>0</v>
          </cell>
          <cell r="T2014">
            <v>0</v>
          </cell>
        </row>
        <row r="2015">
          <cell r="B2015" t="str">
            <v>BMOC16300</v>
          </cell>
          <cell r="C2015" t="str">
            <v>X</v>
          </cell>
          <cell r="E2015">
            <v>0</v>
          </cell>
          <cell r="F2015" t="str">
            <v>Boulon móc 16x300+ long đền vuông D18-50x50x3/Zn</v>
          </cell>
          <cell r="G2015" t="str">
            <v>bộ</v>
          </cell>
          <cell r="I2015">
            <v>41500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S2015">
            <v>0.3</v>
          </cell>
          <cell r="T2015">
            <v>0</v>
          </cell>
        </row>
        <row r="2016">
          <cell r="B2016" t="str">
            <v>ON70</v>
          </cell>
          <cell r="C2016" t="str">
            <v>X</v>
          </cell>
          <cell r="F2016" t="str">
            <v>Ống nối dây AC cỡ 70mm2 (Không lõi thép)</v>
          </cell>
          <cell r="G2016" t="str">
            <v>cái</v>
          </cell>
          <cell r="I2016">
            <v>40000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S2016">
            <v>2</v>
          </cell>
          <cell r="T2016">
            <v>0</v>
          </cell>
        </row>
        <row r="2017">
          <cell r="B2017" t="str">
            <v>OBCD</v>
          </cell>
          <cell r="C2017" t="str">
            <v>X</v>
          </cell>
          <cell r="E2017">
            <v>0</v>
          </cell>
          <cell r="F2017" t="str">
            <v>Ống bọc cách điện D30</v>
          </cell>
          <cell r="G2017" t="str">
            <v>mét</v>
          </cell>
          <cell r="I2017">
            <v>95000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S2017">
            <v>0</v>
          </cell>
          <cell r="T2017">
            <v>0</v>
          </cell>
        </row>
        <row r="2018">
          <cell r="C2018" t="str">
            <v>X</v>
          </cell>
          <cell r="F2018" t="str">
            <v>Lưới hạ thế sau TBA Xuân Tây 4B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S2018">
            <v>0</v>
          </cell>
          <cell r="T2018">
            <v>0</v>
          </cell>
        </row>
        <row r="2019">
          <cell r="B2019" t="str">
            <v>KNGUNG70</v>
          </cell>
          <cell r="C2019" t="str">
            <v>X</v>
          </cell>
          <cell r="E2019">
            <v>0</v>
          </cell>
          <cell r="F2019" t="str">
            <v>Kẹp ngừng cáp ABC4x70mm2</v>
          </cell>
          <cell r="G2019" t="str">
            <v>cái</v>
          </cell>
          <cell r="I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S2019">
            <v>0</v>
          </cell>
          <cell r="T2019">
            <v>0</v>
          </cell>
        </row>
        <row r="2020">
          <cell r="B2020" t="str">
            <v>BMOC16300</v>
          </cell>
          <cell r="C2020" t="str">
            <v>X</v>
          </cell>
          <cell r="E2020">
            <v>0</v>
          </cell>
          <cell r="F2020" t="str">
            <v>Boulon móc 16x300+ long đền vuông D18-50x50x3/Zn</v>
          </cell>
          <cell r="G2020" t="str">
            <v>bộ</v>
          </cell>
          <cell r="I2020">
            <v>41500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S2020">
            <v>0.3</v>
          </cell>
          <cell r="T2020">
            <v>0</v>
          </cell>
        </row>
        <row r="2021">
          <cell r="B2021" t="str">
            <v>ON70</v>
          </cell>
          <cell r="C2021" t="str">
            <v>X</v>
          </cell>
          <cell r="F2021" t="str">
            <v>Ống nối dây AC cỡ 70mm2 (Không lõi thép)</v>
          </cell>
          <cell r="G2021" t="str">
            <v>cái</v>
          </cell>
          <cell r="I2021">
            <v>40000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S2021">
            <v>2</v>
          </cell>
          <cell r="T2021">
            <v>0</v>
          </cell>
        </row>
        <row r="2022">
          <cell r="B2022" t="str">
            <v>OBCD</v>
          </cell>
          <cell r="C2022" t="str">
            <v>X</v>
          </cell>
          <cell r="E2022">
            <v>0</v>
          </cell>
          <cell r="F2022" t="str">
            <v>Ống bọc cách điện D30</v>
          </cell>
          <cell r="G2022" t="str">
            <v>mét</v>
          </cell>
          <cell r="I2022">
            <v>95000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S2022">
            <v>0</v>
          </cell>
          <cell r="T2022">
            <v>0</v>
          </cell>
        </row>
        <row r="2023">
          <cell r="C2023" t="str">
            <v>X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S2023">
            <v>0</v>
          </cell>
          <cell r="T2023">
            <v>0</v>
          </cell>
        </row>
        <row r="2024">
          <cell r="A2024" t="str">
            <v>TBTBA</v>
          </cell>
          <cell r="C2024">
            <v>1</v>
          </cell>
          <cell r="F2024" t="str">
            <v xml:space="preserve"> TỔNG A. PHẦN THIẾT BỊ</v>
          </cell>
          <cell r="M2024">
            <v>1580593000</v>
          </cell>
          <cell r="N2024">
            <v>0</v>
          </cell>
          <cell r="O2024">
            <v>42170742</v>
          </cell>
          <cell r="P2024">
            <v>11539360</v>
          </cell>
          <cell r="Q2024">
            <v>0</v>
          </cell>
          <cell r="S2024">
            <v>0</v>
          </cell>
          <cell r="T2024">
            <v>13529.8</v>
          </cell>
        </row>
        <row r="2025">
          <cell r="A2025" t="str">
            <v>VLTBA</v>
          </cell>
          <cell r="C2025">
            <v>1</v>
          </cell>
          <cell r="F2025" t="str">
            <v>TỔNG B. PHẦN VẬT LIỆU</v>
          </cell>
          <cell r="M2025">
            <v>511562017.68000001</v>
          </cell>
          <cell r="N2025">
            <v>0</v>
          </cell>
          <cell r="O2025">
            <v>97732801.112000003</v>
          </cell>
          <cell r="P2025">
            <v>0</v>
          </cell>
          <cell r="Q2025">
            <v>0</v>
          </cell>
          <cell r="S2025">
            <v>0</v>
          </cell>
          <cell r="T2025">
            <v>5306.6489999999994</v>
          </cell>
        </row>
      </sheetData>
      <sheetData sheetId="12"/>
      <sheetData sheetId="13">
        <row r="8">
          <cell r="D8" t="str">
            <v>Tổng cộng</v>
          </cell>
          <cell r="J8">
            <v>1199025</v>
          </cell>
          <cell r="K8">
            <v>48065978</v>
          </cell>
          <cell r="L8">
            <v>9270474</v>
          </cell>
        </row>
        <row r="9">
          <cell r="B9" t="str">
            <v>T1</v>
          </cell>
          <cell r="C9">
            <v>1</v>
          </cell>
          <cell r="D9" t="str">
            <v>Đường dây trung thế</v>
          </cell>
          <cell r="J9">
            <v>11960</v>
          </cell>
          <cell r="K9">
            <v>1038795</v>
          </cell>
          <cell r="L9">
            <v>42481</v>
          </cell>
        </row>
        <row r="10">
          <cell r="B10" t="str">
            <v>TNFCO</v>
          </cell>
          <cell r="C10" t="str">
            <v>EB.22040</v>
          </cell>
          <cell r="D10" t="str">
            <v>FCO 27kV - 100A</v>
          </cell>
          <cell r="E10" t="str">
            <v>cái</v>
          </cell>
          <cell r="F10">
            <v>23</v>
          </cell>
          <cell r="G10">
            <v>520</v>
          </cell>
          <cell r="H10">
            <v>45165</v>
          </cell>
          <cell r="I10">
            <v>1847</v>
          </cell>
          <cell r="J10">
            <v>11960</v>
          </cell>
          <cell r="K10">
            <v>1038795</v>
          </cell>
          <cell r="L10">
            <v>42481</v>
          </cell>
        </row>
        <row r="11">
          <cell r="B11" t="str">
            <v>TNFCO</v>
          </cell>
          <cell r="C11" t="str">
            <v>EB.22040</v>
          </cell>
          <cell r="D11" t="str">
            <v>FCO 27kV 200A</v>
          </cell>
          <cell r="E11" t="str">
            <v>cái</v>
          </cell>
          <cell r="G11">
            <v>433</v>
          </cell>
          <cell r="H11">
            <v>37637</v>
          </cell>
          <cell r="I11">
            <v>1539</v>
          </cell>
          <cell r="J11">
            <v>0</v>
          </cell>
          <cell r="K11">
            <v>0</v>
          </cell>
          <cell r="L11">
            <v>0</v>
          </cell>
        </row>
        <row r="12">
          <cell r="B12" t="str">
            <v>T3</v>
          </cell>
          <cell r="C12">
            <v>2</v>
          </cell>
          <cell r="D12" t="str">
            <v>Đường dây hạ thế</v>
          </cell>
          <cell r="J12">
            <v>0</v>
          </cell>
          <cell r="K12">
            <v>0</v>
          </cell>
          <cell r="L12">
            <v>0</v>
          </cell>
        </row>
        <row r="13">
          <cell r="B13" t="str">
            <v>TNCB300</v>
          </cell>
          <cell r="C13" t="str">
            <v>EB.72010</v>
          </cell>
          <cell r="D13" t="str">
            <v>MCCB 3 cực 400V - 125A - 30KA (80-125A)</v>
          </cell>
          <cell r="E13" t="str">
            <v>cái</v>
          </cell>
          <cell r="F13">
            <v>3</v>
          </cell>
          <cell r="G13">
            <v>3535</v>
          </cell>
          <cell r="H13">
            <v>228192</v>
          </cell>
          <cell r="I13">
            <v>44070</v>
          </cell>
          <cell r="J13">
            <v>10605</v>
          </cell>
          <cell r="K13">
            <v>684576</v>
          </cell>
          <cell r="L13">
            <v>132210</v>
          </cell>
        </row>
        <row r="14">
          <cell r="B14" t="str">
            <v>TNCB300</v>
          </cell>
          <cell r="C14" t="str">
            <v>EB.72010</v>
          </cell>
          <cell r="D14" t="str">
            <v>MCCB 3 cực 400V - 160A - 35KA (100-160A)</v>
          </cell>
          <cell r="E14" t="str">
            <v>cái</v>
          </cell>
          <cell r="F14">
            <v>26</v>
          </cell>
          <cell r="G14">
            <v>3535</v>
          </cell>
          <cell r="H14">
            <v>228192</v>
          </cell>
          <cell r="I14">
            <v>44070</v>
          </cell>
          <cell r="J14">
            <v>91910</v>
          </cell>
          <cell r="K14">
            <v>5932992</v>
          </cell>
          <cell r="L14">
            <v>1145820</v>
          </cell>
        </row>
        <row r="15">
          <cell r="B15" t="str">
            <v>TNCB300</v>
          </cell>
          <cell r="C15" t="str">
            <v>EB.72010</v>
          </cell>
          <cell r="D15" t="str">
            <v>MCCB 3 cực 400V - 200A - 35KA (125-200A)</v>
          </cell>
          <cell r="E15" t="str">
            <v>cái</v>
          </cell>
          <cell r="F15">
            <v>14</v>
          </cell>
          <cell r="G15">
            <v>3535</v>
          </cell>
          <cell r="H15">
            <v>228192</v>
          </cell>
          <cell r="I15">
            <v>44070</v>
          </cell>
          <cell r="J15">
            <v>49490</v>
          </cell>
          <cell r="K15">
            <v>3194688</v>
          </cell>
          <cell r="L15">
            <v>616980</v>
          </cell>
        </row>
        <row r="16">
          <cell r="B16" t="str">
            <v>TNCB300</v>
          </cell>
          <cell r="C16" t="str">
            <v>EB.72010</v>
          </cell>
          <cell r="D16" t="str">
            <v>MCCB 3 cực 600V - 250A - 42KA (160-250A)</v>
          </cell>
          <cell r="E16" t="str">
            <v>cái</v>
          </cell>
          <cell r="F16">
            <v>1</v>
          </cell>
          <cell r="G16">
            <v>3535</v>
          </cell>
          <cell r="H16">
            <v>228192</v>
          </cell>
          <cell r="I16">
            <v>44070</v>
          </cell>
          <cell r="J16">
            <v>3535</v>
          </cell>
          <cell r="K16">
            <v>228192</v>
          </cell>
          <cell r="L16">
            <v>44070</v>
          </cell>
        </row>
        <row r="17">
          <cell r="C17">
            <v>3</v>
          </cell>
          <cell r="D17" t="str">
            <v>PHẦN TRẠM BIẾN ÁP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TNMBA</v>
          </cell>
          <cell r="C18" t="str">
            <v>EA.22230</v>
          </cell>
          <cell r="D18" t="str">
            <v>Máy biến áp AMORPHOUS 12,7/0,22-0,44kV 37,5kVA</v>
          </cell>
          <cell r="E18" t="str">
            <v>Máy</v>
          </cell>
          <cell r="F18">
            <v>0</v>
          </cell>
          <cell r="G18">
            <v>29735</v>
          </cell>
          <cell r="H18">
            <v>1027972</v>
          </cell>
          <cell r="I18">
            <v>201397</v>
          </cell>
          <cell r="J18">
            <v>0</v>
          </cell>
          <cell r="K18">
            <v>0</v>
          </cell>
          <cell r="L18">
            <v>0</v>
          </cell>
        </row>
        <row r="19">
          <cell r="B19" t="str">
            <v>TNMBA</v>
          </cell>
          <cell r="C19" t="str">
            <v>EA.22230</v>
          </cell>
          <cell r="D19" t="str">
            <v>Máy biến áp AMORPHOUS 12,7/0,22-0,44kV 50kVA</v>
          </cell>
          <cell r="E19" t="str">
            <v>Máy</v>
          </cell>
          <cell r="F19">
            <v>19</v>
          </cell>
          <cell r="G19">
            <v>29735</v>
          </cell>
          <cell r="H19">
            <v>1027972</v>
          </cell>
          <cell r="I19">
            <v>201397</v>
          </cell>
          <cell r="J19">
            <v>564965</v>
          </cell>
          <cell r="K19">
            <v>19531468</v>
          </cell>
          <cell r="L19">
            <v>3826543</v>
          </cell>
        </row>
        <row r="20">
          <cell r="B20" t="str">
            <v>TNMBA</v>
          </cell>
          <cell r="C20" t="str">
            <v>EA.22230</v>
          </cell>
          <cell r="D20" t="str">
            <v>Máy biến áp AMORPHOUS 12,7/0,22-0,44kV 75kVA</v>
          </cell>
          <cell r="E20" t="str">
            <v>Máy</v>
          </cell>
          <cell r="F20">
            <v>8</v>
          </cell>
          <cell r="G20">
            <v>29735</v>
          </cell>
          <cell r="H20">
            <v>1027972</v>
          </cell>
          <cell r="I20">
            <v>201397</v>
          </cell>
          <cell r="J20">
            <v>237880</v>
          </cell>
          <cell r="K20">
            <v>8223776</v>
          </cell>
          <cell r="L20">
            <v>1611176</v>
          </cell>
        </row>
        <row r="21">
          <cell r="B21" t="str">
            <v>TNMBA</v>
          </cell>
          <cell r="C21" t="str">
            <v>EA.22230</v>
          </cell>
          <cell r="D21" t="str">
            <v>Máy biến áp AMORPHOUS 12,7/0,22-0,44kV 100kVA</v>
          </cell>
          <cell r="E21" t="str">
            <v>Máy</v>
          </cell>
          <cell r="F21">
            <v>2</v>
          </cell>
          <cell r="G21">
            <v>29735</v>
          </cell>
          <cell r="H21">
            <v>1027972</v>
          </cell>
          <cell r="I21">
            <v>201397</v>
          </cell>
          <cell r="J21">
            <v>59470</v>
          </cell>
          <cell r="K21">
            <v>2055944</v>
          </cell>
          <cell r="L21">
            <v>402794</v>
          </cell>
        </row>
        <row r="22">
          <cell r="B22" t="str">
            <v>TNCB300</v>
          </cell>
          <cell r="C22" t="str">
            <v>EB.72010</v>
          </cell>
          <cell r="D22" t="str">
            <v>MCCB 3 cực 400V - 200A - 35KA (125-200A)</v>
          </cell>
          <cell r="E22" t="str">
            <v>cái</v>
          </cell>
          <cell r="F22">
            <v>0</v>
          </cell>
          <cell r="G22">
            <v>3535</v>
          </cell>
          <cell r="H22">
            <v>228192</v>
          </cell>
          <cell r="I22">
            <v>44070</v>
          </cell>
          <cell r="J22">
            <v>0</v>
          </cell>
          <cell r="K22">
            <v>0</v>
          </cell>
          <cell r="L22">
            <v>0</v>
          </cell>
        </row>
        <row r="23">
          <cell r="B23" t="str">
            <v>TNCB300</v>
          </cell>
          <cell r="C23" t="str">
            <v>EB.72010</v>
          </cell>
          <cell r="D23" t="str">
            <v>MCCB 3 cực 600V - 250A - 42KA (160-250A)</v>
          </cell>
          <cell r="E23" t="str">
            <v>cái</v>
          </cell>
          <cell r="F23">
            <v>13</v>
          </cell>
          <cell r="G23">
            <v>3535</v>
          </cell>
          <cell r="H23">
            <v>228192</v>
          </cell>
          <cell r="I23">
            <v>44070</v>
          </cell>
          <cell r="J23">
            <v>45955</v>
          </cell>
          <cell r="K23">
            <v>2966496</v>
          </cell>
          <cell r="L23">
            <v>572910</v>
          </cell>
        </row>
        <row r="24">
          <cell r="B24" t="str">
            <v>TNCB500</v>
          </cell>
          <cell r="C24" t="str">
            <v>EB.71040</v>
          </cell>
          <cell r="D24" t="str">
            <v>MCCB 3 cực 600V - 320A - 42KA (200-320A)</v>
          </cell>
          <cell r="E24" t="str">
            <v>cái</v>
          </cell>
          <cell r="F24">
            <v>0</v>
          </cell>
          <cell r="G24">
            <v>5034</v>
          </cell>
          <cell r="H24">
            <v>257287</v>
          </cell>
          <cell r="I24">
            <v>62790</v>
          </cell>
          <cell r="J24">
            <v>0</v>
          </cell>
          <cell r="K24">
            <v>0</v>
          </cell>
          <cell r="L24">
            <v>0</v>
          </cell>
        </row>
        <row r="25">
          <cell r="B25" t="str">
            <v>TNFCO</v>
          </cell>
          <cell r="C25" t="str">
            <v>EB.22040</v>
          </cell>
          <cell r="D25" t="str">
            <v>FCO 27kV - 100A</v>
          </cell>
          <cell r="E25" t="str">
            <v>cái</v>
          </cell>
          <cell r="F25">
            <v>33</v>
          </cell>
          <cell r="G25">
            <v>520</v>
          </cell>
          <cell r="H25">
            <v>45165</v>
          </cell>
          <cell r="I25">
            <v>1847</v>
          </cell>
          <cell r="J25">
            <v>17160</v>
          </cell>
          <cell r="K25">
            <v>1490445</v>
          </cell>
          <cell r="L25">
            <v>60951</v>
          </cell>
        </row>
        <row r="26">
          <cell r="B26" t="str">
            <v>TNLA</v>
          </cell>
          <cell r="C26" t="str">
            <v>EC.11040</v>
          </cell>
          <cell r="D26" t="str">
            <v>LA 18kV 10kA</v>
          </cell>
          <cell r="E26" t="str">
            <v>cái</v>
          </cell>
          <cell r="F26">
            <v>33</v>
          </cell>
          <cell r="G26">
            <v>3215</v>
          </cell>
          <cell r="H26">
            <v>82382</v>
          </cell>
          <cell r="I26">
            <v>24683</v>
          </cell>
          <cell r="J26">
            <v>106095</v>
          </cell>
          <cell r="K26">
            <v>2718606</v>
          </cell>
          <cell r="L26">
            <v>814539</v>
          </cell>
        </row>
        <row r="35">
          <cell r="V35" t="str">
            <v>Thí nghiệm dao cách ly</v>
          </cell>
        </row>
        <row r="36">
          <cell r="V36" t="str">
            <v>Tên</v>
          </cell>
          <cell r="W36" t="str">
            <v>ĐVT</v>
          </cell>
          <cell r="X36" t="str">
            <v>KL</v>
          </cell>
          <cell r="Y36" t="str">
            <v>ĐG</v>
          </cell>
          <cell r="AA36" t="str">
            <v>Tên máy</v>
          </cell>
          <cell r="AB36" t="str">
            <v>ĐVT</v>
          </cell>
          <cell r="AC36" t="str">
            <v>KL</v>
          </cell>
          <cell r="AD36" t="str">
            <v>Giá ca máy</v>
          </cell>
        </row>
        <row r="37">
          <cell r="V37" t="str">
            <v>Điện</v>
          </cell>
          <cell r="W37" t="str">
            <v>kWh</v>
          </cell>
          <cell r="X37">
            <v>0.76800000000000002</v>
          </cell>
          <cell r="Y37">
            <v>1622</v>
          </cell>
          <cell r="Z37">
            <v>1246</v>
          </cell>
          <cell r="AA37" t="str">
            <v>Máy đo điện trở tiếp xúc</v>
          </cell>
          <cell r="AB37" t="str">
            <v>ca</v>
          </cell>
          <cell r="AC37">
            <v>4.1000000000000002E-2</v>
          </cell>
          <cell r="AD37">
            <v>93580</v>
          </cell>
          <cell r="AE37">
            <v>3837</v>
          </cell>
        </row>
        <row r="38">
          <cell r="V38" t="str">
            <v>Dây CV2x1,5</v>
          </cell>
          <cell r="W38" t="str">
            <v>mét</v>
          </cell>
          <cell r="X38">
            <v>0.51200000000000001</v>
          </cell>
          <cell r="Y38">
            <v>16130</v>
          </cell>
          <cell r="Z38">
            <v>8259</v>
          </cell>
          <cell r="AA38" t="str">
            <v>Mê gôm mét</v>
          </cell>
          <cell r="AB38" t="str">
            <v>ca</v>
          </cell>
          <cell r="AC38">
            <v>7.2999999999999995E-2</v>
          </cell>
          <cell r="AD38">
            <v>45000</v>
          </cell>
          <cell r="AE38">
            <v>3285</v>
          </cell>
        </row>
        <row r="39">
          <cell r="V39" t="str">
            <v>Giẻ lau</v>
          </cell>
          <cell r="W39" t="str">
            <v>kg</v>
          </cell>
          <cell r="X39">
            <v>0.10199999999999999</v>
          </cell>
          <cell r="Y39">
            <v>2500</v>
          </cell>
          <cell r="Z39">
            <v>255</v>
          </cell>
          <cell r="AA39" t="str">
            <v>Hợp bộ thí nghiệm cao áp</v>
          </cell>
          <cell r="AB39" t="str">
            <v>ca</v>
          </cell>
          <cell r="AC39">
            <v>9.1999999999999998E-2</v>
          </cell>
          <cell r="AD39">
            <v>424590</v>
          </cell>
          <cell r="AE39">
            <v>39062</v>
          </cell>
        </row>
        <row r="40">
          <cell r="V40" t="str">
            <v>Cồn công nghiệp</v>
          </cell>
          <cell r="W40" t="str">
            <v>kg</v>
          </cell>
          <cell r="X40">
            <v>0.10199999999999999</v>
          </cell>
          <cell r="Y40">
            <v>6600</v>
          </cell>
          <cell r="Z40">
            <v>673</v>
          </cell>
          <cell r="AA40" t="str">
            <v>Xe thang nâng</v>
          </cell>
          <cell r="AB40" t="str">
            <v>ca</v>
          </cell>
          <cell r="AC40">
            <v>0</v>
          </cell>
          <cell r="AE40">
            <v>0</v>
          </cell>
        </row>
        <row r="41">
          <cell r="V41" t="str">
            <v>Giấy nhám số 0</v>
          </cell>
          <cell r="W41" t="str">
            <v>tờ</v>
          </cell>
          <cell r="X41">
            <v>0.51200000000000001</v>
          </cell>
          <cell r="Y41">
            <v>5000</v>
          </cell>
          <cell r="Z41">
            <v>2560</v>
          </cell>
        </row>
        <row r="42">
          <cell r="U42" t="str">
            <v>TNFCO</v>
          </cell>
          <cell r="Z42">
            <v>12993</v>
          </cell>
          <cell r="AE42">
            <v>46184</v>
          </cell>
        </row>
        <row r="44">
          <cell r="V44" t="str">
            <v>Thí nghiệm MCCB &lt;300A</v>
          </cell>
        </row>
        <row r="45">
          <cell r="V45" t="str">
            <v>Điện</v>
          </cell>
          <cell r="W45" t="str">
            <v>kWh</v>
          </cell>
          <cell r="X45">
            <v>1.075</v>
          </cell>
          <cell r="Y45">
            <v>1622</v>
          </cell>
          <cell r="Z45">
            <v>1744</v>
          </cell>
          <cell r="AA45" t="str">
            <v>Thiết bị tạo dòng</v>
          </cell>
          <cell r="AB45" t="str">
            <v>ca</v>
          </cell>
          <cell r="AC45">
            <v>8.7599999999999997E-2</v>
          </cell>
          <cell r="AD45">
            <v>418068</v>
          </cell>
          <cell r="AE45">
            <v>36623</v>
          </cell>
        </row>
        <row r="46">
          <cell r="V46" t="str">
            <v>Dây CV2x1,5</v>
          </cell>
          <cell r="W46" t="str">
            <v>mét</v>
          </cell>
          <cell r="X46">
            <v>7.1999999999999995E-2</v>
          </cell>
          <cell r="Y46">
            <v>16130</v>
          </cell>
          <cell r="Z46">
            <v>1161</v>
          </cell>
          <cell r="AA46" t="str">
            <v>Mê gôm mét</v>
          </cell>
          <cell r="AB46" t="str">
            <v>ca</v>
          </cell>
          <cell r="AC46">
            <v>4.3200000000000002E-2</v>
          </cell>
          <cell r="AD46">
            <v>45000</v>
          </cell>
          <cell r="AE46">
            <v>1944</v>
          </cell>
        </row>
        <row r="47">
          <cell r="V47" t="str">
            <v>Giẻ lau</v>
          </cell>
          <cell r="W47" t="str">
            <v>kg</v>
          </cell>
          <cell r="X47">
            <v>3.5999999999999997E-2</v>
          </cell>
          <cell r="Y47">
            <v>2500</v>
          </cell>
          <cell r="Z47">
            <v>90</v>
          </cell>
          <cell r="AA47" t="str">
            <v>Máy đo điện trở tiếp xúc</v>
          </cell>
          <cell r="AB47" t="str">
            <v>ca</v>
          </cell>
          <cell r="AC47">
            <v>5.8799999999999998E-2</v>
          </cell>
          <cell r="AD47">
            <v>93580</v>
          </cell>
          <cell r="AE47">
            <v>5503</v>
          </cell>
        </row>
        <row r="48">
          <cell r="V48" t="str">
            <v>Giấy nhám số 0</v>
          </cell>
          <cell r="W48" t="str">
            <v>tờ</v>
          </cell>
          <cell r="X48">
            <v>0.108</v>
          </cell>
          <cell r="Y48">
            <v>5000</v>
          </cell>
          <cell r="Z48">
            <v>540</v>
          </cell>
        </row>
        <row r="49">
          <cell r="U49" t="str">
            <v>TNCB300</v>
          </cell>
          <cell r="Z49">
            <v>3535</v>
          </cell>
          <cell r="AE49">
            <v>44070</v>
          </cell>
        </row>
        <row r="51">
          <cell r="V51" t="str">
            <v>Thí nghiệm LA</v>
          </cell>
        </row>
        <row r="52">
          <cell r="V52" t="str">
            <v>Điện</v>
          </cell>
          <cell r="W52" t="str">
            <v>kWh</v>
          </cell>
          <cell r="X52">
            <v>0.32400000000000001</v>
          </cell>
          <cell r="Y52">
            <v>1622</v>
          </cell>
          <cell r="Z52">
            <v>526</v>
          </cell>
          <cell r="AA52" t="str">
            <v>Mê gôm mét</v>
          </cell>
          <cell r="AB52" t="str">
            <v>ca</v>
          </cell>
          <cell r="AC52">
            <v>3.9E-2</v>
          </cell>
          <cell r="AD52">
            <v>45000</v>
          </cell>
          <cell r="AE52">
            <v>1755</v>
          </cell>
        </row>
        <row r="53">
          <cell r="V53" t="str">
            <v>Cồn công nghiệp</v>
          </cell>
          <cell r="W53" t="str">
            <v>kg</v>
          </cell>
          <cell r="X53">
            <v>6.5000000000000002E-2</v>
          </cell>
          <cell r="Y53">
            <v>6600</v>
          </cell>
          <cell r="Z53">
            <v>429</v>
          </cell>
          <cell r="AA53" t="str">
            <v>Hợp bộ thí nghiệm cao áp</v>
          </cell>
          <cell r="AB53" t="str">
            <v>ca</v>
          </cell>
          <cell r="AC53">
            <v>5.3999999999999999E-2</v>
          </cell>
          <cell r="AD53">
            <v>424590</v>
          </cell>
          <cell r="AE53">
            <v>22928</v>
          </cell>
        </row>
        <row r="54">
          <cell r="V54" t="str">
            <v>Dây CV2x1,5</v>
          </cell>
          <cell r="W54" t="str">
            <v>mét</v>
          </cell>
          <cell r="X54">
            <v>0.13</v>
          </cell>
          <cell r="Y54">
            <v>16130</v>
          </cell>
          <cell r="Z54">
            <v>2097</v>
          </cell>
          <cell r="AA54" t="str">
            <v>Xe thang nâng</v>
          </cell>
          <cell r="AB54" t="str">
            <v>ca</v>
          </cell>
          <cell r="AE54">
            <v>0</v>
          </cell>
        </row>
        <row r="55">
          <cell r="V55" t="str">
            <v>Giẻ lau</v>
          </cell>
          <cell r="W55" t="str">
            <v>kg</v>
          </cell>
          <cell r="X55">
            <v>6.5000000000000002E-2</v>
          </cell>
          <cell r="Y55">
            <v>2500</v>
          </cell>
          <cell r="Z55">
            <v>163</v>
          </cell>
        </row>
        <row r="56">
          <cell r="U56" t="str">
            <v>TNLA</v>
          </cell>
          <cell r="Z56">
            <v>3215</v>
          </cell>
          <cell r="AE56">
            <v>24683</v>
          </cell>
        </row>
        <row r="58">
          <cell r="V58" t="str">
            <v>Thí nghiệm MCCB 300-&lt;500A</v>
          </cell>
        </row>
        <row r="59">
          <cell r="V59" t="str">
            <v>Điện</v>
          </cell>
          <cell r="W59" t="str">
            <v>kWh</v>
          </cell>
          <cell r="X59">
            <v>1.536</v>
          </cell>
          <cell r="Y59">
            <v>1622</v>
          </cell>
          <cell r="Z59">
            <v>2491</v>
          </cell>
          <cell r="AA59" t="str">
            <v>Thiết bị tạo dòng</v>
          </cell>
          <cell r="AB59" t="str">
            <v>ca</v>
          </cell>
          <cell r="AC59">
            <v>0.12479999999999999</v>
          </cell>
          <cell r="AD59">
            <v>418068</v>
          </cell>
          <cell r="AE59">
            <v>52175</v>
          </cell>
        </row>
        <row r="60">
          <cell r="V60" t="str">
            <v>Dây CV2x1,5</v>
          </cell>
          <cell r="W60" t="str">
            <v>mét</v>
          </cell>
          <cell r="X60">
            <v>0.10199999999999999</v>
          </cell>
          <cell r="Y60">
            <v>16130</v>
          </cell>
          <cell r="Z60">
            <v>1645</v>
          </cell>
          <cell r="AA60" t="str">
            <v>Mê gôm mét</v>
          </cell>
          <cell r="AB60" t="str">
            <v>ca</v>
          </cell>
          <cell r="AC60">
            <v>6.1199999999999997E-2</v>
          </cell>
          <cell r="AD60">
            <v>45000</v>
          </cell>
          <cell r="AE60">
            <v>2754</v>
          </cell>
        </row>
        <row r="61">
          <cell r="V61" t="str">
            <v>Giẻ lau</v>
          </cell>
          <cell r="W61" t="str">
            <v>kg</v>
          </cell>
          <cell r="X61">
            <v>5.0999999999999997E-2</v>
          </cell>
          <cell r="Y61">
            <v>2500</v>
          </cell>
          <cell r="Z61">
            <v>128</v>
          </cell>
          <cell r="AA61" t="str">
            <v>Máy đo điện trở tiếp xúc</v>
          </cell>
          <cell r="AB61" t="str">
            <v>ca</v>
          </cell>
          <cell r="AC61">
            <v>8.4000000000000005E-2</v>
          </cell>
          <cell r="AD61">
            <v>93580</v>
          </cell>
          <cell r="AE61">
            <v>7861</v>
          </cell>
        </row>
        <row r="62">
          <cell r="V62" t="str">
            <v>Giấy nhám số 0</v>
          </cell>
          <cell r="W62" t="str">
            <v>tờ</v>
          </cell>
          <cell r="X62">
            <v>0.154</v>
          </cell>
          <cell r="Y62">
            <v>5000</v>
          </cell>
          <cell r="Z62">
            <v>770</v>
          </cell>
        </row>
        <row r="63">
          <cell r="U63" t="str">
            <v>TNCB500</v>
          </cell>
          <cell r="Z63">
            <v>5034</v>
          </cell>
          <cell r="AE63">
            <v>62790</v>
          </cell>
        </row>
        <row r="65">
          <cell r="V65" t="str">
            <v>Thí nghiệm tiếp địa trạm</v>
          </cell>
        </row>
        <row r="66">
          <cell r="U66" t="str">
            <v>TNTDTR</v>
          </cell>
          <cell r="V66" t="str">
            <v>Dây CV2x1,5</v>
          </cell>
          <cell r="W66" t="str">
            <v>mét</v>
          </cell>
          <cell r="X66">
            <v>1.6</v>
          </cell>
          <cell r="Y66">
            <v>16130</v>
          </cell>
          <cell r="Z66">
            <v>25808</v>
          </cell>
          <cell r="AA66" t="str">
            <v>Máy đo điện trở tiếp địa</v>
          </cell>
          <cell r="AB66" t="str">
            <v>ca</v>
          </cell>
          <cell r="AC66">
            <v>0.52</v>
          </cell>
          <cell r="AD66">
            <v>54511</v>
          </cell>
          <cell r="AE66">
            <v>28346</v>
          </cell>
        </row>
        <row r="68">
          <cell r="V68" t="str">
            <v>Thí nghiệm tiếp địa lặp lại, LA</v>
          </cell>
        </row>
        <row r="69">
          <cell r="U69" t="str">
            <v>TNTDLA</v>
          </cell>
          <cell r="V69" t="str">
            <v>Dây CV2x1,5</v>
          </cell>
          <cell r="W69" t="str">
            <v>mét</v>
          </cell>
          <cell r="X69">
            <v>0.14699999999999999</v>
          </cell>
          <cell r="Y69">
            <v>16130</v>
          </cell>
          <cell r="Z69">
            <v>2371</v>
          </cell>
          <cell r="AA69" t="str">
            <v>Máy đo điện trở tiếp địa</v>
          </cell>
          <cell r="AB69" t="str">
            <v>ca</v>
          </cell>
          <cell r="AC69">
            <v>7.3999999999999996E-2</v>
          </cell>
          <cell r="AD69">
            <v>54511</v>
          </cell>
          <cell r="AE69">
            <v>4034</v>
          </cell>
        </row>
        <row r="71">
          <cell r="V71" t="str">
            <v>Thí nghiệm cách điện đứng</v>
          </cell>
        </row>
        <row r="72">
          <cell r="V72" t="str">
            <v>Điện</v>
          </cell>
          <cell r="W72" t="str">
            <v>kWh</v>
          </cell>
          <cell r="X72">
            <v>0.15</v>
          </cell>
          <cell r="Y72">
            <v>1622</v>
          </cell>
          <cell r="Z72">
            <v>243</v>
          </cell>
          <cell r="AA72" t="str">
            <v>Mê gôm mét</v>
          </cell>
          <cell r="AB72" t="str">
            <v>ca</v>
          </cell>
          <cell r="AC72">
            <v>0.02</v>
          </cell>
          <cell r="AD72">
            <v>45000</v>
          </cell>
          <cell r="AE72">
            <v>900</v>
          </cell>
        </row>
        <row r="73">
          <cell r="V73" t="str">
            <v>Cồn công nghiệp</v>
          </cell>
          <cell r="W73" t="str">
            <v>kg</v>
          </cell>
          <cell r="X73">
            <v>2.5000000000000001E-2</v>
          </cell>
          <cell r="Y73">
            <v>6600</v>
          </cell>
          <cell r="Z73">
            <v>165</v>
          </cell>
          <cell r="AA73" t="str">
            <v>Hợp bộ thí nghiệm cao áp</v>
          </cell>
          <cell r="AB73" t="str">
            <v>ca</v>
          </cell>
          <cell r="AC73">
            <v>7.0000000000000001E-3</v>
          </cell>
          <cell r="AD73">
            <v>424590</v>
          </cell>
          <cell r="AE73">
            <v>2972</v>
          </cell>
        </row>
        <row r="74">
          <cell r="V74" t="str">
            <v>Dây CV2x1,5</v>
          </cell>
          <cell r="W74" t="str">
            <v>mét</v>
          </cell>
          <cell r="X74">
            <v>0.05</v>
          </cell>
          <cell r="Y74">
            <v>16130</v>
          </cell>
          <cell r="Z74">
            <v>807</v>
          </cell>
          <cell r="AA74" t="str">
            <v>Xe thang nâng</v>
          </cell>
          <cell r="AB74" t="str">
            <v>ca</v>
          </cell>
          <cell r="AE74">
            <v>0</v>
          </cell>
        </row>
        <row r="75">
          <cell r="V75" t="str">
            <v>Giẻ lau</v>
          </cell>
          <cell r="W75" t="str">
            <v>kg</v>
          </cell>
          <cell r="X75">
            <v>2.5000000000000001E-2</v>
          </cell>
          <cell r="Y75">
            <v>2500</v>
          </cell>
          <cell r="Z75">
            <v>63</v>
          </cell>
        </row>
        <row r="76">
          <cell r="U76" t="str">
            <v>TNSD</v>
          </cell>
          <cell r="Z76">
            <v>1278</v>
          </cell>
          <cell r="AE76">
            <v>3872</v>
          </cell>
        </row>
        <row r="78">
          <cell r="V78" t="str">
            <v>Thí nghiệm cách điện treo</v>
          </cell>
        </row>
        <row r="79">
          <cell r="V79" t="str">
            <v>Điện</v>
          </cell>
          <cell r="W79" t="str">
            <v>kWh</v>
          </cell>
          <cell r="X79">
            <v>5.2999999999999999E-2</v>
          </cell>
          <cell r="Y79">
            <v>1622</v>
          </cell>
          <cell r="Z79">
            <v>86</v>
          </cell>
          <cell r="AA79" t="str">
            <v>Mê gôm mét</v>
          </cell>
          <cell r="AB79" t="str">
            <v>ca</v>
          </cell>
          <cell r="AC79">
            <v>7.0000000000000001E-3</v>
          </cell>
          <cell r="AD79">
            <v>45000</v>
          </cell>
          <cell r="AE79">
            <v>315</v>
          </cell>
        </row>
        <row r="80">
          <cell r="V80" t="str">
            <v>Cồn công nghiệp</v>
          </cell>
          <cell r="W80" t="str">
            <v>kg</v>
          </cell>
          <cell r="X80">
            <v>8.9999999999999993E-3</v>
          </cell>
          <cell r="Y80">
            <v>6600</v>
          </cell>
          <cell r="Z80">
            <v>59</v>
          </cell>
          <cell r="AA80" t="str">
            <v>Hợp bộ thí nghiệm cao áp</v>
          </cell>
          <cell r="AB80" t="str">
            <v>ca</v>
          </cell>
          <cell r="AC80">
            <v>4.0000000000000001E-3</v>
          </cell>
          <cell r="AD80">
            <v>424590</v>
          </cell>
          <cell r="AE80">
            <v>1698</v>
          </cell>
        </row>
        <row r="81">
          <cell r="V81" t="str">
            <v>Dây CV2x1,5</v>
          </cell>
          <cell r="W81" t="str">
            <v>mét</v>
          </cell>
          <cell r="X81">
            <v>1.7999999999999999E-2</v>
          </cell>
          <cell r="Y81">
            <v>16130</v>
          </cell>
          <cell r="Z81">
            <v>290</v>
          </cell>
          <cell r="AA81" t="str">
            <v>Xe thang nâng</v>
          </cell>
          <cell r="AB81" t="str">
            <v>ca</v>
          </cell>
          <cell r="AE81">
            <v>0</v>
          </cell>
        </row>
        <row r="82">
          <cell r="V82" t="str">
            <v>Giẻ lau</v>
          </cell>
          <cell r="W82" t="str">
            <v>kg</v>
          </cell>
          <cell r="X82">
            <v>8.9999999999999993E-3</v>
          </cell>
          <cell r="Y82">
            <v>2500</v>
          </cell>
          <cell r="Z82">
            <v>23</v>
          </cell>
        </row>
        <row r="83">
          <cell r="U83" t="str">
            <v>TNST</v>
          </cell>
          <cell r="Z83">
            <v>458</v>
          </cell>
          <cell r="AE83">
            <v>2013</v>
          </cell>
        </row>
        <row r="85">
          <cell r="V85" t="str">
            <v>THÍ NGHIỆM MÁY BIẾN ÁP 1 PHA &lt;=100KVA</v>
          </cell>
        </row>
        <row r="86">
          <cell r="V86" t="str">
            <v>Tên</v>
          </cell>
          <cell r="W86" t="str">
            <v>ĐVT</v>
          </cell>
          <cell r="X86" t="str">
            <v>KL</v>
          </cell>
          <cell r="Y86" t="str">
            <v>ĐG</v>
          </cell>
          <cell r="AA86" t="str">
            <v>Tên máy</v>
          </cell>
          <cell r="AB86" t="str">
            <v>ĐVT</v>
          </cell>
          <cell r="AC86" t="str">
            <v>KL</v>
          </cell>
          <cell r="AD86" t="str">
            <v>Giá ca máy</v>
          </cell>
        </row>
        <row r="87">
          <cell r="V87" t="str">
            <v>Điện</v>
          </cell>
          <cell r="W87" t="str">
            <v>kWh</v>
          </cell>
          <cell r="X87">
            <v>0.97699999999999998</v>
          </cell>
          <cell r="Y87">
            <v>1622</v>
          </cell>
          <cell r="Z87">
            <v>1585</v>
          </cell>
          <cell r="AA87" t="str">
            <v>Mê gôm mét</v>
          </cell>
          <cell r="AB87" t="str">
            <v>ca</v>
          </cell>
          <cell r="AC87">
            <v>0.11700000000000001</v>
          </cell>
          <cell r="AD87">
            <v>45000</v>
          </cell>
          <cell r="AE87">
            <v>5265</v>
          </cell>
        </row>
        <row r="88">
          <cell r="V88" t="str">
            <v>Vải phin trắng 0,8m</v>
          </cell>
          <cell r="W88" t="str">
            <v>mét</v>
          </cell>
          <cell r="X88">
            <v>0.217</v>
          </cell>
          <cell r="Y88">
            <v>8000</v>
          </cell>
          <cell r="Z88">
            <v>1736</v>
          </cell>
          <cell r="AA88" t="str">
            <v>Hợp bộ thí nghiệm cao áp</v>
          </cell>
          <cell r="AB88" t="str">
            <v>ca</v>
          </cell>
          <cell r="AC88">
            <v>0.109</v>
          </cell>
          <cell r="AD88">
            <v>424590</v>
          </cell>
          <cell r="AE88">
            <v>46280.31</v>
          </cell>
        </row>
        <row r="89">
          <cell r="V89" t="str">
            <v>Giẻ lau</v>
          </cell>
          <cell r="W89" t="str">
            <v>kg</v>
          </cell>
          <cell r="X89">
            <v>0.217</v>
          </cell>
          <cell r="Y89">
            <v>2500</v>
          </cell>
          <cell r="Z89">
            <v>543</v>
          </cell>
          <cell r="AA89" t="str">
            <v>Hợp bộ đo lường</v>
          </cell>
          <cell r="AB89" t="str">
            <v>ca</v>
          </cell>
          <cell r="AC89">
            <v>0.14599999999999999</v>
          </cell>
          <cell r="AD89">
            <v>791538</v>
          </cell>
          <cell r="AE89">
            <v>115564.548</v>
          </cell>
        </row>
        <row r="90">
          <cell r="V90" t="str">
            <v>Băng cách điện</v>
          </cell>
          <cell r="W90" t="str">
            <v>cuộn</v>
          </cell>
          <cell r="X90">
            <v>0.434</v>
          </cell>
          <cell r="Y90">
            <v>8000</v>
          </cell>
          <cell r="Z90">
            <v>3472</v>
          </cell>
          <cell r="AA90" t="str">
            <v>Máy đo điện trở một chiều</v>
          </cell>
          <cell r="AB90" t="str">
            <v>ca</v>
          </cell>
          <cell r="AC90">
            <v>0.11700000000000001</v>
          </cell>
          <cell r="AD90">
            <v>160261</v>
          </cell>
          <cell r="AE90">
            <v>18750.537</v>
          </cell>
        </row>
        <row r="91">
          <cell r="V91" t="str">
            <v>Cồn công nghiệp</v>
          </cell>
          <cell r="W91" t="str">
            <v>kg</v>
          </cell>
          <cell r="X91">
            <v>0.217</v>
          </cell>
          <cell r="Y91">
            <v>6600</v>
          </cell>
          <cell r="Z91">
            <v>1432</v>
          </cell>
          <cell r="AA91" t="str">
            <v>Máy đo tỉ số biến</v>
          </cell>
          <cell r="AB91" t="str">
            <v>ca</v>
          </cell>
          <cell r="AC91">
            <v>0.23699999999999999</v>
          </cell>
          <cell r="AD91">
            <v>65557</v>
          </cell>
          <cell r="AE91">
            <v>15537.009</v>
          </cell>
        </row>
        <row r="92">
          <cell r="V92" t="str">
            <v>Giấy nhám số 0</v>
          </cell>
          <cell r="W92" t="str">
            <v>tờ</v>
          </cell>
          <cell r="X92">
            <v>0.217</v>
          </cell>
          <cell r="Y92">
            <v>5000</v>
          </cell>
          <cell r="Z92">
            <v>1085</v>
          </cell>
        </row>
        <row r="93">
          <cell r="V93" t="str">
            <v>Dây CV2x2,5</v>
          </cell>
          <cell r="W93" t="str">
            <v>mét</v>
          </cell>
          <cell r="X93">
            <v>0.86799999999999999</v>
          </cell>
          <cell r="Y93">
            <v>16130</v>
          </cell>
          <cell r="Z93">
            <v>14001</v>
          </cell>
        </row>
        <row r="94">
          <cell r="V94" t="str">
            <v>Dây CV4x2,5</v>
          </cell>
          <cell r="W94" t="str">
            <v>mét</v>
          </cell>
          <cell r="X94">
            <v>0.217</v>
          </cell>
          <cell r="Y94">
            <v>27100</v>
          </cell>
          <cell r="Z94">
            <v>5881</v>
          </cell>
        </row>
        <row r="95">
          <cell r="U95" t="str">
            <v>TNMBA</v>
          </cell>
          <cell r="Z95">
            <v>29735</v>
          </cell>
          <cell r="AE95">
            <v>201397.40400000001</v>
          </cell>
        </row>
      </sheetData>
      <sheetData sheetId="14">
        <row r="7">
          <cell r="B7" t="str">
            <v>T1</v>
          </cell>
          <cell r="C7" t="str">
            <v>I</v>
          </cell>
          <cell r="D7" t="str">
            <v>Đường dây trung thế</v>
          </cell>
          <cell r="M7">
            <v>984827</v>
          </cell>
          <cell r="N7">
            <v>198606</v>
          </cell>
        </row>
        <row r="8">
          <cell r="C8">
            <v>0</v>
          </cell>
          <cell r="D8" t="str">
            <v>04.02.102</v>
          </cell>
          <cell r="E8" t="str">
            <v>Nhổ (dựng) trụ BTLT 7,5m</v>
          </cell>
          <cell r="F8" t="str">
            <v>trụ</v>
          </cell>
          <cell r="I8">
            <v>328984</v>
          </cell>
          <cell r="J8">
            <v>402091</v>
          </cell>
          <cell r="K8">
            <v>109975</v>
          </cell>
          <cell r="L8">
            <v>134414</v>
          </cell>
          <cell r="M8">
            <v>0</v>
          </cell>
          <cell r="N8">
            <v>0</v>
          </cell>
        </row>
        <row r="9">
          <cell r="C9">
            <v>0</v>
          </cell>
          <cell r="D9" t="str">
            <v>04.02.202</v>
          </cell>
          <cell r="E9" t="str">
            <v>Nhổ (dựng) trụ BTLT 8,4m và 8,5m</v>
          </cell>
          <cell r="F9" t="str">
            <v>trụ</v>
          </cell>
          <cell r="I9">
            <v>352101</v>
          </cell>
          <cell r="J9">
            <v>430346</v>
          </cell>
          <cell r="K9">
            <v>109975</v>
          </cell>
          <cell r="L9">
            <v>134414</v>
          </cell>
          <cell r="M9">
            <v>0</v>
          </cell>
          <cell r="N9">
            <v>0</v>
          </cell>
        </row>
        <row r="10">
          <cell r="C10">
            <v>1</v>
          </cell>
          <cell r="D10" t="str">
            <v>04.02.202</v>
          </cell>
          <cell r="E10" t="str">
            <v>Nhổ (dựng) trụ BTLT 10,5m</v>
          </cell>
          <cell r="F10" t="str">
            <v>trụ</v>
          </cell>
          <cell r="G10">
            <v>1</v>
          </cell>
          <cell r="I10">
            <v>352101</v>
          </cell>
          <cell r="K10">
            <v>157108</v>
          </cell>
          <cell r="M10">
            <v>352101</v>
          </cell>
          <cell r="N10">
            <v>157108</v>
          </cell>
        </row>
        <row r="11">
          <cell r="C11">
            <v>1</v>
          </cell>
          <cell r="D11" t="str">
            <v>04.02.402</v>
          </cell>
          <cell r="E11" t="str">
            <v>Nhổ (dựng) trụ BTLT 12m</v>
          </cell>
          <cell r="F11" t="str">
            <v>trụ</v>
          </cell>
          <cell r="I11">
            <v>469469</v>
          </cell>
          <cell r="J11">
            <v>573795</v>
          </cell>
          <cell r="K11">
            <v>157108</v>
          </cell>
          <cell r="L11">
            <v>192021</v>
          </cell>
          <cell r="M11">
            <v>0</v>
          </cell>
          <cell r="N11">
            <v>0</v>
          </cell>
        </row>
        <row r="12">
          <cell r="C12">
            <v>1</v>
          </cell>
          <cell r="D12" t="str">
            <v>04.02.402</v>
          </cell>
          <cell r="E12" t="str">
            <v>Nhổ (dựng) trụ BTLT 14m</v>
          </cell>
          <cell r="F12" t="str">
            <v>trụ</v>
          </cell>
          <cell r="I12">
            <v>469469</v>
          </cell>
          <cell r="J12">
            <v>573795</v>
          </cell>
          <cell r="K12">
            <v>157108</v>
          </cell>
          <cell r="L12">
            <v>192021</v>
          </cell>
          <cell r="M12">
            <v>0</v>
          </cell>
          <cell r="N12">
            <v>0</v>
          </cell>
        </row>
        <row r="13">
          <cell r="C13">
            <v>1</v>
          </cell>
          <cell r="D13" t="str">
            <v>04.03.111</v>
          </cell>
          <cell r="E13" t="str">
            <v>Tháo (lắp) xà đơn X-1,66Đ</v>
          </cell>
          <cell r="F13" t="str">
            <v>Bộ</v>
          </cell>
          <cell r="I13">
            <v>226732</v>
          </cell>
          <cell r="J13">
            <v>277117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1</v>
          </cell>
          <cell r="D14" t="str">
            <v>04.03.121</v>
          </cell>
          <cell r="E14" t="str">
            <v>Tháo (lắp) xà kép X-1,66K</v>
          </cell>
          <cell r="F14" t="str">
            <v>Bộ</v>
          </cell>
          <cell r="I14">
            <v>306755</v>
          </cell>
          <cell r="J14">
            <v>374923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</v>
          </cell>
          <cell r="D15" t="str">
            <v>04.03.111</v>
          </cell>
          <cell r="E15" t="str">
            <v>Tháo (lắp) xà đơn X-2,0ĐL2/3</v>
          </cell>
          <cell r="F15" t="str">
            <v>Bộ</v>
          </cell>
          <cell r="I15">
            <v>226732</v>
          </cell>
          <cell r="J15">
            <v>277117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1</v>
          </cell>
          <cell r="D16" t="str">
            <v>04.03.121</v>
          </cell>
          <cell r="E16" t="str">
            <v>Tháo (lắp) xà kép X-2,0KL2/3</v>
          </cell>
          <cell r="F16" t="str">
            <v>Bộ</v>
          </cell>
          <cell r="I16">
            <v>306755</v>
          </cell>
          <cell r="J16">
            <v>374923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1</v>
          </cell>
          <cell r="D17" t="str">
            <v>04.03.111</v>
          </cell>
          <cell r="E17" t="str">
            <v>Tháo (lắp) xà đơn X-2,1Đ</v>
          </cell>
          <cell r="F17" t="str">
            <v>Bộ</v>
          </cell>
          <cell r="I17">
            <v>226732</v>
          </cell>
          <cell r="J17">
            <v>277117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1</v>
          </cell>
          <cell r="D18" t="str">
            <v>04.03.121</v>
          </cell>
          <cell r="E18" t="str">
            <v>Tháo (lắp) xà kép X-2,1K</v>
          </cell>
          <cell r="F18" t="str">
            <v>Bộ</v>
          </cell>
          <cell r="I18">
            <v>306755</v>
          </cell>
          <cell r="J18">
            <v>374923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1</v>
          </cell>
          <cell r="D19" t="str">
            <v>04.03.111</v>
          </cell>
          <cell r="E19" t="str">
            <v>Tháo (lắp) xà đơn X-22Đ</v>
          </cell>
          <cell r="F19" t="str">
            <v>Bộ</v>
          </cell>
          <cell r="I19">
            <v>226732</v>
          </cell>
          <cell r="J19">
            <v>277117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1</v>
          </cell>
          <cell r="D20" t="str">
            <v>04.03.122</v>
          </cell>
          <cell r="E20" t="str">
            <v>Tháo (lắp) xà kép X-2,2K</v>
          </cell>
          <cell r="F20" t="str">
            <v>Bộ</v>
          </cell>
          <cell r="I20">
            <v>408118</v>
          </cell>
          <cell r="J20">
            <v>498810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1</v>
          </cell>
          <cell r="D21" t="str">
            <v>03.09.311</v>
          </cell>
          <cell r="E21" t="str">
            <v xml:space="preserve">Tháo (lắp) Chân sứ đỉnh </v>
          </cell>
          <cell r="F21" t="str">
            <v>Bộ</v>
          </cell>
          <cell r="I21">
            <v>24097</v>
          </cell>
          <cell r="J21">
            <v>29452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2</v>
          </cell>
          <cell r="D22" t="str">
            <v>03.01.105</v>
          </cell>
          <cell r="E22" t="str">
            <v>Tháo (lắp) Sứ đứng</v>
          </cell>
          <cell r="F22" t="str">
            <v>Sứ</v>
          </cell>
          <cell r="G22">
            <v>2</v>
          </cell>
          <cell r="I22">
            <v>40189</v>
          </cell>
          <cell r="K22">
            <v>0</v>
          </cell>
          <cell r="L22">
            <v>0</v>
          </cell>
          <cell r="M22">
            <v>80378</v>
          </cell>
          <cell r="N22">
            <v>0</v>
          </cell>
        </row>
        <row r="23">
          <cell r="C23">
            <v>2</v>
          </cell>
          <cell r="D23" t="str">
            <v>03.02.101</v>
          </cell>
          <cell r="E23" t="str">
            <v>Tháo (lắp) sứ ống chỉ</v>
          </cell>
          <cell r="F23" t="str">
            <v>Sứ</v>
          </cell>
          <cell r="I23">
            <v>10670</v>
          </cell>
          <cell r="J23">
            <v>13041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C24">
            <v>3</v>
          </cell>
          <cell r="D24" t="str">
            <v>03.10.411</v>
          </cell>
          <cell r="E24" t="str">
            <v>Tháo (lắp) Chuỗi sừ treo Polymer</v>
          </cell>
          <cell r="F24" t="str">
            <v>Bộ</v>
          </cell>
          <cell r="G24">
            <v>2</v>
          </cell>
          <cell r="I24">
            <v>48407</v>
          </cell>
          <cell r="K24">
            <v>0</v>
          </cell>
          <cell r="L24">
            <v>0</v>
          </cell>
          <cell r="M24">
            <v>96814</v>
          </cell>
          <cell r="N24">
            <v>0</v>
          </cell>
        </row>
        <row r="25">
          <cell r="C25">
            <v>3</v>
          </cell>
          <cell r="D25" t="str">
            <v>03.07.101</v>
          </cell>
          <cell r="E25" t="str">
            <v>Tháo (lắp) Sứ treo thủy tinh (bộ 2 bát)</v>
          </cell>
          <cell r="F25" t="str">
            <v>Bộ</v>
          </cell>
          <cell r="G25">
            <v>0</v>
          </cell>
          <cell r="I25">
            <v>36465</v>
          </cell>
          <cell r="J25">
            <v>44568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C26">
            <v>4</v>
          </cell>
          <cell r="D26" t="str">
            <v>03.09.251</v>
          </cell>
          <cell r="E26" t="str">
            <v>Tháo (lắp) bộ chằng</v>
          </cell>
          <cell r="F26" t="str">
            <v>Bộ</v>
          </cell>
          <cell r="G26">
            <v>1</v>
          </cell>
          <cell r="I26">
            <v>86365</v>
          </cell>
          <cell r="K26">
            <v>0</v>
          </cell>
          <cell r="L26">
            <v>0</v>
          </cell>
          <cell r="M26">
            <v>86365</v>
          </cell>
          <cell r="N26">
            <v>0</v>
          </cell>
        </row>
        <row r="27">
          <cell r="C27">
            <v>5</v>
          </cell>
          <cell r="D27" t="str">
            <v>05.02.101</v>
          </cell>
          <cell r="E27" t="str">
            <v>Tháo hạ, căng dây AC50, AC70</v>
          </cell>
          <cell r="F27" t="str">
            <v>km</v>
          </cell>
          <cell r="G27">
            <v>0.28899999999999998</v>
          </cell>
          <cell r="H27">
            <v>0.28899999999999998</v>
          </cell>
          <cell r="I27">
            <v>1277403</v>
          </cell>
          <cell r="K27">
            <v>143592</v>
          </cell>
          <cell r="M27">
            <v>369169</v>
          </cell>
          <cell r="N27">
            <v>41498</v>
          </cell>
        </row>
        <row r="28">
          <cell r="D28" t="str">
            <v>07.10.401</v>
          </cell>
          <cell r="E28" t="str">
            <v>Tháo (lắp) MBA ≤50KVA</v>
          </cell>
          <cell r="F28" t="str">
            <v xml:space="preserve">trạm </v>
          </cell>
          <cell r="I28">
            <v>533707</v>
          </cell>
          <cell r="J28">
            <v>654547</v>
          </cell>
          <cell r="K28">
            <v>485430</v>
          </cell>
          <cell r="L28">
            <v>485430</v>
          </cell>
          <cell r="M28">
            <v>0</v>
          </cell>
          <cell r="N28">
            <v>0</v>
          </cell>
        </row>
        <row r="29">
          <cell r="D29" t="str">
            <v>07.10.402</v>
          </cell>
          <cell r="E29" t="str">
            <v>Tháo (lắp) MBA ≤100KVA</v>
          </cell>
          <cell r="F29" t="str">
            <v xml:space="preserve">trạm </v>
          </cell>
          <cell r="I29">
            <v>533707</v>
          </cell>
          <cell r="J29">
            <v>755246</v>
          </cell>
          <cell r="K29">
            <v>485430</v>
          </cell>
          <cell r="L29">
            <v>485430</v>
          </cell>
          <cell r="M29">
            <v>0</v>
          </cell>
          <cell r="N29">
            <v>0</v>
          </cell>
        </row>
        <row r="30">
          <cell r="D30" t="str">
            <v>13.01.001</v>
          </cell>
          <cell r="E30" t="str">
            <v>Tháo (lắp) thùng trạm 1 pha</v>
          </cell>
          <cell r="F30" t="str">
            <v>cái</v>
          </cell>
          <cell r="I30">
            <v>379104</v>
          </cell>
          <cell r="J30">
            <v>568656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D31" t="str">
            <v>11.04.403</v>
          </cell>
          <cell r="E31" t="str">
            <v>Tháo (lắp) dây CV70, CV95mm2</v>
          </cell>
          <cell r="F31" t="str">
            <v>mét</v>
          </cell>
          <cell r="I31">
            <v>6586</v>
          </cell>
          <cell r="J31">
            <v>9879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D32" t="str">
            <v>11.07.206</v>
          </cell>
          <cell r="E32" t="str">
            <v>Tháo (lắp) MCCB 250A</v>
          </cell>
          <cell r="F32" t="str">
            <v>cái</v>
          </cell>
          <cell r="I32">
            <v>303283</v>
          </cell>
          <cell r="J32">
            <v>454925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D33" t="str">
            <v>14.04.005</v>
          </cell>
          <cell r="E33" t="str">
            <v>Tháo (lắp) bộ FCO</v>
          </cell>
          <cell r="F33" t="str">
            <v>cái</v>
          </cell>
          <cell r="I33">
            <v>460611</v>
          </cell>
          <cell r="J33">
            <v>562969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D34" t="str">
            <v>09.05.004</v>
          </cell>
          <cell r="E34" t="str">
            <v>Tháo (lắp) bộ LA</v>
          </cell>
          <cell r="F34" t="str">
            <v>cái</v>
          </cell>
          <cell r="I34">
            <v>172729</v>
          </cell>
          <cell r="J34">
            <v>211114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B35" t="str">
            <v>T3</v>
          </cell>
          <cell r="C35" t="str">
            <v>III</v>
          </cell>
          <cell r="D35" t="str">
            <v>Đường dây hạ thế</v>
          </cell>
          <cell r="M35">
            <v>95868352</v>
          </cell>
          <cell r="N35">
            <v>4061558</v>
          </cell>
        </row>
        <row r="36">
          <cell r="C36">
            <v>1</v>
          </cell>
          <cell r="D36" t="str">
            <v>04.02.102</v>
          </cell>
          <cell r="E36" t="str">
            <v>Nhổ trụ BTLT 8,4m</v>
          </cell>
          <cell r="F36" t="str">
            <v>trụ</v>
          </cell>
          <cell r="G36">
            <v>16</v>
          </cell>
          <cell r="I36">
            <v>328984</v>
          </cell>
          <cell r="K36">
            <v>0</v>
          </cell>
          <cell r="L36">
            <v>0</v>
          </cell>
          <cell r="M36">
            <v>5263744</v>
          </cell>
          <cell r="N36">
            <v>0</v>
          </cell>
        </row>
        <row r="37">
          <cell r="C37">
            <v>1</v>
          </cell>
          <cell r="D37" t="str">
            <v>04.02.302</v>
          </cell>
          <cell r="E37" t="str">
            <v>Nhổ (dựng) trụ BTLT 10,5m</v>
          </cell>
          <cell r="F37" t="str">
            <v>trụ</v>
          </cell>
          <cell r="I37">
            <v>406873</v>
          </cell>
          <cell r="J37">
            <v>497290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D38" t="str">
            <v>05.01.201</v>
          </cell>
          <cell r="E38" t="str">
            <v>Tháo hạ (căng) dây DuAV2x7mm2</v>
          </cell>
          <cell r="F38" t="str">
            <v>km</v>
          </cell>
          <cell r="I38">
            <v>1191491</v>
          </cell>
          <cell r="J38">
            <v>1456266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D39" t="str">
            <v>05.01.401</v>
          </cell>
          <cell r="E39" t="str">
            <v>Tháo hạ (căng) dây DuCV2x7mm2</v>
          </cell>
          <cell r="F39" t="str">
            <v>km</v>
          </cell>
          <cell r="I39">
            <v>2330723</v>
          </cell>
          <cell r="J39">
            <v>2848662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D40" t="str">
            <v>11.07.102</v>
          </cell>
          <cell r="E40" t="str">
            <v>Tháo CB tép 32A trên trụ tròn</v>
          </cell>
          <cell r="F40" t="str">
            <v>cái</v>
          </cell>
          <cell r="I40">
            <v>37910</v>
          </cell>
          <cell r="J40">
            <v>56866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D41" t="str">
            <v>11.08.10</v>
          </cell>
          <cell r="E41" t="str">
            <v>Tháo (lắp) công tơ 1 pha</v>
          </cell>
          <cell r="F41" t="str">
            <v>cái</v>
          </cell>
          <cell r="I41">
            <v>52316</v>
          </cell>
          <cell r="J41">
            <v>78475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D42" t="str">
            <v>07.10.401</v>
          </cell>
          <cell r="E42" t="str">
            <v>Tháo (lắp) MBA ≤50KVA</v>
          </cell>
          <cell r="F42" t="str">
            <v xml:space="preserve">trạm </v>
          </cell>
          <cell r="I42">
            <v>533707</v>
          </cell>
          <cell r="J42">
            <v>654547</v>
          </cell>
          <cell r="K42">
            <v>485430</v>
          </cell>
          <cell r="L42">
            <v>485430</v>
          </cell>
          <cell r="M42">
            <v>0</v>
          </cell>
          <cell r="N42">
            <v>0</v>
          </cell>
        </row>
        <row r="43">
          <cell r="D43" t="str">
            <v>07.10.402</v>
          </cell>
          <cell r="E43" t="str">
            <v>Tháo (lắp) MBA ≤100KVA</v>
          </cell>
          <cell r="F43" t="str">
            <v xml:space="preserve">trạm </v>
          </cell>
          <cell r="I43">
            <v>533707</v>
          </cell>
          <cell r="J43">
            <v>755246</v>
          </cell>
          <cell r="K43">
            <v>485430</v>
          </cell>
          <cell r="L43">
            <v>485430</v>
          </cell>
          <cell r="M43">
            <v>0</v>
          </cell>
          <cell r="N43">
            <v>0</v>
          </cell>
        </row>
        <row r="44">
          <cell r="D44" t="str">
            <v>13.01.001</v>
          </cell>
          <cell r="E44" t="str">
            <v>Tháo (lắp) thùng trạm 1 pha</v>
          </cell>
          <cell r="F44" t="str">
            <v>cái</v>
          </cell>
          <cell r="I44">
            <v>379104</v>
          </cell>
          <cell r="J44">
            <v>568656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D45" t="str">
            <v>14.04.005</v>
          </cell>
          <cell r="E45" t="str">
            <v>Tháo (lắp) bộ FCO</v>
          </cell>
          <cell r="F45" t="str">
            <v>cái</v>
          </cell>
          <cell r="I45">
            <v>460611</v>
          </cell>
          <cell r="J45">
            <v>562969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D46" t="str">
            <v>09.05.004</v>
          </cell>
          <cell r="E46" t="str">
            <v>Tháo (lắp) bộ LA</v>
          </cell>
          <cell r="F46" t="str">
            <v>cái</v>
          </cell>
          <cell r="I46">
            <v>172729</v>
          </cell>
          <cell r="J46">
            <v>211114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D47" t="str">
            <v>14.02.202</v>
          </cell>
          <cell r="E47" t="str">
            <v>Tháo (lắp) tụ bù hạ thế</v>
          </cell>
          <cell r="F47" t="str">
            <v>bộ</v>
          </cell>
          <cell r="I47">
            <v>353267</v>
          </cell>
          <cell r="J47">
            <v>431770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2</v>
          </cell>
          <cell r="D48" t="str">
            <v>11.03.204</v>
          </cell>
          <cell r="E48" t="str">
            <v>Tháo (lắp hộp Domino)</v>
          </cell>
          <cell r="F48" t="str">
            <v>cái</v>
          </cell>
          <cell r="G48">
            <v>288</v>
          </cell>
          <cell r="I48">
            <v>124349</v>
          </cell>
          <cell r="K48">
            <v>0</v>
          </cell>
          <cell r="L48">
            <v>0</v>
          </cell>
          <cell r="M48">
            <v>35812512</v>
          </cell>
          <cell r="N48">
            <v>0</v>
          </cell>
        </row>
        <row r="49">
          <cell r="D49" t="str">
            <v>03.09.271</v>
          </cell>
          <cell r="E49" t="str">
            <v>Tháo (lắp) Rack 2</v>
          </cell>
          <cell r="F49" t="str">
            <v>Bộ</v>
          </cell>
          <cell r="G49">
            <v>0</v>
          </cell>
          <cell r="I49">
            <v>21111</v>
          </cell>
          <cell r="J49">
            <v>25803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2</v>
          </cell>
          <cell r="D50" t="str">
            <v>03.09.271</v>
          </cell>
          <cell r="E50" t="str">
            <v>Tháo (lắp) Rack 3</v>
          </cell>
          <cell r="F50" t="str">
            <v>Bộ</v>
          </cell>
          <cell r="G50">
            <v>0</v>
          </cell>
          <cell r="I50">
            <v>21111</v>
          </cell>
          <cell r="J50">
            <v>25803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2</v>
          </cell>
          <cell r="D51" t="str">
            <v>03.09.271</v>
          </cell>
          <cell r="E51" t="str">
            <v>Tháo (lắp) Rack 4</v>
          </cell>
          <cell r="F51" t="str">
            <v>Bộ</v>
          </cell>
          <cell r="G51">
            <v>0</v>
          </cell>
          <cell r="I51">
            <v>21111</v>
          </cell>
          <cell r="J51">
            <v>25803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D52" t="str">
            <v>03.09.261</v>
          </cell>
          <cell r="E52" t="str">
            <v>Tháo (lắp) kẹp quai</v>
          </cell>
          <cell r="F52" t="str">
            <v>cái</v>
          </cell>
          <cell r="I52">
            <v>47980</v>
          </cell>
          <cell r="J52">
            <v>58643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D53" t="str">
            <v>11.05.001</v>
          </cell>
          <cell r="E53" t="str">
            <v>Tháo (lắp) cầu chì cá</v>
          </cell>
          <cell r="F53" t="str">
            <v>cái</v>
          </cell>
          <cell r="I53">
            <v>5269</v>
          </cell>
          <cell r="J53">
            <v>7904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D54" t="str">
            <v>03.09.261</v>
          </cell>
          <cell r="E54" t="str">
            <v>Tháo (lắp) ghíp IPC</v>
          </cell>
          <cell r="F54" t="str">
            <v>cái</v>
          </cell>
          <cell r="I54">
            <v>47980</v>
          </cell>
          <cell r="J54">
            <v>58643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D55" t="str">
            <v>03.09.261</v>
          </cell>
          <cell r="E55" t="str">
            <v>Tháo (lắp) kẹp nhôm 2 rãnh</v>
          </cell>
          <cell r="F55" t="str">
            <v>cái</v>
          </cell>
          <cell r="I55">
            <v>47980</v>
          </cell>
          <cell r="J55">
            <v>58643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D56" t="str">
            <v>03.09.261</v>
          </cell>
          <cell r="E56" t="str">
            <v>Tháo (lắp) kẹp Ubolt</v>
          </cell>
          <cell r="F56" t="str">
            <v>cái</v>
          </cell>
          <cell r="I56">
            <v>47980</v>
          </cell>
          <cell r="J56">
            <v>58643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D57" t="str">
            <v>01.02.001</v>
          </cell>
          <cell r="E57" t="str">
            <v>Tháo (lắp) tiếp địa ngọn</v>
          </cell>
          <cell r="F57" t="str">
            <v>bộ</v>
          </cell>
          <cell r="I57">
            <v>88915</v>
          </cell>
          <cell r="J57">
            <v>108673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D58" t="str">
            <v>05.02.202</v>
          </cell>
          <cell r="E58" t="str">
            <v>Tháo hạ (căng) dây AV95, A95</v>
          </cell>
          <cell r="F58" t="str">
            <v>km</v>
          </cell>
          <cell r="G58">
            <v>0</v>
          </cell>
          <cell r="I58">
            <v>1647602</v>
          </cell>
          <cell r="J58">
            <v>2013735</v>
          </cell>
          <cell r="K58">
            <v>143592</v>
          </cell>
          <cell r="L58">
            <v>175501</v>
          </cell>
          <cell r="M58">
            <v>0</v>
          </cell>
          <cell r="N58">
            <v>0</v>
          </cell>
        </row>
        <row r="59">
          <cell r="C59">
            <v>3</v>
          </cell>
          <cell r="D59" t="str">
            <v>05.02.201</v>
          </cell>
          <cell r="E59" t="str">
            <v>Tháo hạ (căng) dây AV70, A70</v>
          </cell>
          <cell r="F59" t="str">
            <v>km</v>
          </cell>
          <cell r="G59">
            <v>19.737899999999996</v>
          </cell>
          <cell r="I59">
            <v>1213021</v>
          </cell>
          <cell r="K59">
            <v>143592</v>
          </cell>
          <cell r="M59">
            <v>23942487</v>
          </cell>
          <cell r="N59">
            <v>2834205</v>
          </cell>
        </row>
        <row r="60">
          <cell r="C60">
            <v>4</v>
          </cell>
          <cell r="D60" t="str">
            <v>05.02.201</v>
          </cell>
          <cell r="E60" t="str">
            <v>Tháo hạ (căng) dây AV50, A50, A35</v>
          </cell>
          <cell r="F60" t="str">
            <v>km</v>
          </cell>
          <cell r="G60">
            <v>2.6463000000000001</v>
          </cell>
          <cell r="I60">
            <v>1213021</v>
          </cell>
          <cell r="K60">
            <v>143592</v>
          </cell>
          <cell r="M60">
            <v>3210017</v>
          </cell>
          <cell r="N60">
            <v>379988</v>
          </cell>
        </row>
        <row r="61">
          <cell r="C61">
            <v>5</v>
          </cell>
          <cell r="D61" t="str">
            <v>05.02.101</v>
          </cell>
          <cell r="E61" t="str">
            <v>Tháo hạ (căng) dây AC50, AC70</v>
          </cell>
          <cell r="F61" t="str">
            <v>km</v>
          </cell>
          <cell r="G61">
            <v>5.9012000000000002</v>
          </cell>
          <cell r="I61">
            <v>1277403</v>
          </cell>
          <cell r="K61">
            <v>143592</v>
          </cell>
          <cell r="M61">
            <v>7538211</v>
          </cell>
          <cell r="N61">
            <v>847365</v>
          </cell>
        </row>
        <row r="62">
          <cell r="C62">
            <v>6</v>
          </cell>
          <cell r="D62" t="str">
            <v>D3.6304</v>
          </cell>
          <cell r="E62" t="str">
            <v>Tháo hạ dây ABC 3x50</v>
          </cell>
          <cell r="F62" t="str">
            <v>km</v>
          </cell>
          <cell r="G62">
            <v>0.41280000000000006</v>
          </cell>
          <cell r="I62">
            <v>2689885</v>
          </cell>
          <cell r="J62">
            <v>0</v>
          </cell>
          <cell r="K62">
            <v>0</v>
          </cell>
          <cell r="L62">
            <v>0</v>
          </cell>
          <cell r="M62">
            <v>1110385</v>
          </cell>
          <cell r="N62">
            <v>0</v>
          </cell>
        </row>
        <row r="63">
          <cell r="C63">
            <v>7</v>
          </cell>
          <cell r="D63" t="str">
            <v>D3.6304</v>
          </cell>
          <cell r="E63" t="str">
            <v>Tháo hạ dây ABC 4x50</v>
          </cell>
          <cell r="F63" t="str">
            <v>km</v>
          </cell>
          <cell r="G63">
            <v>1.7045999999999999</v>
          </cell>
          <cell r="I63">
            <v>3164571</v>
          </cell>
          <cell r="J63">
            <v>0</v>
          </cell>
          <cell r="K63">
            <v>0</v>
          </cell>
          <cell r="L63">
            <v>0</v>
          </cell>
          <cell r="M63">
            <v>5394328</v>
          </cell>
          <cell r="N63">
            <v>0</v>
          </cell>
        </row>
        <row r="64">
          <cell r="C64">
            <v>8</v>
          </cell>
          <cell r="D64" t="str">
            <v>D3.6305</v>
          </cell>
          <cell r="E64" t="str">
            <v>Tháo hạ dây ABC 3x70</v>
          </cell>
          <cell r="F64" t="str">
            <v>km</v>
          </cell>
          <cell r="G64">
            <v>1.2621</v>
          </cell>
          <cell r="I64">
            <v>3174854</v>
          </cell>
          <cell r="J64">
            <v>0</v>
          </cell>
          <cell r="K64">
            <v>0</v>
          </cell>
          <cell r="L64">
            <v>0</v>
          </cell>
          <cell r="M64">
            <v>4006983</v>
          </cell>
          <cell r="N64">
            <v>0</v>
          </cell>
        </row>
        <row r="65">
          <cell r="C65">
            <v>9</v>
          </cell>
          <cell r="D65" t="str">
            <v>D3.6305</v>
          </cell>
          <cell r="E65" t="str">
            <v>Tháo hạ dây ABC 4x70</v>
          </cell>
          <cell r="F65" t="str">
            <v>km</v>
          </cell>
          <cell r="G65">
            <v>0.87950000000000028</v>
          </cell>
          <cell r="I65">
            <v>3735122</v>
          </cell>
          <cell r="J65">
            <v>0</v>
          </cell>
          <cell r="K65">
            <v>0</v>
          </cell>
          <cell r="L65">
            <v>0</v>
          </cell>
          <cell r="M65">
            <v>3285040</v>
          </cell>
          <cell r="N65">
            <v>0</v>
          </cell>
        </row>
        <row r="66">
          <cell r="C66">
            <v>10</v>
          </cell>
          <cell r="D66" t="str">
            <v>03.09.251</v>
          </cell>
          <cell r="E66" t="str">
            <v>Tháo (lắp) bộ chằng</v>
          </cell>
          <cell r="F66" t="str">
            <v>Bộ</v>
          </cell>
          <cell r="G66">
            <v>73</v>
          </cell>
          <cell r="I66">
            <v>86365</v>
          </cell>
          <cell r="K66">
            <v>0</v>
          </cell>
          <cell r="L66">
            <v>0</v>
          </cell>
          <cell r="M66">
            <v>6304645</v>
          </cell>
          <cell r="N66">
            <v>0</v>
          </cell>
        </row>
        <row r="67">
          <cell r="B67" t="str">
            <v>TR25</v>
          </cell>
          <cell r="C67" t="str">
            <v>III</v>
          </cell>
          <cell r="D67" t="str">
            <v>Trạm biến áp</v>
          </cell>
          <cell r="M67">
            <v>45389831</v>
          </cell>
          <cell r="N67">
            <v>9137730</v>
          </cell>
        </row>
        <row r="68">
          <cell r="C68">
            <v>1</v>
          </cell>
          <cell r="D68" t="str">
            <v>07.03.533
(T1.1433)</v>
          </cell>
          <cell r="E68" t="str">
            <v>Tháo (lắp) MBA ≤75KVA</v>
          </cell>
          <cell r="F68" t="str">
            <v>máy</v>
          </cell>
          <cell r="G68">
            <v>8</v>
          </cell>
          <cell r="H68">
            <v>8</v>
          </cell>
          <cell r="I68">
            <v>731617</v>
          </cell>
          <cell r="J68">
            <v>993554</v>
          </cell>
          <cell r="K68">
            <v>292090</v>
          </cell>
          <cell r="L68">
            <v>360605</v>
          </cell>
          <cell r="M68">
            <v>13801368</v>
          </cell>
          <cell r="N68">
            <v>5221560</v>
          </cell>
        </row>
        <row r="69">
          <cell r="C69">
            <v>2</v>
          </cell>
          <cell r="D69" t="str">
            <v>07.03.534
(T1.1434)</v>
          </cell>
          <cell r="E69" t="str">
            <v>Tháo (lắp) MBA ≤100KVA</v>
          </cell>
          <cell r="F69" t="str">
            <v>máy</v>
          </cell>
          <cell r="G69">
            <v>6</v>
          </cell>
          <cell r="H69">
            <v>6</v>
          </cell>
          <cell r="I69">
            <v>777604</v>
          </cell>
          <cell r="J69">
            <v>1056006</v>
          </cell>
          <cell r="K69">
            <v>292090</v>
          </cell>
          <cell r="L69">
            <v>360605</v>
          </cell>
          <cell r="M69">
            <v>11001660</v>
          </cell>
          <cell r="N69">
            <v>3916170</v>
          </cell>
        </row>
        <row r="70">
          <cell r="C70">
            <v>3</v>
          </cell>
          <cell r="D70" t="str">
            <v>13.01.001
(T5.1001)</v>
          </cell>
          <cell r="E70" t="str">
            <v>Tháo (lắp) thùng trạm 1 pha</v>
          </cell>
          <cell r="F70" t="str">
            <v>cái</v>
          </cell>
          <cell r="G70">
            <v>14</v>
          </cell>
          <cell r="H70">
            <v>14</v>
          </cell>
          <cell r="I70">
            <v>412906</v>
          </cell>
          <cell r="J70">
            <v>645165</v>
          </cell>
          <cell r="K70">
            <v>0</v>
          </cell>
          <cell r="L70">
            <v>0</v>
          </cell>
          <cell r="M70">
            <v>14812994</v>
          </cell>
          <cell r="N70">
            <v>0</v>
          </cell>
        </row>
        <row r="71">
          <cell r="C71">
            <v>4</v>
          </cell>
          <cell r="D71" t="str">
            <v>14.04.005</v>
          </cell>
          <cell r="E71" t="str">
            <v>Tháo (lắp) bộ FCO</v>
          </cell>
          <cell r="F71" t="str">
            <v>cái</v>
          </cell>
          <cell r="G71">
            <v>7</v>
          </cell>
          <cell r="I71">
            <v>153537</v>
          </cell>
          <cell r="K71">
            <v>0</v>
          </cell>
          <cell r="L71">
            <v>0</v>
          </cell>
          <cell r="M71">
            <v>1074759</v>
          </cell>
          <cell r="N71">
            <v>0</v>
          </cell>
        </row>
        <row r="72">
          <cell r="C72">
            <v>5</v>
          </cell>
          <cell r="D72" t="str">
            <v>09.05.004</v>
          </cell>
          <cell r="E72" t="str">
            <v>Tháo (lắp) bộ LA</v>
          </cell>
          <cell r="F72" t="str">
            <v>cái</v>
          </cell>
          <cell r="G72">
            <v>7</v>
          </cell>
          <cell r="I72">
            <v>57576</v>
          </cell>
          <cell r="K72">
            <v>0</v>
          </cell>
          <cell r="L72">
            <v>0</v>
          </cell>
          <cell r="M72">
            <v>403032</v>
          </cell>
          <cell r="N72">
            <v>0</v>
          </cell>
        </row>
        <row r="73">
          <cell r="C73">
            <v>6</v>
          </cell>
          <cell r="D73" t="str">
            <v>11.02.106</v>
          </cell>
          <cell r="E73" t="str">
            <v>Tháo ống PVC D90</v>
          </cell>
          <cell r="F73" t="str">
            <v>mét</v>
          </cell>
          <cell r="G73">
            <v>120</v>
          </cell>
          <cell r="I73">
            <v>14231</v>
          </cell>
          <cell r="K73">
            <v>0</v>
          </cell>
          <cell r="L73">
            <v>0</v>
          </cell>
          <cell r="M73">
            <v>1707720</v>
          </cell>
          <cell r="N73">
            <v>0</v>
          </cell>
        </row>
        <row r="74">
          <cell r="C74">
            <v>7</v>
          </cell>
          <cell r="D74" t="str">
            <v>11.04.403</v>
          </cell>
          <cell r="E74" t="str">
            <v>Tháo dây CV50xuống thiết bị</v>
          </cell>
          <cell r="F74" t="str">
            <v>mét</v>
          </cell>
          <cell r="G74">
            <v>54</v>
          </cell>
          <cell r="I74">
            <v>6586</v>
          </cell>
          <cell r="K74">
            <v>0</v>
          </cell>
          <cell r="L74">
            <v>0</v>
          </cell>
          <cell r="M74">
            <v>355644</v>
          </cell>
          <cell r="N74">
            <v>0</v>
          </cell>
        </row>
        <row r="75">
          <cell r="C75">
            <v>8</v>
          </cell>
          <cell r="D75" t="str">
            <v>11.04.403</v>
          </cell>
          <cell r="E75" t="str">
            <v>Tháo dây CV70 xuống thiết bị</v>
          </cell>
          <cell r="F75" t="str">
            <v>mét</v>
          </cell>
          <cell r="G75">
            <v>218</v>
          </cell>
          <cell r="I75">
            <v>6586</v>
          </cell>
          <cell r="K75">
            <v>0</v>
          </cell>
          <cell r="L75">
            <v>0</v>
          </cell>
          <cell r="M75">
            <v>1435748</v>
          </cell>
          <cell r="N75">
            <v>0</v>
          </cell>
        </row>
        <row r="76">
          <cell r="C76">
            <v>9</v>
          </cell>
          <cell r="D76" t="str">
            <v>11.04.403</v>
          </cell>
          <cell r="E76" t="str">
            <v>Tháo dây CV95 xuống thiết bị</v>
          </cell>
          <cell r="F76" t="str">
            <v>mét</v>
          </cell>
          <cell r="G76">
            <v>121</v>
          </cell>
          <cell r="I76">
            <v>6586</v>
          </cell>
          <cell r="K76">
            <v>0</v>
          </cell>
          <cell r="L76">
            <v>0</v>
          </cell>
          <cell r="M76">
            <v>796906</v>
          </cell>
          <cell r="N76">
            <v>0</v>
          </cell>
        </row>
        <row r="77">
          <cell r="C77">
            <v>9</v>
          </cell>
          <cell r="D77" t="str">
            <v>11.04.403</v>
          </cell>
          <cell r="E77" t="str">
            <v>Tháo dây CV120 xuống thiết bị</v>
          </cell>
          <cell r="F77" t="str">
            <v>mét</v>
          </cell>
          <cell r="G77">
            <v>0</v>
          </cell>
          <cell r="I77">
            <v>6586</v>
          </cell>
          <cell r="J77">
            <v>9879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</sheetData>
      <sheetData sheetId="15"/>
      <sheetData sheetId="16">
        <row r="48">
          <cell r="J48" t="str">
            <v>km</v>
          </cell>
          <cell r="N48" t="str">
            <v>đ/TKm</v>
          </cell>
        </row>
        <row r="49">
          <cell r="K49" t="str">
            <v>I</v>
          </cell>
          <cell r="L49" t="str">
            <v>II</v>
          </cell>
          <cell r="M49" t="str">
            <v>III</v>
          </cell>
          <cell r="N49" t="str">
            <v>IV</v>
          </cell>
        </row>
        <row r="50">
          <cell r="J50">
            <v>1</v>
          </cell>
          <cell r="K50">
            <v>5600</v>
          </cell>
          <cell r="N50">
            <v>4798</v>
          </cell>
        </row>
        <row r="51">
          <cell r="J51">
            <v>2</v>
          </cell>
          <cell r="K51">
            <v>3100</v>
          </cell>
          <cell r="N51">
            <v>2656</v>
          </cell>
        </row>
        <row r="52">
          <cell r="J52">
            <v>3</v>
          </cell>
          <cell r="K52">
            <v>2230</v>
          </cell>
          <cell r="N52">
            <v>1911</v>
          </cell>
        </row>
        <row r="53">
          <cell r="J53">
            <v>4</v>
          </cell>
          <cell r="K53">
            <v>1825</v>
          </cell>
          <cell r="N53">
            <v>1564</v>
          </cell>
        </row>
        <row r="54">
          <cell r="J54">
            <v>5</v>
          </cell>
          <cell r="K54">
            <v>1600</v>
          </cell>
          <cell r="N54">
            <v>1371</v>
          </cell>
        </row>
        <row r="55">
          <cell r="J55">
            <v>6</v>
          </cell>
          <cell r="K55">
            <v>1446</v>
          </cell>
          <cell r="N55">
            <v>1239</v>
          </cell>
        </row>
        <row r="56">
          <cell r="J56">
            <v>7</v>
          </cell>
          <cell r="K56">
            <v>1333</v>
          </cell>
          <cell r="N56">
            <v>1142</v>
          </cell>
        </row>
        <row r="57">
          <cell r="J57">
            <v>8</v>
          </cell>
          <cell r="K57">
            <v>1245</v>
          </cell>
          <cell r="N57">
            <v>1067</v>
          </cell>
        </row>
        <row r="58">
          <cell r="J58">
            <v>9</v>
          </cell>
          <cell r="K58">
            <v>1173</v>
          </cell>
          <cell r="N58">
            <v>1005</v>
          </cell>
        </row>
        <row r="59">
          <cell r="J59">
            <v>10</v>
          </cell>
          <cell r="K59">
            <v>1114</v>
          </cell>
          <cell r="N59">
            <v>2231</v>
          </cell>
        </row>
        <row r="60">
          <cell r="J60">
            <v>11</v>
          </cell>
          <cell r="K60">
            <v>1063</v>
          </cell>
          <cell r="N60">
            <v>911</v>
          </cell>
        </row>
        <row r="61">
          <cell r="J61">
            <v>12</v>
          </cell>
          <cell r="K61">
            <v>1016</v>
          </cell>
          <cell r="N61">
            <v>870</v>
          </cell>
        </row>
        <row r="62">
          <cell r="J62">
            <v>13</v>
          </cell>
          <cell r="K62">
            <v>968</v>
          </cell>
          <cell r="N62">
            <v>829</v>
          </cell>
        </row>
        <row r="63">
          <cell r="J63">
            <v>14</v>
          </cell>
          <cell r="K63">
            <v>924</v>
          </cell>
          <cell r="N63">
            <v>792</v>
          </cell>
        </row>
        <row r="64">
          <cell r="J64">
            <v>15</v>
          </cell>
          <cell r="K64">
            <v>883</v>
          </cell>
          <cell r="N64">
            <v>1768</v>
          </cell>
        </row>
        <row r="65">
          <cell r="J65">
            <v>16</v>
          </cell>
          <cell r="K65">
            <v>846</v>
          </cell>
          <cell r="N65">
            <v>725</v>
          </cell>
        </row>
        <row r="66">
          <cell r="J66">
            <v>17</v>
          </cell>
          <cell r="K66">
            <v>820</v>
          </cell>
          <cell r="N66">
            <v>703</v>
          </cell>
        </row>
        <row r="67">
          <cell r="J67">
            <v>18</v>
          </cell>
          <cell r="K67">
            <v>799</v>
          </cell>
          <cell r="N67">
            <v>68</v>
          </cell>
        </row>
        <row r="68">
          <cell r="J68">
            <v>19</v>
          </cell>
          <cell r="K68">
            <v>776</v>
          </cell>
          <cell r="N68">
            <v>665</v>
          </cell>
        </row>
        <row r="69">
          <cell r="J69">
            <v>20</v>
          </cell>
          <cell r="K69">
            <v>750</v>
          </cell>
          <cell r="N69">
            <v>2177</v>
          </cell>
        </row>
        <row r="70">
          <cell r="J70">
            <v>21</v>
          </cell>
          <cell r="K70">
            <v>720</v>
          </cell>
          <cell r="N70">
            <v>617</v>
          </cell>
        </row>
        <row r="71">
          <cell r="J71">
            <v>22</v>
          </cell>
          <cell r="K71">
            <v>692</v>
          </cell>
          <cell r="N71">
            <v>593</v>
          </cell>
        </row>
        <row r="72">
          <cell r="J72">
            <v>23</v>
          </cell>
          <cell r="K72">
            <v>667</v>
          </cell>
          <cell r="N72">
            <v>572</v>
          </cell>
        </row>
        <row r="73">
          <cell r="J73">
            <v>24</v>
          </cell>
          <cell r="K73">
            <v>645</v>
          </cell>
          <cell r="N73">
            <v>553</v>
          </cell>
        </row>
        <row r="74">
          <cell r="J74">
            <v>25</v>
          </cell>
          <cell r="K74">
            <v>624</v>
          </cell>
          <cell r="N74">
            <v>1812</v>
          </cell>
        </row>
        <row r="75">
          <cell r="J75">
            <v>26</v>
          </cell>
          <cell r="K75">
            <v>604</v>
          </cell>
          <cell r="N75">
            <v>518</v>
          </cell>
        </row>
        <row r="76">
          <cell r="J76">
            <v>27</v>
          </cell>
          <cell r="K76">
            <v>584</v>
          </cell>
          <cell r="N76">
            <v>500</v>
          </cell>
        </row>
        <row r="77">
          <cell r="J77">
            <v>28</v>
          </cell>
          <cell r="K77">
            <v>564</v>
          </cell>
          <cell r="N77">
            <v>483</v>
          </cell>
        </row>
        <row r="78">
          <cell r="J78">
            <v>29</v>
          </cell>
          <cell r="K78">
            <v>545</v>
          </cell>
          <cell r="N78">
            <v>467</v>
          </cell>
        </row>
        <row r="79">
          <cell r="J79">
            <v>30</v>
          </cell>
          <cell r="K79">
            <v>528</v>
          </cell>
          <cell r="N79">
            <v>1057</v>
          </cell>
        </row>
        <row r="80">
          <cell r="J80">
            <v>31</v>
          </cell>
          <cell r="K80">
            <v>512</v>
          </cell>
          <cell r="N80">
            <v>438</v>
          </cell>
        </row>
        <row r="81">
          <cell r="J81">
            <v>35</v>
          </cell>
          <cell r="K81">
            <v>512</v>
          </cell>
          <cell r="N81">
            <v>1501</v>
          </cell>
        </row>
        <row r="82">
          <cell r="J82">
            <v>36</v>
          </cell>
          <cell r="K82">
            <v>498</v>
          </cell>
          <cell r="N82">
            <v>427</v>
          </cell>
        </row>
        <row r="83">
          <cell r="J83">
            <v>40</v>
          </cell>
          <cell r="K83">
            <v>498</v>
          </cell>
          <cell r="N83">
            <v>1460</v>
          </cell>
        </row>
        <row r="84">
          <cell r="J84">
            <v>41</v>
          </cell>
          <cell r="K84">
            <v>487</v>
          </cell>
          <cell r="N84">
            <v>418</v>
          </cell>
        </row>
        <row r="85">
          <cell r="J85">
            <v>45</v>
          </cell>
          <cell r="K85">
            <v>487</v>
          </cell>
          <cell r="N85">
            <v>1447</v>
          </cell>
        </row>
        <row r="86">
          <cell r="J86">
            <v>46</v>
          </cell>
          <cell r="K86">
            <v>477</v>
          </cell>
          <cell r="N86">
            <v>409</v>
          </cell>
        </row>
        <row r="87">
          <cell r="J87">
            <v>50</v>
          </cell>
          <cell r="K87">
            <v>477</v>
          </cell>
          <cell r="N87">
            <v>1430</v>
          </cell>
        </row>
        <row r="88">
          <cell r="J88">
            <v>51</v>
          </cell>
          <cell r="K88">
            <v>468</v>
          </cell>
          <cell r="N88">
            <v>401</v>
          </cell>
        </row>
        <row r="89">
          <cell r="J89">
            <v>55</v>
          </cell>
          <cell r="K89">
            <v>468</v>
          </cell>
          <cell r="N89">
            <v>1359</v>
          </cell>
        </row>
        <row r="90">
          <cell r="J90">
            <v>56</v>
          </cell>
          <cell r="K90">
            <v>460</v>
          </cell>
          <cell r="N90">
            <v>394</v>
          </cell>
        </row>
        <row r="91">
          <cell r="J91">
            <v>60</v>
          </cell>
          <cell r="K91">
            <v>460</v>
          </cell>
          <cell r="N91">
            <v>1336</v>
          </cell>
        </row>
        <row r="92">
          <cell r="J92">
            <v>61</v>
          </cell>
          <cell r="K92">
            <v>453</v>
          </cell>
          <cell r="N92">
            <v>388</v>
          </cell>
        </row>
        <row r="93">
          <cell r="J93">
            <v>70</v>
          </cell>
          <cell r="K93">
            <v>453</v>
          </cell>
          <cell r="N93">
            <v>388</v>
          </cell>
        </row>
        <row r="94">
          <cell r="J94">
            <v>71</v>
          </cell>
          <cell r="K94">
            <v>447</v>
          </cell>
          <cell r="N94">
            <v>609</v>
          </cell>
        </row>
        <row r="95">
          <cell r="J95">
            <v>80</v>
          </cell>
          <cell r="K95">
            <v>447</v>
          </cell>
          <cell r="N95">
            <v>609</v>
          </cell>
        </row>
        <row r="96">
          <cell r="J96">
            <v>81</v>
          </cell>
          <cell r="K96">
            <v>442</v>
          </cell>
          <cell r="N96">
            <v>379</v>
          </cell>
        </row>
        <row r="97">
          <cell r="J97">
            <v>90</v>
          </cell>
          <cell r="K97">
            <v>442</v>
          </cell>
          <cell r="N97">
            <v>379</v>
          </cell>
        </row>
        <row r="98">
          <cell r="J98">
            <v>91</v>
          </cell>
          <cell r="K98">
            <v>438</v>
          </cell>
          <cell r="N98">
            <v>375</v>
          </cell>
        </row>
        <row r="99">
          <cell r="J99">
            <v>100</v>
          </cell>
          <cell r="K99">
            <v>438</v>
          </cell>
          <cell r="N99">
            <v>375</v>
          </cell>
        </row>
        <row r="100">
          <cell r="J100">
            <v>101</v>
          </cell>
          <cell r="K100">
            <v>435</v>
          </cell>
          <cell r="N100">
            <v>563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B8" t="str">
            <v>T1</v>
          </cell>
          <cell r="C8">
            <v>1</v>
          </cell>
          <cell r="D8">
            <v>1</v>
          </cell>
          <cell r="E8" t="str">
            <v>Đường dây trung thế</v>
          </cell>
          <cell r="P8">
            <v>1505820</v>
          </cell>
          <cell r="Q8">
            <v>10352808</v>
          </cell>
          <cell r="R8">
            <v>6038190</v>
          </cell>
          <cell r="S8">
            <v>5.2506000000000004</v>
          </cell>
          <cell r="T8">
            <v>0</v>
          </cell>
        </row>
        <row r="9">
          <cell r="C9">
            <v>0</v>
          </cell>
          <cell r="D9" t="str">
            <v>HL.01</v>
          </cell>
          <cell r="E9" t="str">
            <v>Thay sứ đứng đường dây 1 pha</v>
          </cell>
          <cell r="H9" t="str">
            <v>1 sứ</v>
          </cell>
          <cell r="K9">
            <v>0.8</v>
          </cell>
          <cell r="L9">
            <v>1</v>
          </cell>
          <cell r="M9">
            <v>70522</v>
          </cell>
          <cell r="N9">
            <v>761236</v>
          </cell>
          <cell r="O9">
            <v>359375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>
            <v>0</v>
          </cell>
          <cell r="D10" t="str">
            <v>HL.02</v>
          </cell>
          <cell r="E10" t="str">
            <v>Thay sứ đứng đường dây 3 pha đối xứng</v>
          </cell>
          <cell r="H10" t="str">
            <v>3 sứ</v>
          </cell>
          <cell r="K10">
            <v>0.8</v>
          </cell>
          <cell r="L10">
            <v>1</v>
          </cell>
          <cell r="M10">
            <v>155508</v>
          </cell>
          <cell r="N10">
            <v>1327925</v>
          </cell>
          <cell r="O10">
            <v>608508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>
            <v>0</v>
          </cell>
          <cell r="D11" t="str">
            <v>HL.03</v>
          </cell>
          <cell r="E11" t="str">
            <v>Thay bộ 3 sứ đứng trên 3 xà lệch mắc song song</v>
          </cell>
          <cell r="H11" t="str">
            <v>3 sứ</v>
          </cell>
          <cell r="K11">
            <v>0.8</v>
          </cell>
          <cell r="L11">
            <v>1</v>
          </cell>
          <cell r="M11">
            <v>158292</v>
          </cell>
          <cell r="N11">
            <v>1378675</v>
          </cell>
          <cell r="O11">
            <v>637330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>
            <v>0</v>
          </cell>
          <cell r="D12" t="str">
            <v>HL.04</v>
          </cell>
          <cell r="E12" t="str">
            <v xml:space="preserve">Thay sứ treo đường dây 1 pha </v>
          </cell>
          <cell r="H12" t="str">
            <v>1 sứ</v>
          </cell>
          <cell r="K12">
            <v>0.8</v>
          </cell>
          <cell r="L12">
            <v>1</v>
          </cell>
          <cell r="M12">
            <v>85189</v>
          </cell>
          <cell r="N12">
            <v>972682</v>
          </cell>
          <cell r="O12">
            <v>455170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>
            <v>0</v>
          </cell>
          <cell r="D13" t="str">
            <v>HL.05</v>
          </cell>
          <cell r="E13" t="str">
            <v xml:space="preserve">Thay sứ treo đường dây 3 pha </v>
          </cell>
          <cell r="H13" t="str">
            <v>1 sứ</v>
          </cell>
          <cell r="K13">
            <v>0.8</v>
          </cell>
          <cell r="L13">
            <v>1</v>
          </cell>
          <cell r="M13">
            <v>162675</v>
          </cell>
          <cell r="N13">
            <v>1141854</v>
          </cell>
          <cell r="O13">
            <v>551080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C14">
            <v>1</v>
          </cell>
          <cell r="D14" t="str">
            <v>HL.06</v>
          </cell>
          <cell r="E14" t="str">
            <v>Thay cò lèo đấu nối đường dây 1 pha</v>
          </cell>
          <cell r="H14" t="str">
            <v>1 cò</v>
          </cell>
          <cell r="I14" t="str">
            <v>M</v>
          </cell>
          <cell r="J14">
            <v>6</v>
          </cell>
          <cell r="K14">
            <v>0.8</v>
          </cell>
          <cell r="L14">
            <v>1</v>
          </cell>
          <cell r="M14">
            <v>82413</v>
          </cell>
          <cell r="N14">
            <v>972682</v>
          </cell>
          <cell r="O14">
            <v>467245</v>
          </cell>
          <cell r="P14">
            <v>494478</v>
          </cell>
          <cell r="Q14">
            <v>4668874</v>
          </cell>
          <cell r="R14">
            <v>2803470</v>
          </cell>
          <cell r="S14">
            <v>2.4378000000000002</v>
          </cell>
          <cell r="T14">
            <v>0</v>
          </cell>
        </row>
        <row r="15">
          <cell r="C15">
            <v>1</v>
          </cell>
          <cell r="D15" t="str">
            <v>HL.07</v>
          </cell>
          <cell r="E15" t="str">
            <v>Thay cò lèo đường dây 3 pha, đấu nối đường dây 3 pha</v>
          </cell>
          <cell r="H15" t="str">
            <v>1 cò</v>
          </cell>
          <cell r="I15" t="str">
            <v>M</v>
          </cell>
          <cell r="J15">
            <v>6</v>
          </cell>
          <cell r="K15">
            <v>0.8</v>
          </cell>
          <cell r="L15">
            <v>1</v>
          </cell>
          <cell r="M15">
            <v>168557</v>
          </cell>
          <cell r="N15">
            <v>1184153</v>
          </cell>
          <cell r="O15">
            <v>539120</v>
          </cell>
          <cell r="P15">
            <v>1011342</v>
          </cell>
          <cell r="Q15">
            <v>5683934</v>
          </cell>
          <cell r="R15">
            <v>3234720</v>
          </cell>
          <cell r="S15">
            <v>2.8128000000000002</v>
          </cell>
          <cell r="T15">
            <v>0</v>
          </cell>
        </row>
        <row r="16">
          <cell r="C16">
            <v>0</v>
          </cell>
          <cell r="D16" t="str">
            <v>HL.08</v>
          </cell>
          <cell r="E16" t="str">
            <v>Thay FCO, LB FCO, LA đường dây 1 pha</v>
          </cell>
          <cell r="H16" t="str">
            <v>1 cái</v>
          </cell>
          <cell r="K16">
            <v>0.8</v>
          </cell>
          <cell r="L16">
            <v>1</v>
          </cell>
          <cell r="M16">
            <v>76864</v>
          </cell>
          <cell r="N16">
            <v>909246</v>
          </cell>
          <cell r="O16">
            <v>419290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>
            <v>0</v>
          </cell>
          <cell r="D17" t="str">
            <v>HL.09</v>
          </cell>
          <cell r="E17" t="str">
            <v>Thay FCO, LB FCO, LA đường dây 3 pha</v>
          </cell>
          <cell r="H17" t="str">
            <v>1 cái</v>
          </cell>
          <cell r="K17">
            <v>0.8</v>
          </cell>
          <cell r="L17">
            <v>1</v>
          </cell>
          <cell r="M17">
            <v>154961</v>
          </cell>
          <cell r="N17">
            <v>1120717</v>
          </cell>
          <cell r="O17">
            <v>527045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>
            <v>0</v>
          </cell>
          <cell r="D18" t="str">
            <v>HL.10</v>
          </cell>
          <cell r="E18" t="str">
            <v>Thay DS, LBS, OS, Reclose đường dây 3 pha</v>
          </cell>
          <cell r="H18" t="str">
            <v>1 cái</v>
          </cell>
          <cell r="K18">
            <v>0.8</v>
          </cell>
          <cell r="L18">
            <v>1</v>
          </cell>
          <cell r="M18">
            <v>194787</v>
          </cell>
          <cell r="N18">
            <v>2484598</v>
          </cell>
          <cell r="O18">
            <v>982330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>
            <v>0</v>
          </cell>
          <cell r="D19" t="str">
            <v>HL.11</v>
          </cell>
          <cell r="E19" t="str">
            <v>Thay đà đối xứng trên trụ đường dây 3 pha</v>
          </cell>
          <cell r="H19" t="str">
            <v>1 bộ xà</v>
          </cell>
          <cell r="K19">
            <v>0.8</v>
          </cell>
          <cell r="L19">
            <v>1</v>
          </cell>
          <cell r="M19">
            <v>239412</v>
          </cell>
          <cell r="N19">
            <v>1855513</v>
          </cell>
          <cell r="O19">
            <v>790625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0</v>
          </cell>
          <cell r="D20" t="str">
            <v>HL.12</v>
          </cell>
          <cell r="E20" t="str">
            <v>Thay đà lệch trên trụ đường dây 3 pha</v>
          </cell>
          <cell r="H20" t="str">
            <v>1 bộ xà</v>
          </cell>
          <cell r="K20">
            <v>0.8</v>
          </cell>
          <cell r="L20">
            <v>1</v>
          </cell>
          <cell r="M20">
            <v>245165</v>
          </cell>
          <cell r="N20">
            <v>2045822</v>
          </cell>
          <cell r="O20">
            <v>886420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0</v>
          </cell>
          <cell r="D21" t="str">
            <v>HL.13</v>
          </cell>
          <cell r="E21" t="str">
            <v>Thay đà đôi trên trụ đường dây 3 pha</v>
          </cell>
          <cell r="H21" t="str">
            <v>1 bộ xà</v>
          </cell>
          <cell r="K21">
            <v>0.8</v>
          </cell>
          <cell r="L21">
            <v>1</v>
          </cell>
          <cell r="M21">
            <v>286522</v>
          </cell>
          <cell r="N21">
            <v>2236131</v>
          </cell>
          <cell r="O21">
            <v>982330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>
            <v>0</v>
          </cell>
          <cell r="D22" t="str">
            <v>HL.14</v>
          </cell>
          <cell r="E22" t="str">
            <v xml:space="preserve">Thay đà vertical trên trụ đường dây 3 pha </v>
          </cell>
          <cell r="H22" t="str">
            <v>1 bộ xà</v>
          </cell>
          <cell r="K22">
            <v>0.8</v>
          </cell>
          <cell r="L22">
            <v>1</v>
          </cell>
          <cell r="M22">
            <v>161239</v>
          </cell>
          <cell r="N22">
            <v>1427318</v>
          </cell>
          <cell r="O22">
            <v>586960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>
            <v>0</v>
          </cell>
          <cell r="D23" t="str">
            <v>HL.15</v>
          </cell>
          <cell r="E23" t="str">
            <v>Thay trụ đỡ đường dây 1 pha</v>
          </cell>
          <cell r="H23" t="str">
            <v>1 trụ</v>
          </cell>
          <cell r="K23">
            <v>0.8</v>
          </cell>
          <cell r="L23">
            <v>1</v>
          </cell>
          <cell r="M23">
            <v>232011</v>
          </cell>
          <cell r="N23">
            <v>2267849</v>
          </cell>
          <cell r="O23">
            <v>1148125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C24">
            <v>0</v>
          </cell>
          <cell r="D24" t="str">
            <v>HL.16</v>
          </cell>
          <cell r="E24" t="str">
            <v>Thay trụ đỡ đường dây 3 pha</v>
          </cell>
          <cell r="H24" t="str">
            <v>1 trụ</v>
          </cell>
          <cell r="K24">
            <v>0.8</v>
          </cell>
          <cell r="L24">
            <v>1</v>
          </cell>
          <cell r="M24">
            <v>327349</v>
          </cell>
          <cell r="N24">
            <v>2878436</v>
          </cell>
          <cell r="O24">
            <v>1411705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C25">
            <v>0</v>
          </cell>
          <cell r="D25" t="str">
            <v>HL.17</v>
          </cell>
          <cell r="E25" t="str">
            <v>Thay trụ cuối đường dây 1 pha</v>
          </cell>
          <cell r="H25" t="str">
            <v>1 trụ</v>
          </cell>
          <cell r="K25">
            <v>0.8</v>
          </cell>
          <cell r="L25">
            <v>1</v>
          </cell>
          <cell r="M25">
            <v>248404</v>
          </cell>
          <cell r="N25">
            <v>2762119</v>
          </cell>
          <cell r="O25">
            <v>1322046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0</v>
          </cell>
          <cell r="D26" t="str">
            <v>HL.18</v>
          </cell>
          <cell r="E26" t="str">
            <v>Thay trụ cuối đường dây 3 pha</v>
          </cell>
          <cell r="H26" t="str">
            <v>1 trụ</v>
          </cell>
          <cell r="K26">
            <v>0.8</v>
          </cell>
          <cell r="L26">
            <v>1</v>
          </cell>
          <cell r="M26">
            <v>395239</v>
          </cell>
          <cell r="N26">
            <v>3401786</v>
          </cell>
          <cell r="O26">
            <v>1585626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>
            <v>0</v>
          </cell>
          <cell r="D27" t="str">
            <v>HL.19</v>
          </cell>
          <cell r="E27" t="str">
            <v>Khai quang mé nhánh trên đường dây 3 pha</v>
          </cell>
          <cell r="H27" t="str">
            <v>1 vị trí</v>
          </cell>
          <cell r="K27">
            <v>0.8</v>
          </cell>
          <cell r="L27">
            <v>1</v>
          </cell>
          <cell r="M27">
            <v>123873</v>
          </cell>
          <cell r="N27">
            <v>507491</v>
          </cell>
          <cell r="O27">
            <v>215625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9">
          <cell r="D29" t="str">
            <v>Ghi chú: Hạng mục "Khai quang mé nhánh_HL.19" còn áp dụng cho các công tác: gỡ diều, tháo chướng ngại vật ; lắp phíp cách điện, bọc cách điện ; tháo lắp dây chằng và các công việc khác tương tự.</v>
          </cell>
        </row>
        <row r="30">
          <cell r="D30" t="str">
            <v>Nếu lắp mới, phí nhân công nhân hệ số 0.8</v>
          </cell>
        </row>
        <row r="31">
          <cell r="C31">
            <v>1</v>
          </cell>
        </row>
        <row r="32">
          <cell r="C32">
            <v>1</v>
          </cell>
          <cell r="D32" t="str">
            <v>II. CHI PHÍ BÙ TRỪ TRƯỢT GIÁ NHIÊN LIỆU: (Văn bản số 2269/QĐ-PCĐN ngày 12/10/2016)</v>
          </cell>
        </row>
        <row r="33">
          <cell r="C33">
            <v>1</v>
          </cell>
          <cell r="D33" t="str">
            <v>BTNL =  ((Tổng số lượng ca máy định mức của xe gàu (SLCM) x Định mức nhiên liệu một ca máy xe gàu(32L/ca) + (Tổng số lượng ca máy định mức của xe khoan (SLCM) x Định mức nhiên liệu một ca máy xe cẩu khoan (64L/ca)) x Chênh lệch giá nhiên liệu vào thời điểm xây dựng định mức. (4.300Đ/L dầu D.O) so với hiện tại (14.020Đ/L dầu D.O).</v>
          </cell>
        </row>
        <row r="34">
          <cell r="B34" t="str">
            <v>T1</v>
          </cell>
          <cell r="C34">
            <v>1</v>
          </cell>
          <cell r="D34">
            <v>1</v>
          </cell>
          <cell r="E34" t="str">
            <v>Đường dây trung thế</v>
          </cell>
        </row>
        <row r="35">
          <cell r="B35" t="str">
            <v>NLT1</v>
          </cell>
          <cell r="C35">
            <v>1</v>
          </cell>
          <cell r="D35" t="str">
            <v>BTNL = (5,2506 ca x 32 lít + 0 ca x 64 lít) x 9720</v>
          </cell>
          <cell r="H35" t="str">
            <v>=</v>
          </cell>
          <cell r="I35">
            <v>1633147</v>
          </cell>
          <cell r="K35" t="str">
            <v>đ</v>
          </cell>
        </row>
        <row r="36">
          <cell r="C36">
            <v>1</v>
          </cell>
        </row>
        <row r="37">
          <cell r="C37">
            <v>1</v>
          </cell>
          <cell r="D37" t="str">
            <v>III. CHI PHÍ HUY ĐỘNG PHƯƠNG TIỆN: (Văn bản số 32/2013/QĐ-UBND ngày 29/05/2013 của UBND tỉnh Đồng Nai)</v>
          </cell>
        </row>
        <row r="38">
          <cell r="C38">
            <v>1</v>
          </cell>
          <cell r="D38" t="str">
            <v>HĐ = (Cự ly - 3 kM) x 2(đi, về) x Cước vận chuyển hàng loại 1 cự ly trên 100km x ((Tải trọng đăng ký của xe  gàu x Số lượng xe gàu) + (Tải trọng đăng ký của xe khoan x Số lượng xe khoan)).</v>
          </cell>
        </row>
        <row r="39">
          <cell r="B39" t="str">
            <v>T1</v>
          </cell>
          <cell r="C39">
            <v>1</v>
          </cell>
          <cell r="D39">
            <v>1</v>
          </cell>
          <cell r="E39" t="str">
            <v>Đường dây trung thế</v>
          </cell>
        </row>
        <row r="40">
          <cell r="B40" t="str">
            <v>HDT1</v>
          </cell>
          <cell r="C40">
            <v>1</v>
          </cell>
          <cell r="D40" t="str">
            <v>HĐ = ((70 - 3) x 2) x 498 đồng x (7 tấn x 1 xe + 11 tấn x 0 xe)</v>
          </cell>
          <cell r="H40" t="str">
            <v>=</v>
          </cell>
          <cell r="I40">
            <v>467124</v>
          </cell>
          <cell r="K40" t="str">
            <v>đ</v>
          </cell>
        </row>
      </sheetData>
      <sheetData sheetId="26"/>
      <sheetData sheetId="27">
        <row r="5">
          <cell r="C5" t="str">
            <v>ST</v>
          </cell>
          <cell r="E5" t="str">
            <v>HTT</v>
          </cell>
          <cell r="F5" t="str">
            <v>HUONG</v>
          </cell>
          <cell r="G5" t="str">
            <v>GOC</v>
          </cell>
          <cell r="H5" t="str">
            <v>KC</v>
          </cell>
          <cell r="I5" t="str">
            <v>ACX50</v>
          </cell>
          <cell r="J5" t="str">
            <v>ACX70</v>
          </cell>
          <cell r="K5" t="str">
            <v>ACX95</v>
          </cell>
          <cell r="L5" t="str">
            <v>ACX120</v>
          </cell>
          <cell r="M5" t="str">
            <v>ACX150</v>
          </cell>
          <cell r="N5" t="str">
            <v>ACX185</v>
          </cell>
          <cell r="O5" t="str">
            <v>AC50</v>
          </cell>
          <cell r="Q5" t="str">
            <v>AC70</v>
          </cell>
          <cell r="R5" t="str">
            <v>AC95</v>
          </cell>
          <cell r="S5" t="str">
            <v>AC120</v>
          </cell>
          <cell r="T5" t="str">
            <v>TRU12SDL</v>
          </cell>
          <cell r="U5" t="str">
            <v>TRU10SDL</v>
          </cell>
          <cell r="V5" t="str">
            <v>BTLT10</v>
          </cell>
          <cell r="W5" t="str">
            <v>BTLT12</v>
          </cell>
          <cell r="X5" t="str">
            <v>BTLT12TC</v>
          </cell>
          <cell r="Y5" t="str">
            <v>BTLT14</v>
          </cell>
          <cell r="Z5" t="str">
            <v>M10</v>
          </cell>
          <cell r="AA5" t="str">
            <v>M10a</v>
          </cell>
          <cell r="AB5" t="str">
            <v>M10BT</v>
          </cell>
          <cell r="AC5" t="str">
            <v>M10BTD</v>
          </cell>
          <cell r="AD5" t="str">
            <v>M12</v>
          </cell>
          <cell r="AE5" t="str">
            <v>M12a</v>
          </cell>
          <cell r="AF5" t="str">
            <v>M12D</v>
          </cell>
          <cell r="AG5" t="str">
            <v>M12BT</v>
          </cell>
          <cell r="AH5" t="str">
            <v>M12BTD</v>
          </cell>
          <cell r="AI5" t="str">
            <v>M12BT-D</v>
          </cell>
          <cell r="AJ5" t="str">
            <v>M12BTD-D</v>
          </cell>
          <cell r="AK5" t="str">
            <v>M14</v>
          </cell>
          <cell r="AL5" t="str">
            <v>M14a</v>
          </cell>
          <cell r="AM5" t="str">
            <v>M14BT</v>
          </cell>
          <cell r="AN5" t="str">
            <v>M14BTD</v>
          </cell>
          <cell r="AO5" t="str">
            <v>CX10</v>
          </cell>
          <cell r="AP5" t="str">
            <v>CL10</v>
          </cell>
          <cell r="AQ5" t="str">
            <v>CX12</v>
          </cell>
          <cell r="AR5" t="str">
            <v>CL12</v>
          </cell>
          <cell r="AS5" t="str">
            <v>CX14</v>
          </cell>
          <cell r="AT5" t="str">
            <v>CL14</v>
          </cell>
          <cell r="AU5" t="str">
            <v>CKB</v>
          </cell>
          <cell r="AV5" t="str">
            <v>NXX</v>
          </cell>
          <cell r="AW5" t="str">
            <v>NXL</v>
          </cell>
          <cell r="AX5" t="str">
            <v>NXXD</v>
          </cell>
          <cell r="AY5" t="str">
            <v>NXLD</v>
          </cell>
          <cell r="AZ5" t="str">
            <v>TDLL10</v>
          </cell>
          <cell r="BA5" t="str">
            <v>TDLL12</v>
          </cell>
          <cell r="BB5" t="str">
            <v>TDLL14</v>
          </cell>
          <cell r="BC5" t="str">
            <v>TDLL20</v>
          </cell>
          <cell r="BD5" t="str">
            <v>TDLA</v>
          </cell>
          <cell r="BE5" t="str">
            <v>X8D</v>
          </cell>
          <cell r="BF5" t="str">
            <v>X8K</v>
          </cell>
          <cell r="BG5" t="str">
            <v>X166D</v>
          </cell>
          <cell r="BH5" t="str">
            <v>X166K</v>
          </cell>
          <cell r="BI5" t="str">
            <v>X20D</v>
          </cell>
          <cell r="BJ5" t="str">
            <v>X20K</v>
          </cell>
          <cell r="BK5" t="str">
            <v>X20DT</v>
          </cell>
          <cell r="BL5" t="str">
            <v>X20KT</v>
          </cell>
          <cell r="BM5" t="str">
            <v>X21D</v>
          </cell>
          <cell r="BN5" t="str">
            <v>X21K</v>
          </cell>
          <cell r="BO5" t="str">
            <v>X21DT</v>
          </cell>
          <cell r="BP5" t="str">
            <v>X21KT</v>
          </cell>
          <cell r="BQ5" t="str">
            <v>X22D</v>
          </cell>
          <cell r="BR5" t="str">
            <v>X22K</v>
          </cell>
          <cell r="BS5" t="str">
            <v>X22KK</v>
          </cell>
          <cell r="BT5" t="str">
            <v>DT160D</v>
          </cell>
          <cell r="BU5" t="str">
            <v>DT160K</v>
          </cell>
          <cell r="BV5" t="str">
            <v>BCOM3</v>
          </cell>
          <cell r="BW5" t="str">
            <v>BCOM</v>
          </cell>
          <cell r="BX5" t="str">
            <v>SDI</v>
          </cell>
          <cell r="BY5" t="str">
            <v>SDG</v>
          </cell>
          <cell r="BZ5" t="str">
            <v>SD</v>
          </cell>
          <cell r="CA5" t="str">
            <v>PLY50X</v>
          </cell>
          <cell r="CB5" t="str">
            <v>SD</v>
          </cell>
          <cell r="CC5" t="str">
            <v>SD</v>
          </cell>
          <cell r="CD5" t="str">
            <v>SD</v>
          </cell>
          <cell r="CE5" t="str">
            <v>PLY70X</v>
          </cell>
          <cell r="CF5" t="str">
            <v>PLY95X</v>
          </cell>
          <cell r="CG5" t="str">
            <v>PLY120X</v>
          </cell>
          <cell r="CH5" t="str">
            <v>PLY150X</v>
          </cell>
          <cell r="CI5" t="str">
            <v>PLY185X</v>
          </cell>
          <cell r="CJ5" t="str">
            <v>PLY240X</v>
          </cell>
          <cell r="CK5" t="str">
            <v>PLY50T</v>
          </cell>
          <cell r="CL5" t="str">
            <v>PLY70T</v>
          </cell>
          <cell r="CM5" t="str">
            <v>U-D</v>
          </cell>
          <cell r="CN5" t="str">
            <v>U-K</v>
          </cell>
          <cell r="CO5" t="str">
            <v>U-X</v>
          </cell>
          <cell r="CP5" t="str">
            <v>KN50</v>
          </cell>
          <cell r="CQ5" t="str">
            <v>KN70</v>
          </cell>
          <cell r="CR5" t="str">
            <v>KN95</v>
          </cell>
          <cell r="CS5" t="str">
            <v>KN120</v>
          </cell>
          <cell r="CT5" t="str">
            <v>KQ2</v>
          </cell>
          <cell r="CU5" t="str">
            <v>KQ4</v>
          </cell>
          <cell r="CV5" t="str">
            <v>CKQ</v>
          </cell>
          <cell r="CW5" t="str">
            <v>HL2</v>
          </cell>
          <cell r="CX5" t="str">
            <v>HL4</v>
          </cell>
          <cell r="CY5" t="str">
            <v>KE50</v>
          </cell>
          <cell r="CZ5" t="str">
            <v>KE70</v>
          </cell>
          <cell r="DA5" t="str">
            <v>KE95</v>
          </cell>
          <cell r="DB5" t="str">
            <v>KE120</v>
          </cell>
          <cell r="DC5" t="str">
            <v>KE150</v>
          </cell>
          <cell r="DD5" t="str">
            <v>KE185</v>
          </cell>
          <cell r="DE5" t="str">
            <v>KE240</v>
          </cell>
          <cell r="DF5" t="str">
            <v>FCO100</v>
          </cell>
          <cell r="DG5" t="str">
            <v>LA18</v>
          </cell>
          <cell r="DH5" t="str">
            <v>ON50</v>
          </cell>
          <cell r="DI5" t="str">
            <v>ON70</v>
          </cell>
          <cell r="DJ5" t="str">
            <v>ON95</v>
          </cell>
          <cell r="DK5" t="str">
            <v>ON120</v>
          </cell>
          <cell r="DL5" t="str">
            <v>ON150</v>
          </cell>
          <cell r="DM5" t="str">
            <v>ON185</v>
          </cell>
          <cell r="DN5" t="str">
            <v>ON240</v>
          </cell>
          <cell r="DO5" t="str">
            <v>OBCD</v>
          </cell>
          <cell r="DP5" t="str">
            <v>CXV25</v>
          </cell>
          <cell r="DQ5" t="str">
            <v>CXV50</v>
          </cell>
        </row>
        <row r="6">
          <cell r="DT6" t="str">
            <v>Vật tư thu hồi</v>
          </cell>
        </row>
        <row r="7">
          <cell r="B7" t="str">
            <v>STT</v>
          </cell>
          <cell r="C7" t="str">
            <v>Số trụ</v>
          </cell>
          <cell r="D7" t="str">
            <v>Vướng đá (1)</v>
          </cell>
          <cell r="E7" t="str">
            <v>Hình thức trụ</v>
          </cell>
          <cell r="F7" t="str">
            <v>Hướng: T (trái), P (phải)</v>
          </cell>
          <cell r="G7" t="str">
            <v>Góc (độ)</v>
          </cell>
          <cell r="H7" t="str">
            <v>Kh.cách</v>
          </cell>
          <cell r="I7" t="str">
            <v>Dây ACX 50mm2</v>
          </cell>
          <cell r="J7" t="str">
            <v>Dây ACX 70mm2</v>
          </cell>
          <cell r="K7" t="str">
            <v>Dây ACX 95mm2</v>
          </cell>
          <cell r="L7" t="str">
            <v>Dây ACX 120mm2</v>
          </cell>
          <cell r="M7" t="str">
            <v>Dây ACX 150mm2</v>
          </cell>
          <cell r="N7" t="str">
            <v>Dây ACX 185mm2</v>
          </cell>
          <cell r="O7" t="str">
            <v>Dây AC 50mm2</v>
          </cell>
          <cell r="P7" t="str">
            <v>Tháo và lắp Dây AC 50mm2</v>
          </cell>
          <cell r="Q7" t="str">
            <v>Dây AC 70mm2</v>
          </cell>
          <cell r="R7" t="str">
            <v>Dây AC 95mm2</v>
          </cell>
          <cell r="S7" t="str">
            <v>Dây AC 120mm2</v>
          </cell>
          <cell r="T7" t="str">
            <v>Trụ BTLT 12m SDL</v>
          </cell>
          <cell r="U7" t="str">
            <v>Trụ BTLT 10,5m SDL</v>
          </cell>
          <cell r="V7" t="str">
            <v>Trụ BTLT 10,5m</v>
          </cell>
          <cell r="W7" t="str">
            <v>Trụ BTLT 12m</v>
          </cell>
          <cell r="X7" t="str">
            <v>Trụ BTLT 12m (thủ công)</v>
          </cell>
          <cell r="Y7" t="str">
            <v>Trụ BTLT 14m</v>
          </cell>
          <cell r="Z7" t="str">
            <v>Móng trụ M10</v>
          </cell>
          <cell r="AA7" t="str">
            <v>Móng trụ M10a</v>
          </cell>
          <cell r="AB7" t="str">
            <v>Móng trụ 10 BTĐơn</v>
          </cell>
          <cell r="AC7" t="str">
            <v>Móng trụ 10 BTĐôi</v>
          </cell>
          <cell r="AD7" t="str">
            <v>Móng trụ M12</v>
          </cell>
          <cell r="AE7" t="str">
            <v>Móng trụ M12a</v>
          </cell>
          <cell r="AF7" t="str">
            <v>Móng trụ M12 phá đá</v>
          </cell>
          <cell r="AG7" t="str">
            <v>Móng trụ 12 BT Đơn</v>
          </cell>
          <cell r="AH7" t="str">
            <v>Móng trụ 12 BT Đôi</v>
          </cell>
          <cell r="AI7" t="str">
            <v>Móng trụ 12 BT đơn (lỗ đá)</v>
          </cell>
          <cell r="AJ7" t="str">
            <v>Móng trụ 12 BT Đôi (Lỗ đá)</v>
          </cell>
          <cell r="AK7" t="str">
            <v>Móng trụ M14</v>
          </cell>
          <cell r="AL7" t="str">
            <v>Móng trụ M14a</v>
          </cell>
          <cell r="AM7" t="str">
            <v>Móng trụ 14 BT Đơn</v>
          </cell>
          <cell r="AN7" t="str">
            <v>Móng trụ 14 BT Đôi</v>
          </cell>
          <cell r="AO7" t="str">
            <v>Chằng xuống trụ 10,5m</v>
          </cell>
          <cell r="AP7" t="str">
            <v>Chằng lệch trụ 10,5m</v>
          </cell>
          <cell r="AQ7" t="str">
            <v>Chằng xuống trụ trung thế</v>
          </cell>
          <cell r="AR7" t="str">
            <v>Chằng lệch trung thế</v>
          </cell>
          <cell r="AS7" t="str">
            <v>Chằng xuống trụ 14m</v>
          </cell>
          <cell r="AT7" t="str">
            <v>Chằng lệch trụ 14m</v>
          </cell>
          <cell r="AU7" t="str">
            <v>Chằng vượt băng đường</v>
          </cell>
          <cell r="AV7" t="str">
            <v>Móng neo cho chằng xuống</v>
          </cell>
          <cell r="AW7" t="str">
            <v>Móng neo cho chằng lệch</v>
          </cell>
          <cell r="AX7" t="str">
            <v>Móng neo chằng xuống (Lỗ đá)</v>
          </cell>
          <cell r="AY7" t="str">
            <v>Móng neo chằng lệch (Lỗ đá)</v>
          </cell>
          <cell r="AZ7" t="str">
            <v>Tiếp địa lặp lại trụ 10,5m</v>
          </cell>
          <cell r="BA7" t="str">
            <v>Tiếp địa lặp lại trung thế</v>
          </cell>
          <cell r="BB7" t="str">
            <v>Tiếp địa lặp lại trụ 14m</v>
          </cell>
          <cell r="BC7" t="str">
            <v>Tiếp địa lặp lại trụ 20m</v>
          </cell>
          <cell r="BD7" t="str">
            <v>Tiếp địa LA đường dây</v>
          </cell>
          <cell r="BE7" t="str">
            <v>Bộ đà 800 đơn</v>
          </cell>
          <cell r="BF7" t="str">
            <v>Bộ đà 800 kép</v>
          </cell>
          <cell r="BG7" t="str">
            <v>Bộ đà 1660 đơn</v>
          </cell>
          <cell r="BH7" t="str">
            <v>Bộ đà 1660 kép</v>
          </cell>
          <cell r="BI7" t="str">
            <v>Bộ đà 2000 đơn</v>
          </cell>
          <cell r="BJ7" t="str">
            <v>Bộ đà 2000 kép</v>
          </cell>
          <cell r="BK7" t="str">
            <v>Bộ đà 2000 đơn (Lắp đà tháp)</v>
          </cell>
          <cell r="BL7" t="str">
            <v>Bộ đà 2000 kép (Lắp đà tháp)</v>
          </cell>
          <cell r="BM7" t="str">
            <v>Bộ đà 2100 đơn</v>
          </cell>
          <cell r="BN7" t="str">
            <v>Bộ đà 2100 kép</v>
          </cell>
          <cell r="BO7" t="str">
            <v>Bộ đà 2100 đơn (Lắp đà tháp)</v>
          </cell>
          <cell r="BP7" t="str">
            <v>Bộ đà 2100 kép (Lắp đà tháp)</v>
          </cell>
          <cell r="BQ7" t="str">
            <v>Bộ đà 2200 đơn</v>
          </cell>
          <cell r="BR7" t="str">
            <v>Bộ đà 2200 kép</v>
          </cell>
          <cell r="BS7" t="str">
            <v>Bộ đà 2200 kép (trụ ghép)</v>
          </cell>
          <cell r="BT7" t="str">
            <v>Bộ đà tháp U160 đơn</v>
          </cell>
          <cell r="BU7" t="str">
            <v>Bộ đà tháp U160 kép</v>
          </cell>
          <cell r="BV7" t="str">
            <v>Bộ đà composite 2400</v>
          </cell>
          <cell r="BW7" t="str">
            <v>Bộ đà composite 800</v>
          </cell>
          <cell r="BX7" t="str">
            <v>Bộ sứ đỉnh thẳng</v>
          </cell>
          <cell r="BY7" t="str">
            <v>Bộ sứ đỉnh cong</v>
          </cell>
          <cell r="BZ7" t="str">
            <v>Bộ sứ đứng</v>
          </cell>
          <cell r="CA7" t="str">
            <v>Bộ Polyme lắp vào xà (50)</v>
          </cell>
          <cell r="CB7" t="str">
            <v>Dây Buộc sứ đứng gắn 
trên đà vtrí đỡ lèo</v>
          </cell>
          <cell r="CC7" t="str">
            <v>Dây Buộc sứ đứng gắn 
trên đà vtrí đỡ thẳng</v>
          </cell>
          <cell r="CD7" t="str">
            <v>Dây Buộc sứ đứng gắn 
trên đà vtrí góc</v>
          </cell>
          <cell r="CE7" t="str">
            <v>Bộ Polyme lắp vào xà (70)</v>
          </cell>
          <cell r="CF7" t="str">
            <v>Bộ Polyme lắp vào xà (95)</v>
          </cell>
          <cell r="CG7" t="str">
            <v>Bộ Polyme lắp vào xà (120)</v>
          </cell>
          <cell r="CH7" t="str">
            <v>Bộ Polyme lắp vào xà (150)</v>
          </cell>
          <cell r="CI7" t="str">
            <v>Bộ Polyme lắp vào xà (185)</v>
          </cell>
          <cell r="CJ7" t="str">
            <v>Bộ Polyme lắp vào xà (240)</v>
          </cell>
          <cell r="CK7" t="str">
            <v>Bộ Polyme lắp vào trụ (50)</v>
          </cell>
          <cell r="CL7" t="str">
            <v>Bộ Polyme lắp vào trụ (70)</v>
          </cell>
          <cell r="CM7" t="str">
            <v>Bộ Uclevis đỡ dây trung hòa</v>
          </cell>
          <cell r="CN7" t="str">
            <v>Bộ Uclevis hướng trụ ghép</v>
          </cell>
          <cell r="CO7" t="str">
            <v>Bộ Uclevis đỡ dây TH vào xà</v>
          </cell>
          <cell r="CP7" t="str">
            <v>Bộ khóa néo 3U (Dây 50)</v>
          </cell>
          <cell r="CQ7" t="str">
            <v>Bộ khóa néo 3U (Dây 70)</v>
          </cell>
          <cell r="CR7" t="str">
            <v>Bộ khóa néo 5U (Dây 95)</v>
          </cell>
          <cell r="CS7" t="str">
            <v>Bộ khóa néo 5U (Dây 120)</v>
          </cell>
          <cell r="CT7" t="str">
            <v>Kẹp quai 2/0</v>
          </cell>
          <cell r="CU7" t="str">
            <v>Kẹp quai 4/0</v>
          </cell>
          <cell r="CV7" t="str">
            <v>Chụp kẹp quai</v>
          </cell>
          <cell r="CW7" t="str">
            <v>Hotline 2/0</v>
          </cell>
          <cell r="CX7" t="str">
            <v>Hotline 4/0</v>
          </cell>
          <cell r="CY7" t="str">
            <v>Kẹp ép cỡ 50mm2</v>
          </cell>
          <cell r="CZ7" t="str">
            <v>Kẹp ép cỡ 70mm2</v>
          </cell>
          <cell r="DA7" t="str">
            <v>Kẹp ép cỡ 95mm2</v>
          </cell>
          <cell r="DB7" t="str">
            <v>Kẹp ép cỡ 120mm2</v>
          </cell>
          <cell r="DC7" t="str">
            <v>Kẹp ép cỡ 150mm2</v>
          </cell>
          <cell r="DD7" t="str">
            <v>Kẹp ép cỡ 185mm2</v>
          </cell>
          <cell r="DE7" t="str">
            <v>Kẹp ép cỡ 240mm2</v>
          </cell>
          <cell r="DF7" t="str">
            <v>FCO100</v>
          </cell>
          <cell r="DG7" t="str">
            <v>LA 18kV 10kA</v>
          </cell>
          <cell r="DH7" t="str">
            <v>Ống nối dây AC50</v>
          </cell>
          <cell r="DI7" t="str">
            <v>Ống nối dây AC70</v>
          </cell>
          <cell r="DJ7" t="str">
            <v>Ống nối dây AC95</v>
          </cell>
          <cell r="DK7" t="str">
            <v>Ống nối dây AC120</v>
          </cell>
          <cell r="DL7" t="str">
            <v>Ống nối dây AC150</v>
          </cell>
          <cell r="DM7" t="str">
            <v>Ống nối dây AC185</v>
          </cell>
          <cell r="DN7" t="str">
            <v>Ống nối dây AC240</v>
          </cell>
          <cell r="DO7" t="str">
            <v>Ống co nhiệt cách điện D30</v>
          </cell>
          <cell r="DP7" t="str">
            <v>Cáp C/XLPE/PVC 25mm2</v>
          </cell>
          <cell r="DQ7" t="str">
            <v>Cáp C/XLPE/PVC 50mm2</v>
          </cell>
          <cell r="DR7" t="str">
            <v>Đấu hotline 1 pha</v>
          </cell>
          <cell r="DS7" t="str">
            <v>Đấu hotline 3 pha</v>
          </cell>
          <cell r="DT7" t="str">
            <v>Bộ chằng xuống trung thế</v>
          </cell>
          <cell r="DU7" t="str">
            <v>Bộ chằng lệch trung thế</v>
          </cell>
          <cell r="DV7" t="str">
            <v>Bộ chằng vượt trung thế</v>
          </cell>
          <cell r="DW7" t="str">
            <v>Bộ đà composite 0,8m + chống</v>
          </cell>
          <cell r="DX7" t="str">
            <v>Chuỗi polymer</v>
          </cell>
          <cell r="DY7" t="str">
            <v>Bộ sứ thủy tinh 2 bát</v>
          </cell>
          <cell r="DZ7" t="str">
            <v>Trụ BTLT 10,5m</v>
          </cell>
          <cell r="EA7" t="str">
            <v>Cáp C/XLPE/PVC 25mm2</v>
          </cell>
          <cell r="EB7" t="str">
            <v>FCO 100A + chụp</v>
          </cell>
          <cell r="EC7" t="str">
            <v>Boulon mắt 16x250</v>
          </cell>
          <cell r="ED7" t="str">
            <v>Boulon 16x350</v>
          </cell>
          <cell r="EE7" t="str">
            <v>Boulon 16x250</v>
          </cell>
          <cell r="EF7" t="str">
            <v>Boulon 14x150</v>
          </cell>
          <cell r="EG7" t="str">
            <v>Bộ đà lệch 2,1m</v>
          </cell>
          <cell r="EH7" t="str">
            <v>Ty sứ đứng (không bọc chì)</v>
          </cell>
          <cell r="EI7" t="str">
            <v>Ty sứ đỉnh thẳng</v>
          </cell>
          <cell r="EJ7" t="str">
            <v>Ty sứ đỉnh cong</v>
          </cell>
          <cell r="EK7" t="str">
            <v>Sứ đứng (không bọc chì)</v>
          </cell>
          <cell r="EL7" t="str">
            <v>Kẹp quai 2/0</v>
          </cell>
          <cell r="EM7" t="str">
            <v>Hotline 2/0</v>
          </cell>
          <cell r="EN7" t="str">
            <v>Lem yên ngựa</v>
          </cell>
          <cell r="EO7" t="str">
            <v>Bộ khóa néo 3U</v>
          </cell>
          <cell r="EP7" t="str">
            <v>Uclevis</v>
          </cell>
          <cell r="EQ7" t="str">
            <v>Sứ ống chỉ</v>
          </cell>
          <cell r="ER7" t="str">
            <v>Dây AC50mm2</v>
          </cell>
        </row>
        <row r="8">
          <cell r="B8" t="str">
            <v>TT3P</v>
          </cell>
          <cell r="C8" t="str">
            <v>1. Tuyến 1 pha Tân Xuân 6A (xây dựng mới TBA Tân Xuân 6A -75kVA)</v>
          </cell>
          <cell r="AR8" t="str">
            <v/>
          </cell>
        </row>
        <row r="9">
          <cell r="C9" t="str">
            <v>025</v>
          </cell>
          <cell r="E9" t="str">
            <v>2DT</v>
          </cell>
          <cell r="J9">
            <v>0</v>
          </cell>
          <cell r="O9">
            <v>0</v>
          </cell>
          <cell r="AD9">
            <v>0</v>
          </cell>
          <cell r="AF9">
            <v>0</v>
          </cell>
          <cell r="AH9">
            <v>0</v>
          </cell>
          <cell r="AJ9">
            <v>0</v>
          </cell>
          <cell r="AR9">
            <v>1</v>
          </cell>
          <cell r="AV9">
            <v>0</v>
          </cell>
          <cell r="AW9">
            <v>1</v>
          </cell>
          <cell r="AX9">
            <v>0</v>
          </cell>
          <cell r="AY9">
            <v>0</v>
          </cell>
          <cell r="BX9">
            <v>1</v>
          </cell>
          <cell r="CB9">
            <v>0</v>
          </cell>
          <cell r="CC9">
            <v>1</v>
          </cell>
          <cell r="CD9">
            <v>0</v>
          </cell>
          <cell r="CL9">
            <v>1</v>
          </cell>
          <cell r="CM9">
            <v>0</v>
          </cell>
          <cell r="CP9">
            <v>1</v>
          </cell>
          <cell r="CU9">
            <v>1</v>
          </cell>
          <cell r="CV9">
            <v>1</v>
          </cell>
          <cell r="CW9">
            <v>0</v>
          </cell>
          <cell r="CX9">
            <v>1</v>
          </cell>
          <cell r="DH9">
            <v>1</v>
          </cell>
          <cell r="DI9">
            <v>1</v>
          </cell>
          <cell r="DO9">
            <v>1</v>
          </cell>
          <cell r="DR9">
            <v>1</v>
          </cell>
        </row>
        <row r="10">
          <cell r="C10" t="str">
            <v>026</v>
          </cell>
          <cell r="E10" t="str">
            <v>2DT</v>
          </cell>
          <cell r="F10" t="str">
            <v>T</v>
          </cell>
          <cell r="H10">
            <v>50</v>
          </cell>
          <cell r="J10">
            <v>50</v>
          </cell>
          <cell r="O10">
            <v>50</v>
          </cell>
          <cell r="W10">
            <v>2</v>
          </cell>
          <cell r="AD10">
            <v>0</v>
          </cell>
          <cell r="AF10">
            <v>0</v>
          </cell>
          <cell r="AH10">
            <v>1</v>
          </cell>
          <cell r="AJ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BW10">
            <v>1</v>
          </cell>
          <cell r="BX10">
            <v>0</v>
          </cell>
          <cell r="BY10">
            <v>0</v>
          </cell>
          <cell r="CB10">
            <v>0</v>
          </cell>
          <cell r="CC10">
            <v>0</v>
          </cell>
          <cell r="CD10">
            <v>0</v>
          </cell>
          <cell r="CL10">
            <v>2</v>
          </cell>
          <cell r="CM10">
            <v>0</v>
          </cell>
          <cell r="CP10">
            <v>2</v>
          </cell>
          <cell r="CV10">
            <v>0</v>
          </cell>
          <cell r="CW10">
            <v>0</v>
          </cell>
          <cell r="CX10">
            <v>0</v>
          </cell>
          <cell r="DF10">
            <v>1</v>
          </cell>
          <cell r="DH10">
            <v>1</v>
          </cell>
          <cell r="DI10">
            <v>1</v>
          </cell>
          <cell r="DO10">
            <v>1</v>
          </cell>
          <cell r="DQ10">
            <v>1</v>
          </cell>
        </row>
        <row r="11">
          <cell r="C11" t="str">
            <v>027</v>
          </cell>
          <cell r="E11" t="str">
            <v>G</v>
          </cell>
          <cell r="F11" t="str">
            <v>P</v>
          </cell>
          <cell r="H11">
            <v>45</v>
          </cell>
          <cell r="J11">
            <v>45</v>
          </cell>
          <cell r="O11">
            <v>45</v>
          </cell>
          <cell r="W11">
            <v>1</v>
          </cell>
          <cell r="AD11">
            <v>1</v>
          </cell>
          <cell r="AF11">
            <v>0</v>
          </cell>
          <cell r="AH11">
            <v>0</v>
          </cell>
          <cell r="AJ11">
            <v>0</v>
          </cell>
          <cell r="AQ11">
            <v>1</v>
          </cell>
          <cell r="AV11">
            <v>1</v>
          </cell>
          <cell r="AW11">
            <v>0</v>
          </cell>
          <cell r="AX11">
            <v>0</v>
          </cell>
          <cell r="AY11">
            <v>0</v>
          </cell>
          <cell r="BX11">
            <v>0</v>
          </cell>
          <cell r="BY11">
            <v>1</v>
          </cell>
          <cell r="CB11">
            <v>0</v>
          </cell>
          <cell r="CC11">
            <v>0</v>
          </cell>
          <cell r="CD11">
            <v>2</v>
          </cell>
          <cell r="CL11">
            <v>0</v>
          </cell>
          <cell r="CM11">
            <v>1</v>
          </cell>
          <cell r="CP11">
            <v>0</v>
          </cell>
          <cell r="CU11">
            <v>1</v>
          </cell>
          <cell r="CV11">
            <v>1</v>
          </cell>
          <cell r="CW11">
            <v>0</v>
          </cell>
          <cell r="DO11">
            <v>0</v>
          </cell>
        </row>
        <row r="12">
          <cell r="C12" t="str">
            <v>028</v>
          </cell>
          <cell r="E12" t="str">
            <v>G</v>
          </cell>
          <cell r="F12" t="str">
            <v>T</v>
          </cell>
          <cell r="H12">
            <v>45</v>
          </cell>
          <cell r="J12">
            <v>45</v>
          </cell>
          <cell r="O12">
            <v>45</v>
          </cell>
          <cell r="W12">
            <v>1</v>
          </cell>
          <cell r="AD12">
            <v>1</v>
          </cell>
          <cell r="AF12">
            <v>0</v>
          </cell>
          <cell r="AH12">
            <v>0</v>
          </cell>
          <cell r="AJ12">
            <v>0</v>
          </cell>
          <cell r="AR12">
            <v>1</v>
          </cell>
          <cell r="AV12">
            <v>0</v>
          </cell>
          <cell r="AW12">
            <v>1</v>
          </cell>
          <cell r="AX12">
            <v>0</v>
          </cell>
          <cell r="AY12">
            <v>0</v>
          </cell>
          <cell r="BA12">
            <v>1</v>
          </cell>
          <cell r="BX12">
            <v>0</v>
          </cell>
          <cell r="BY12">
            <v>1</v>
          </cell>
          <cell r="CB12">
            <v>0</v>
          </cell>
          <cell r="CC12">
            <v>0</v>
          </cell>
          <cell r="CD12">
            <v>2</v>
          </cell>
          <cell r="CL12">
            <v>0</v>
          </cell>
          <cell r="CM12">
            <v>1</v>
          </cell>
          <cell r="CP12">
            <v>0</v>
          </cell>
          <cell r="CV12">
            <v>0</v>
          </cell>
          <cell r="CW12">
            <v>0</v>
          </cell>
          <cell r="CX12">
            <v>0</v>
          </cell>
          <cell r="DO12">
            <v>0</v>
          </cell>
        </row>
        <row r="13">
          <cell r="C13" t="str">
            <v>029</v>
          </cell>
          <cell r="E13" t="str">
            <v>G</v>
          </cell>
          <cell r="F13" t="str">
            <v>P</v>
          </cell>
          <cell r="H13">
            <v>45</v>
          </cell>
          <cell r="J13">
            <v>45</v>
          </cell>
          <cell r="O13">
            <v>45</v>
          </cell>
          <cell r="W13">
            <v>2</v>
          </cell>
          <cell r="AD13">
            <v>0</v>
          </cell>
          <cell r="AF13">
            <v>0</v>
          </cell>
          <cell r="AH13">
            <v>1</v>
          </cell>
          <cell r="AJ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BX13">
            <v>0</v>
          </cell>
          <cell r="BY13">
            <v>1</v>
          </cell>
          <cell r="CB13">
            <v>0</v>
          </cell>
          <cell r="CC13">
            <v>0</v>
          </cell>
          <cell r="CD13">
            <v>2</v>
          </cell>
          <cell r="CL13">
            <v>0</v>
          </cell>
          <cell r="CM13">
            <v>1</v>
          </cell>
          <cell r="CP13">
            <v>0</v>
          </cell>
          <cell r="CV13">
            <v>0</v>
          </cell>
          <cell r="CW13">
            <v>0</v>
          </cell>
          <cell r="CX13">
            <v>0</v>
          </cell>
          <cell r="DO13">
            <v>0</v>
          </cell>
        </row>
        <row r="14">
          <cell r="C14" t="str">
            <v>030</v>
          </cell>
          <cell r="E14" t="str">
            <v>G</v>
          </cell>
          <cell r="F14" t="str">
            <v>P</v>
          </cell>
          <cell r="H14">
            <v>50</v>
          </cell>
          <cell r="J14">
            <v>50</v>
          </cell>
          <cell r="O14">
            <v>50</v>
          </cell>
          <cell r="W14">
            <v>2</v>
          </cell>
          <cell r="AD14">
            <v>0</v>
          </cell>
          <cell r="AF14">
            <v>0</v>
          </cell>
          <cell r="AH14">
            <v>1</v>
          </cell>
          <cell r="AJ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BX14">
            <v>0</v>
          </cell>
          <cell r="BY14">
            <v>1</v>
          </cell>
          <cell r="CB14">
            <v>0</v>
          </cell>
          <cell r="CC14">
            <v>0</v>
          </cell>
          <cell r="CD14">
            <v>2</v>
          </cell>
          <cell r="CL14">
            <v>0</v>
          </cell>
          <cell r="CM14">
            <v>1</v>
          </cell>
          <cell r="CP14">
            <v>0</v>
          </cell>
          <cell r="CV14">
            <v>0</v>
          </cell>
          <cell r="CW14">
            <v>0</v>
          </cell>
          <cell r="CX14">
            <v>0</v>
          </cell>
          <cell r="DO14">
            <v>0</v>
          </cell>
        </row>
        <row r="15">
          <cell r="C15" t="str">
            <v>031</v>
          </cell>
          <cell r="E15" t="str">
            <v>G</v>
          </cell>
          <cell r="F15" t="str">
            <v>T</v>
          </cell>
          <cell r="H15">
            <v>40</v>
          </cell>
          <cell r="J15">
            <v>40</v>
          </cell>
          <cell r="O15">
            <v>40</v>
          </cell>
          <cell r="W15">
            <v>1</v>
          </cell>
          <cell r="AD15">
            <v>1</v>
          </cell>
          <cell r="AF15">
            <v>0</v>
          </cell>
          <cell r="AH15">
            <v>0</v>
          </cell>
          <cell r="AJ15">
            <v>0</v>
          </cell>
          <cell r="AR15">
            <v>1</v>
          </cell>
          <cell r="AV15">
            <v>0</v>
          </cell>
          <cell r="AW15">
            <v>1</v>
          </cell>
          <cell r="AX15">
            <v>0</v>
          </cell>
          <cell r="AY15">
            <v>0</v>
          </cell>
          <cell r="BX15">
            <v>0</v>
          </cell>
          <cell r="BY15">
            <v>1</v>
          </cell>
          <cell r="CB15">
            <v>0</v>
          </cell>
          <cell r="CC15">
            <v>0</v>
          </cell>
          <cell r="CD15">
            <v>2</v>
          </cell>
          <cell r="CL15">
            <v>0</v>
          </cell>
          <cell r="CM15">
            <v>1</v>
          </cell>
          <cell r="CP15">
            <v>0</v>
          </cell>
          <cell r="CV15">
            <v>0</v>
          </cell>
          <cell r="CW15">
            <v>0</v>
          </cell>
          <cell r="CX15">
            <v>0</v>
          </cell>
          <cell r="DO15">
            <v>0</v>
          </cell>
        </row>
        <row r="16">
          <cell r="C16" t="str">
            <v>032</v>
          </cell>
          <cell r="E16" t="str">
            <v>2DT</v>
          </cell>
          <cell r="F16" t="str">
            <v>P</v>
          </cell>
          <cell r="H16">
            <v>45</v>
          </cell>
          <cell r="J16">
            <v>45</v>
          </cell>
          <cell r="O16">
            <v>45</v>
          </cell>
          <cell r="W16">
            <v>2</v>
          </cell>
          <cell r="AD16">
            <v>0</v>
          </cell>
          <cell r="AF16">
            <v>0</v>
          </cell>
          <cell r="AH16">
            <v>1</v>
          </cell>
          <cell r="AJ16">
            <v>0</v>
          </cell>
          <cell r="AQ16">
            <v>1</v>
          </cell>
          <cell r="AV16">
            <v>1</v>
          </cell>
          <cell r="AW16">
            <v>0</v>
          </cell>
          <cell r="AX16">
            <v>0</v>
          </cell>
          <cell r="AY16">
            <v>0</v>
          </cell>
          <cell r="BX16">
            <v>1</v>
          </cell>
          <cell r="BY16">
            <v>0</v>
          </cell>
          <cell r="CB16">
            <v>0</v>
          </cell>
          <cell r="CC16">
            <v>1</v>
          </cell>
          <cell r="CD16">
            <v>0</v>
          </cell>
          <cell r="CL16">
            <v>2</v>
          </cell>
          <cell r="CM16">
            <v>0</v>
          </cell>
          <cell r="CP16">
            <v>2</v>
          </cell>
          <cell r="CV16">
            <v>0</v>
          </cell>
          <cell r="CW16">
            <v>0</v>
          </cell>
          <cell r="CX16">
            <v>0</v>
          </cell>
          <cell r="DH16">
            <v>0.5</v>
          </cell>
          <cell r="DI16">
            <v>0.5</v>
          </cell>
          <cell r="DO16">
            <v>0.5</v>
          </cell>
        </row>
        <row r="17">
          <cell r="C17" t="str">
            <v>033</v>
          </cell>
          <cell r="E17" t="str">
            <v>I</v>
          </cell>
          <cell r="H17">
            <v>45</v>
          </cell>
          <cell r="J17">
            <v>45</v>
          </cell>
          <cell r="O17">
            <v>45</v>
          </cell>
          <cell r="W17">
            <v>1</v>
          </cell>
          <cell r="AD17">
            <v>1</v>
          </cell>
          <cell r="AF17">
            <v>0</v>
          </cell>
          <cell r="AH17">
            <v>0</v>
          </cell>
          <cell r="AJ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BX17">
            <v>1</v>
          </cell>
          <cell r="BY17">
            <v>0</v>
          </cell>
          <cell r="CB17">
            <v>0</v>
          </cell>
          <cell r="CC17">
            <v>1</v>
          </cell>
          <cell r="CD17">
            <v>0</v>
          </cell>
          <cell r="CL17">
            <v>0</v>
          </cell>
          <cell r="CM17">
            <v>1</v>
          </cell>
          <cell r="CP17">
            <v>0</v>
          </cell>
          <cell r="CV17">
            <v>0</v>
          </cell>
          <cell r="CW17">
            <v>0</v>
          </cell>
          <cell r="CX17">
            <v>0</v>
          </cell>
          <cell r="DO17">
            <v>0</v>
          </cell>
        </row>
        <row r="18">
          <cell r="C18" t="str">
            <v>034</v>
          </cell>
          <cell r="E18" t="str">
            <v>G</v>
          </cell>
          <cell r="F18" t="str">
            <v>T</v>
          </cell>
          <cell r="H18">
            <v>45</v>
          </cell>
          <cell r="J18">
            <v>45</v>
          </cell>
          <cell r="O18">
            <v>45</v>
          </cell>
          <cell r="W18">
            <v>1</v>
          </cell>
          <cell r="AD18">
            <v>1</v>
          </cell>
          <cell r="AF18">
            <v>0</v>
          </cell>
          <cell r="AH18">
            <v>0</v>
          </cell>
          <cell r="AJ18">
            <v>0</v>
          </cell>
          <cell r="AQ18">
            <v>1</v>
          </cell>
          <cell r="AV18">
            <v>1</v>
          </cell>
          <cell r="AW18">
            <v>0</v>
          </cell>
          <cell r="AX18">
            <v>0</v>
          </cell>
          <cell r="AY18">
            <v>0</v>
          </cell>
          <cell r="BA18">
            <v>1</v>
          </cell>
          <cell r="BX18">
            <v>0</v>
          </cell>
          <cell r="BY18">
            <v>1</v>
          </cell>
          <cell r="CB18">
            <v>0</v>
          </cell>
          <cell r="CC18">
            <v>0</v>
          </cell>
          <cell r="CD18">
            <v>2</v>
          </cell>
          <cell r="CL18">
            <v>0</v>
          </cell>
          <cell r="CM18">
            <v>1</v>
          </cell>
          <cell r="CP18">
            <v>0</v>
          </cell>
          <cell r="CV18">
            <v>0</v>
          </cell>
          <cell r="CW18">
            <v>0</v>
          </cell>
          <cell r="CX18">
            <v>0</v>
          </cell>
          <cell r="DO18">
            <v>0</v>
          </cell>
        </row>
        <row r="19">
          <cell r="C19" t="str">
            <v>035</v>
          </cell>
          <cell r="E19" t="str">
            <v>G</v>
          </cell>
          <cell r="F19" t="str">
            <v>P</v>
          </cell>
          <cell r="H19">
            <v>45</v>
          </cell>
          <cell r="J19">
            <v>45</v>
          </cell>
          <cell r="O19">
            <v>45</v>
          </cell>
          <cell r="W19">
            <v>2</v>
          </cell>
          <cell r="AD19">
            <v>0</v>
          </cell>
          <cell r="AF19">
            <v>0</v>
          </cell>
          <cell r="AH19">
            <v>1</v>
          </cell>
          <cell r="AJ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BX19">
            <v>0</v>
          </cell>
          <cell r="BY19">
            <v>1</v>
          </cell>
          <cell r="CB19">
            <v>0</v>
          </cell>
          <cell r="CC19">
            <v>0</v>
          </cell>
          <cell r="CD19">
            <v>2</v>
          </cell>
          <cell r="CL19">
            <v>0</v>
          </cell>
          <cell r="CM19">
            <v>1</v>
          </cell>
          <cell r="CP19">
            <v>0</v>
          </cell>
          <cell r="CV19">
            <v>0</v>
          </cell>
          <cell r="CW19">
            <v>0</v>
          </cell>
          <cell r="CX19">
            <v>0</v>
          </cell>
          <cell r="DO19">
            <v>0</v>
          </cell>
        </row>
        <row r="20">
          <cell r="C20" t="str">
            <v>036</v>
          </cell>
          <cell r="E20" t="str">
            <v>G</v>
          </cell>
          <cell r="F20" t="str">
            <v>P</v>
          </cell>
          <cell r="H20">
            <v>45</v>
          </cell>
          <cell r="J20">
            <v>45</v>
          </cell>
          <cell r="O20">
            <v>45</v>
          </cell>
          <cell r="W20">
            <v>2</v>
          </cell>
          <cell r="AD20">
            <v>0</v>
          </cell>
          <cell r="AF20">
            <v>0</v>
          </cell>
          <cell r="AH20">
            <v>1</v>
          </cell>
          <cell r="AJ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BX20">
            <v>0</v>
          </cell>
          <cell r="BY20">
            <v>1</v>
          </cell>
          <cell r="CB20">
            <v>0</v>
          </cell>
          <cell r="CC20">
            <v>0</v>
          </cell>
          <cell r="CD20">
            <v>2</v>
          </cell>
          <cell r="CL20">
            <v>0</v>
          </cell>
          <cell r="CM20">
            <v>1</v>
          </cell>
          <cell r="CP20">
            <v>0</v>
          </cell>
          <cell r="CV20">
            <v>0</v>
          </cell>
          <cell r="CW20">
            <v>0</v>
          </cell>
          <cell r="CX20">
            <v>0</v>
          </cell>
          <cell r="DO20">
            <v>0</v>
          </cell>
        </row>
        <row r="21">
          <cell r="C21" t="str">
            <v>037</v>
          </cell>
          <cell r="E21" t="str">
            <v>DT</v>
          </cell>
          <cell r="H21">
            <v>50</v>
          </cell>
          <cell r="J21">
            <v>50</v>
          </cell>
          <cell r="O21">
            <v>50</v>
          </cell>
          <cell r="W21">
            <v>1</v>
          </cell>
          <cell r="AF21">
            <v>0</v>
          </cell>
          <cell r="AG21">
            <v>1</v>
          </cell>
          <cell r="AH21">
            <v>0</v>
          </cell>
          <cell r="AJ21">
            <v>0</v>
          </cell>
          <cell r="AQ21">
            <v>1</v>
          </cell>
          <cell r="AV21">
            <v>1</v>
          </cell>
          <cell r="AW21">
            <v>0</v>
          </cell>
          <cell r="AX21">
            <v>0</v>
          </cell>
          <cell r="AY21">
            <v>0</v>
          </cell>
          <cell r="BX21">
            <v>0</v>
          </cell>
          <cell r="CB21">
            <v>0</v>
          </cell>
          <cell r="CC21">
            <v>0</v>
          </cell>
          <cell r="CD21">
            <v>0</v>
          </cell>
          <cell r="CL21">
            <v>1</v>
          </cell>
          <cell r="CM21">
            <v>0</v>
          </cell>
          <cell r="CP21">
            <v>1</v>
          </cell>
          <cell r="CV21">
            <v>0</v>
          </cell>
          <cell r="CW21">
            <v>0</v>
          </cell>
          <cell r="CX21">
            <v>0</v>
          </cell>
          <cell r="DO21">
            <v>0</v>
          </cell>
        </row>
        <row r="22">
          <cell r="C22" t="str">
            <v>Cộng 1:</v>
          </cell>
          <cell r="E22">
            <v>0</v>
          </cell>
          <cell r="F22">
            <v>0</v>
          </cell>
          <cell r="G22">
            <v>0</v>
          </cell>
          <cell r="H22">
            <v>550</v>
          </cell>
          <cell r="I22">
            <v>0</v>
          </cell>
          <cell r="J22">
            <v>550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550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18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5</v>
          </cell>
          <cell r="AE22">
            <v>0</v>
          </cell>
          <cell r="AF22">
            <v>0</v>
          </cell>
          <cell r="AG22">
            <v>1</v>
          </cell>
          <cell r="AH22">
            <v>6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4</v>
          </cell>
          <cell r="AR22">
            <v>3</v>
          </cell>
          <cell r="AS22">
            <v>0</v>
          </cell>
          <cell r="AT22">
            <v>0</v>
          </cell>
          <cell r="AU22">
            <v>0</v>
          </cell>
          <cell r="AV22">
            <v>4</v>
          </cell>
          <cell r="AW22">
            <v>3</v>
          </cell>
          <cell r="AX22">
            <v>0</v>
          </cell>
          <cell r="AY22">
            <v>0</v>
          </cell>
          <cell r="AZ22">
            <v>0</v>
          </cell>
          <cell r="BA22">
            <v>2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1</v>
          </cell>
          <cell r="BX22">
            <v>3</v>
          </cell>
          <cell r="BY22">
            <v>8</v>
          </cell>
          <cell r="BZ22">
            <v>0</v>
          </cell>
          <cell r="CA22">
            <v>0</v>
          </cell>
          <cell r="CB22">
            <v>0</v>
          </cell>
          <cell r="CC22">
            <v>3</v>
          </cell>
          <cell r="CD22">
            <v>16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6</v>
          </cell>
          <cell r="CM22">
            <v>9</v>
          </cell>
          <cell r="CN22">
            <v>0</v>
          </cell>
          <cell r="CO22">
            <v>0</v>
          </cell>
          <cell r="CP22">
            <v>6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2</v>
          </cell>
          <cell r="CV22">
            <v>2</v>
          </cell>
          <cell r="CW22">
            <v>0</v>
          </cell>
          <cell r="CX22">
            <v>1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1</v>
          </cell>
          <cell r="DG22">
            <v>0</v>
          </cell>
          <cell r="DH22">
            <v>2.5</v>
          </cell>
          <cell r="DI22">
            <v>2.5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2.5</v>
          </cell>
          <cell r="DP22">
            <v>0</v>
          </cell>
          <cell r="DQ22">
            <v>1</v>
          </cell>
          <cell r="DR22">
            <v>1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</row>
        <row r="24">
          <cell r="B24" t="str">
            <v>TT3P</v>
          </cell>
          <cell r="C24" t="str">
            <v>2. Tuyến 3 pha Tân Xuân 7; Tân Xuân 7A (xây dựng mới TBA Tân Xuân 7B - 3x50kVA; Nâng cấp  Tân Xuân 7 từ 100kVA -&gt;100+2x50kVA; Tân Xuân 7A từ 75kVA-&gt; 75+2x50kVA)</v>
          </cell>
        </row>
        <row r="25">
          <cell r="C25" t="str">
            <v>024</v>
          </cell>
          <cell r="E25" t="str">
            <v>3DT</v>
          </cell>
          <cell r="AD25">
            <v>0</v>
          </cell>
          <cell r="AF25">
            <v>0</v>
          </cell>
          <cell r="AH25">
            <v>0</v>
          </cell>
          <cell r="AJ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BG25">
            <v>0</v>
          </cell>
          <cell r="BH25">
            <v>0</v>
          </cell>
          <cell r="BX25">
            <v>0</v>
          </cell>
          <cell r="BY25">
            <v>0</v>
          </cell>
          <cell r="BZ25">
            <v>4</v>
          </cell>
          <cell r="CB25">
            <v>4</v>
          </cell>
          <cell r="CC25">
            <v>0</v>
          </cell>
          <cell r="CD25">
            <v>0</v>
          </cell>
          <cell r="CE25">
            <v>3</v>
          </cell>
          <cell r="CM25">
            <v>0</v>
          </cell>
          <cell r="CP25">
            <v>1</v>
          </cell>
          <cell r="CT25">
            <v>3</v>
          </cell>
          <cell r="CV25">
            <v>3</v>
          </cell>
          <cell r="CW25">
            <v>3</v>
          </cell>
          <cell r="CX25">
            <v>0</v>
          </cell>
          <cell r="CY25">
            <v>2</v>
          </cell>
          <cell r="DI25">
            <v>1.5</v>
          </cell>
          <cell r="DO25">
            <v>1.5</v>
          </cell>
          <cell r="DQ25">
            <v>1</v>
          </cell>
          <cell r="DS25">
            <v>1</v>
          </cell>
        </row>
        <row r="26">
          <cell r="C26" t="str">
            <v>001</v>
          </cell>
          <cell r="E26" t="str">
            <v>2DT</v>
          </cell>
          <cell r="H26">
            <v>45</v>
          </cell>
          <cell r="J26">
            <v>135</v>
          </cell>
          <cell r="O26">
            <v>45</v>
          </cell>
          <cell r="W26">
            <v>2</v>
          </cell>
          <cell r="AD26">
            <v>0</v>
          </cell>
          <cell r="AF26">
            <v>0</v>
          </cell>
          <cell r="AH26">
            <v>1</v>
          </cell>
          <cell r="AJ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BA26">
            <v>1</v>
          </cell>
          <cell r="BG26">
            <v>0</v>
          </cell>
          <cell r="BH26">
            <v>0</v>
          </cell>
          <cell r="BS26">
            <v>1</v>
          </cell>
          <cell r="BV26">
            <v>1</v>
          </cell>
          <cell r="BX26">
            <v>0</v>
          </cell>
          <cell r="BY26">
            <v>0</v>
          </cell>
          <cell r="BZ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6</v>
          </cell>
          <cell r="CM26">
            <v>0</v>
          </cell>
          <cell r="CP26">
            <v>2</v>
          </cell>
          <cell r="CV26">
            <v>0</v>
          </cell>
          <cell r="CW26">
            <v>0</v>
          </cell>
          <cell r="CX26">
            <v>0</v>
          </cell>
          <cell r="DF26">
            <v>3</v>
          </cell>
          <cell r="DI26">
            <v>3</v>
          </cell>
          <cell r="DO26">
            <v>3</v>
          </cell>
          <cell r="DQ26">
            <v>3</v>
          </cell>
        </row>
        <row r="27">
          <cell r="C27" t="str">
            <v>002</v>
          </cell>
          <cell r="E27" t="str">
            <v>G</v>
          </cell>
          <cell r="H27">
            <v>45</v>
          </cell>
          <cell r="J27">
            <v>135</v>
          </cell>
          <cell r="O27">
            <v>45</v>
          </cell>
          <cell r="W27">
            <v>2</v>
          </cell>
          <cell r="AD27">
            <v>0</v>
          </cell>
          <cell r="AF27">
            <v>0</v>
          </cell>
          <cell r="AH27">
            <v>1</v>
          </cell>
          <cell r="AJ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BG27">
            <v>0</v>
          </cell>
          <cell r="BH27">
            <v>1</v>
          </cell>
          <cell r="BX27">
            <v>0</v>
          </cell>
          <cell r="BY27">
            <v>1</v>
          </cell>
          <cell r="BZ27">
            <v>4</v>
          </cell>
          <cell r="CB27">
            <v>0</v>
          </cell>
          <cell r="CC27">
            <v>0</v>
          </cell>
          <cell r="CD27">
            <v>6</v>
          </cell>
          <cell r="CE27">
            <v>0</v>
          </cell>
          <cell r="CM27">
            <v>1</v>
          </cell>
          <cell r="CP27">
            <v>0</v>
          </cell>
          <cell r="CU27">
            <v>3</v>
          </cell>
          <cell r="CV27">
            <v>3</v>
          </cell>
          <cell r="CW27">
            <v>0</v>
          </cell>
        </row>
        <row r="28">
          <cell r="C28" t="str">
            <v>003</v>
          </cell>
          <cell r="E28" t="str">
            <v>G</v>
          </cell>
          <cell r="H28">
            <v>45</v>
          </cell>
          <cell r="J28">
            <v>135</v>
          </cell>
          <cell r="O28">
            <v>45</v>
          </cell>
          <cell r="W28">
            <v>2</v>
          </cell>
          <cell r="AD28">
            <v>0</v>
          </cell>
          <cell r="AF28">
            <v>0</v>
          </cell>
          <cell r="AH28">
            <v>1</v>
          </cell>
          <cell r="AJ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BG28">
            <v>0</v>
          </cell>
          <cell r="BH28">
            <v>1</v>
          </cell>
          <cell r="BX28">
            <v>0</v>
          </cell>
          <cell r="BY28">
            <v>1</v>
          </cell>
          <cell r="BZ28">
            <v>4</v>
          </cell>
          <cell r="CB28">
            <v>0</v>
          </cell>
          <cell r="CC28">
            <v>0</v>
          </cell>
          <cell r="CD28">
            <v>6</v>
          </cell>
          <cell r="CE28">
            <v>0</v>
          </cell>
          <cell r="CM28">
            <v>1</v>
          </cell>
          <cell r="CP28">
            <v>0</v>
          </cell>
          <cell r="CV28">
            <v>0</v>
          </cell>
          <cell r="CW28">
            <v>0</v>
          </cell>
          <cell r="CX28">
            <v>0</v>
          </cell>
        </row>
        <row r="29">
          <cell r="C29" t="str">
            <v>004</v>
          </cell>
          <cell r="E29" t="str">
            <v>G</v>
          </cell>
          <cell r="H29">
            <v>55</v>
          </cell>
          <cell r="J29">
            <v>165</v>
          </cell>
          <cell r="O29">
            <v>55</v>
          </cell>
          <cell r="W29">
            <v>2</v>
          </cell>
          <cell r="AD29">
            <v>0</v>
          </cell>
          <cell r="AF29">
            <v>0</v>
          </cell>
          <cell r="AH29">
            <v>1</v>
          </cell>
          <cell r="AJ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BG29">
            <v>0</v>
          </cell>
          <cell r="BH29">
            <v>1</v>
          </cell>
          <cell r="BX29">
            <v>0</v>
          </cell>
          <cell r="BY29">
            <v>1</v>
          </cell>
          <cell r="BZ29">
            <v>4</v>
          </cell>
          <cell r="CB29">
            <v>0</v>
          </cell>
          <cell r="CC29">
            <v>0</v>
          </cell>
          <cell r="CD29">
            <v>6</v>
          </cell>
          <cell r="CE29">
            <v>0</v>
          </cell>
          <cell r="CM29">
            <v>1</v>
          </cell>
          <cell r="CP29">
            <v>0</v>
          </cell>
          <cell r="CV29">
            <v>0</v>
          </cell>
          <cell r="CW29">
            <v>0</v>
          </cell>
          <cell r="CX29">
            <v>0</v>
          </cell>
        </row>
        <row r="30">
          <cell r="C30" t="str">
            <v>005</v>
          </cell>
          <cell r="E30" t="str">
            <v>G</v>
          </cell>
          <cell r="H30">
            <v>45</v>
          </cell>
          <cell r="J30">
            <v>135</v>
          </cell>
          <cell r="O30">
            <v>45</v>
          </cell>
          <cell r="W30">
            <v>2</v>
          </cell>
          <cell r="AD30">
            <v>0</v>
          </cell>
          <cell r="AF30">
            <v>0</v>
          </cell>
          <cell r="AH30">
            <v>1</v>
          </cell>
          <cell r="AJ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BG30">
            <v>0</v>
          </cell>
          <cell r="BH30">
            <v>1</v>
          </cell>
          <cell r="BX30">
            <v>0</v>
          </cell>
          <cell r="BY30">
            <v>1</v>
          </cell>
          <cell r="BZ30">
            <v>4</v>
          </cell>
          <cell r="CB30">
            <v>0</v>
          </cell>
          <cell r="CC30">
            <v>0</v>
          </cell>
          <cell r="CD30">
            <v>6</v>
          </cell>
          <cell r="CE30">
            <v>0</v>
          </cell>
          <cell r="CM30">
            <v>1</v>
          </cell>
          <cell r="CP30">
            <v>0</v>
          </cell>
          <cell r="CV30">
            <v>0</v>
          </cell>
          <cell r="CW30">
            <v>0</v>
          </cell>
          <cell r="CX30">
            <v>0</v>
          </cell>
        </row>
        <row r="31">
          <cell r="C31" t="str">
            <v>006</v>
          </cell>
          <cell r="E31" t="str">
            <v>G</v>
          </cell>
          <cell r="H31">
            <v>50</v>
          </cell>
          <cell r="J31">
            <v>150</v>
          </cell>
          <cell r="O31">
            <v>50</v>
          </cell>
          <cell r="W31">
            <v>1</v>
          </cell>
          <cell r="AD31">
            <v>1</v>
          </cell>
          <cell r="AF31">
            <v>0</v>
          </cell>
          <cell r="AH31">
            <v>0</v>
          </cell>
          <cell r="AJ31">
            <v>0</v>
          </cell>
          <cell r="AQ31">
            <v>1</v>
          </cell>
          <cell r="AV31">
            <v>1</v>
          </cell>
          <cell r="AW31">
            <v>0</v>
          </cell>
          <cell r="AX31">
            <v>0</v>
          </cell>
          <cell r="AY31">
            <v>0</v>
          </cell>
          <cell r="BA31">
            <v>1</v>
          </cell>
          <cell r="BG31">
            <v>0</v>
          </cell>
          <cell r="BH31">
            <v>1</v>
          </cell>
          <cell r="BX31">
            <v>0</v>
          </cell>
          <cell r="BY31">
            <v>1</v>
          </cell>
          <cell r="BZ31">
            <v>4</v>
          </cell>
          <cell r="CB31">
            <v>0</v>
          </cell>
          <cell r="CC31">
            <v>0</v>
          </cell>
          <cell r="CD31">
            <v>6</v>
          </cell>
          <cell r="CE31">
            <v>0</v>
          </cell>
          <cell r="CM31">
            <v>1</v>
          </cell>
          <cell r="CP31">
            <v>0</v>
          </cell>
          <cell r="CV31">
            <v>0</v>
          </cell>
          <cell r="CW31">
            <v>0</v>
          </cell>
          <cell r="CX31">
            <v>0</v>
          </cell>
        </row>
        <row r="32">
          <cell r="C32" t="str">
            <v>007</v>
          </cell>
          <cell r="E32" t="str">
            <v>2DT</v>
          </cell>
          <cell r="H32">
            <v>50</v>
          </cell>
          <cell r="J32">
            <v>150</v>
          </cell>
          <cell r="O32">
            <v>50</v>
          </cell>
          <cell r="W32">
            <v>1</v>
          </cell>
          <cell r="AD32">
            <v>1</v>
          </cell>
          <cell r="AF32">
            <v>0</v>
          </cell>
          <cell r="AH32">
            <v>0</v>
          </cell>
          <cell r="AJ32">
            <v>0</v>
          </cell>
          <cell r="AQ32">
            <v>2</v>
          </cell>
          <cell r="AV32">
            <v>2</v>
          </cell>
          <cell r="AW32">
            <v>0</v>
          </cell>
          <cell r="AX32">
            <v>0</v>
          </cell>
          <cell r="AY32">
            <v>0</v>
          </cell>
          <cell r="BG32">
            <v>0</v>
          </cell>
          <cell r="BH32">
            <v>0</v>
          </cell>
          <cell r="BR32">
            <v>2</v>
          </cell>
          <cell r="BX32">
            <v>0</v>
          </cell>
          <cell r="BY32">
            <v>0</v>
          </cell>
          <cell r="BZ32">
            <v>5</v>
          </cell>
          <cell r="CB32">
            <v>5</v>
          </cell>
          <cell r="CC32">
            <v>0</v>
          </cell>
          <cell r="CD32">
            <v>0</v>
          </cell>
          <cell r="CE32">
            <v>6</v>
          </cell>
          <cell r="CM32">
            <v>0</v>
          </cell>
          <cell r="CP32">
            <v>2</v>
          </cell>
          <cell r="CV32">
            <v>0</v>
          </cell>
          <cell r="CW32">
            <v>0</v>
          </cell>
          <cell r="CX32">
            <v>0</v>
          </cell>
          <cell r="DH32">
            <v>0.5</v>
          </cell>
          <cell r="DI32">
            <v>1.5</v>
          </cell>
        </row>
        <row r="33">
          <cell r="C33" t="str">
            <v>008</v>
          </cell>
          <cell r="E33" t="str">
            <v>DT</v>
          </cell>
          <cell r="H33">
            <v>50</v>
          </cell>
          <cell r="J33">
            <v>150</v>
          </cell>
          <cell r="O33">
            <v>50</v>
          </cell>
          <cell r="W33">
            <v>1</v>
          </cell>
          <cell r="AF33">
            <v>0</v>
          </cell>
          <cell r="AG33">
            <v>1</v>
          </cell>
          <cell r="AH33">
            <v>0</v>
          </cell>
          <cell r="AJ33">
            <v>0</v>
          </cell>
          <cell r="AQ33">
            <v>1</v>
          </cell>
          <cell r="AV33">
            <v>1</v>
          </cell>
          <cell r="AW33">
            <v>0</v>
          </cell>
          <cell r="AX33">
            <v>0</v>
          </cell>
          <cell r="AY33">
            <v>0</v>
          </cell>
          <cell r="BG33">
            <v>0</v>
          </cell>
          <cell r="BH33">
            <v>0</v>
          </cell>
          <cell r="BR33">
            <v>1</v>
          </cell>
          <cell r="BX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3</v>
          </cell>
          <cell r="CM33">
            <v>0</v>
          </cell>
          <cell r="CP33">
            <v>1</v>
          </cell>
          <cell r="CV33">
            <v>0</v>
          </cell>
          <cell r="CW33">
            <v>0</v>
          </cell>
          <cell r="CX33">
            <v>0</v>
          </cell>
        </row>
        <row r="34">
          <cell r="C34" t="str">
            <v>028</v>
          </cell>
          <cell r="E34" t="str">
            <v>2DT</v>
          </cell>
          <cell r="J34">
            <v>0</v>
          </cell>
          <cell r="O34">
            <v>0</v>
          </cell>
          <cell r="AD34">
            <v>0</v>
          </cell>
          <cell r="AF34">
            <v>0</v>
          </cell>
          <cell r="AH34">
            <v>0</v>
          </cell>
          <cell r="AJ34">
            <v>0</v>
          </cell>
          <cell r="AQ34">
            <v>1</v>
          </cell>
          <cell r="AV34">
            <v>1</v>
          </cell>
          <cell r="AW34">
            <v>0</v>
          </cell>
          <cell r="AX34">
            <v>0</v>
          </cell>
          <cell r="AY34">
            <v>0</v>
          </cell>
          <cell r="BG34">
            <v>0</v>
          </cell>
          <cell r="BH34">
            <v>0</v>
          </cell>
          <cell r="BV34">
            <v>1</v>
          </cell>
          <cell r="BX34">
            <v>0</v>
          </cell>
          <cell r="BY34">
            <v>0</v>
          </cell>
          <cell r="BZ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3</v>
          </cell>
          <cell r="CM34">
            <v>0</v>
          </cell>
          <cell r="CP34">
            <v>1</v>
          </cell>
          <cell r="CV34">
            <v>0</v>
          </cell>
          <cell r="CW34">
            <v>0</v>
          </cell>
          <cell r="CX34">
            <v>0</v>
          </cell>
          <cell r="DF34">
            <v>3</v>
          </cell>
          <cell r="DH34">
            <v>1</v>
          </cell>
          <cell r="DI34">
            <v>4.5</v>
          </cell>
          <cell r="DO34">
            <v>4.5</v>
          </cell>
          <cell r="DQ34">
            <v>4.5</v>
          </cell>
          <cell r="DS34">
            <v>1</v>
          </cell>
        </row>
        <row r="35">
          <cell r="C35" t="str">
            <v>029</v>
          </cell>
          <cell r="E35" t="str">
            <v>G</v>
          </cell>
          <cell r="H35">
            <v>45</v>
          </cell>
          <cell r="J35">
            <v>135</v>
          </cell>
          <cell r="O35">
            <v>45</v>
          </cell>
          <cell r="W35">
            <v>1</v>
          </cell>
          <cell r="AD35">
            <v>1</v>
          </cell>
          <cell r="AF35">
            <v>0</v>
          </cell>
          <cell r="AH35">
            <v>0</v>
          </cell>
          <cell r="AJ35">
            <v>0</v>
          </cell>
          <cell r="AR35">
            <v>1</v>
          </cell>
          <cell r="AV35">
            <v>0</v>
          </cell>
          <cell r="AW35">
            <v>1</v>
          </cell>
          <cell r="AX35">
            <v>0</v>
          </cell>
          <cell r="AY35">
            <v>0</v>
          </cell>
          <cell r="BG35">
            <v>0</v>
          </cell>
          <cell r="BH35">
            <v>1</v>
          </cell>
          <cell r="BX35">
            <v>0</v>
          </cell>
          <cell r="BY35">
            <v>1</v>
          </cell>
          <cell r="BZ35">
            <v>4</v>
          </cell>
          <cell r="CB35">
            <v>0</v>
          </cell>
          <cell r="CC35">
            <v>0</v>
          </cell>
          <cell r="CD35">
            <v>6</v>
          </cell>
          <cell r="CE35">
            <v>0</v>
          </cell>
          <cell r="CM35">
            <v>1</v>
          </cell>
          <cell r="CP35">
            <v>0</v>
          </cell>
          <cell r="CV35">
            <v>0</v>
          </cell>
          <cell r="CW35">
            <v>0</v>
          </cell>
          <cell r="CX35">
            <v>0</v>
          </cell>
        </row>
        <row r="36">
          <cell r="C36" t="str">
            <v>030</v>
          </cell>
          <cell r="E36" t="str">
            <v>G</v>
          </cell>
          <cell r="H36">
            <v>45</v>
          </cell>
          <cell r="J36">
            <v>135</v>
          </cell>
          <cell r="O36">
            <v>45</v>
          </cell>
          <cell r="W36">
            <v>1</v>
          </cell>
          <cell r="AD36">
            <v>1</v>
          </cell>
          <cell r="AF36">
            <v>0</v>
          </cell>
          <cell r="AH36">
            <v>0</v>
          </cell>
          <cell r="AJ36">
            <v>0</v>
          </cell>
          <cell r="AQ36">
            <v>1</v>
          </cell>
          <cell r="AV36">
            <v>1</v>
          </cell>
          <cell r="AW36">
            <v>0</v>
          </cell>
          <cell r="AX36">
            <v>0</v>
          </cell>
          <cell r="AY36">
            <v>0</v>
          </cell>
          <cell r="BA36">
            <v>1</v>
          </cell>
          <cell r="BG36">
            <v>0</v>
          </cell>
          <cell r="BH36">
            <v>1</v>
          </cell>
          <cell r="BX36">
            <v>0</v>
          </cell>
          <cell r="BY36">
            <v>1</v>
          </cell>
          <cell r="BZ36">
            <v>4</v>
          </cell>
          <cell r="CB36">
            <v>0</v>
          </cell>
          <cell r="CC36">
            <v>0</v>
          </cell>
          <cell r="CD36">
            <v>6</v>
          </cell>
          <cell r="CE36">
            <v>0</v>
          </cell>
          <cell r="CM36">
            <v>1</v>
          </cell>
          <cell r="CP36">
            <v>0</v>
          </cell>
          <cell r="CV36">
            <v>0</v>
          </cell>
          <cell r="CW36">
            <v>0</v>
          </cell>
          <cell r="CX36">
            <v>0</v>
          </cell>
        </row>
        <row r="37">
          <cell r="C37" t="str">
            <v>031</v>
          </cell>
          <cell r="E37" t="str">
            <v>G</v>
          </cell>
          <cell r="H37">
            <v>50</v>
          </cell>
          <cell r="J37">
            <v>150</v>
          </cell>
          <cell r="O37">
            <v>50</v>
          </cell>
          <cell r="W37">
            <v>1</v>
          </cell>
          <cell r="AD37">
            <v>1</v>
          </cell>
          <cell r="AF37">
            <v>0</v>
          </cell>
          <cell r="AH37">
            <v>0</v>
          </cell>
          <cell r="AJ37">
            <v>0</v>
          </cell>
          <cell r="AQ37">
            <v>1</v>
          </cell>
          <cell r="AV37">
            <v>1</v>
          </cell>
          <cell r="AW37">
            <v>0</v>
          </cell>
          <cell r="AX37">
            <v>0</v>
          </cell>
          <cell r="AY37">
            <v>0</v>
          </cell>
          <cell r="BG37">
            <v>0</v>
          </cell>
          <cell r="BH37">
            <v>1</v>
          </cell>
          <cell r="BX37">
            <v>0</v>
          </cell>
          <cell r="BY37">
            <v>1</v>
          </cell>
          <cell r="BZ37">
            <v>4</v>
          </cell>
          <cell r="CB37">
            <v>0</v>
          </cell>
          <cell r="CC37">
            <v>0</v>
          </cell>
          <cell r="CD37">
            <v>6</v>
          </cell>
          <cell r="CE37">
            <v>0</v>
          </cell>
          <cell r="CM37">
            <v>1</v>
          </cell>
          <cell r="CP37">
            <v>0</v>
          </cell>
          <cell r="CV37">
            <v>0</v>
          </cell>
          <cell r="CW37">
            <v>0</v>
          </cell>
          <cell r="CX37">
            <v>0</v>
          </cell>
        </row>
        <row r="38">
          <cell r="C38" t="str">
            <v>032</v>
          </cell>
          <cell r="E38" t="str">
            <v>G</v>
          </cell>
          <cell r="H38">
            <v>55</v>
          </cell>
          <cell r="J38">
            <v>165</v>
          </cell>
          <cell r="O38">
            <v>55</v>
          </cell>
          <cell r="W38">
            <v>2</v>
          </cell>
          <cell r="AD38">
            <v>0</v>
          </cell>
          <cell r="AF38">
            <v>0</v>
          </cell>
          <cell r="AH38">
            <v>1</v>
          </cell>
          <cell r="AJ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BG38">
            <v>0</v>
          </cell>
          <cell r="BH38">
            <v>1</v>
          </cell>
          <cell r="BX38">
            <v>0</v>
          </cell>
          <cell r="BY38">
            <v>1</v>
          </cell>
          <cell r="BZ38">
            <v>4</v>
          </cell>
          <cell r="CB38">
            <v>0</v>
          </cell>
          <cell r="CC38">
            <v>0</v>
          </cell>
          <cell r="CD38">
            <v>6</v>
          </cell>
          <cell r="CE38">
            <v>0</v>
          </cell>
          <cell r="CM38">
            <v>1</v>
          </cell>
          <cell r="CP38">
            <v>0</v>
          </cell>
          <cell r="CV38">
            <v>0</v>
          </cell>
          <cell r="CW38">
            <v>0</v>
          </cell>
          <cell r="CX38">
            <v>0</v>
          </cell>
        </row>
        <row r="39">
          <cell r="C39" t="str">
            <v>033</v>
          </cell>
          <cell r="E39" t="str">
            <v>G</v>
          </cell>
          <cell r="H39">
            <v>45</v>
          </cell>
          <cell r="J39">
            <v>135</v>
          </cell>
          <cell r="O39">
            <v>45</v>
          </cell>
          <cell r="W39">
            <v>1</v>
          </cell>
          <cell r="AD39">
            <v>1</v>
          </cell>
          <cell r="AF39">
            <v>0</v>
          </cell>
          <cell r="AH39">
            <v>0</v>
          </cell>
          <cell r="AJ39">
            <v>0</v>
          </cell>
          <cell r="AQ39">
            <v>1</v>
          </cell>
          <cell r="AV39">
            <v>1</v>
          </cell>
          <cell r="AW39">
            <v>0</v>
          </cell>
          <cell r="AX39">
            <v>0</v>
          </cell>
          <cell r="AY39">
            <v>0</v>
          </cell>
          <cell r="BG39">
            <v>0</v>
          </cell>
          <cell r="BH39">
            <v>1</v>
          </cell>
          <cell r="BX39">
            <v>0</v>
          </cell>
          <cell r="BY39">
            <v>1</v>
          </cell>
          <cell r="BZ39">
            <v>4</v>
          </cell>
          <cell r="CB39">
            <v>0</v>
          </cell>
          <cell r="CC39">
            <v>0</v>
          </cell>
          <cell r="CD39">
            <v>6</v>
          </cell>
          <cell r="CE39">
            <v>0</v>
          </cell>
          <cell r="CM39">
            <v>1</v>
          </cell>
          <cell r="CP39">
            <v>0</v>
          </cell>
          <cell r="CV39">
            <v>0</v>
          </cell>
          <cell r="CW39">
            <v>0</v>
          </cell>
          <cell r="CX39">
            <v>0</v>
          </cell>
        </row>
        <row r="40">
          <cell r="C40" t="str">
            <v>034</v>
          </cell>
          <cell r="E40" t="str">
            <v>2DT</v>
          </cell>
          <cell r="H40">
            <v>45</v>
          </cell>
          <cell r="J40">
            <v>135</v>
          </cell>
          <cell r="O40">
            <v>45</v>
          </cell>
          <cell r="W40">
            <v>2</v>
          </cell>
          <cell r="AD40">
            <v>0</v>
          </cell>
          <cell r="AF40">
            <v>0</v>
          </cell>
          <cell r="AH40">
            <v>1</v>
          </cell>
          <cell r="AJ40">
            <v>0</v>
          </cell>
          <cell r="AQ40">
            <v>1</v>
          </cell>
          <cell r="AV40">
            <v>1</v>
          </cell>
          <cell r="AW40">
            <v>0</v>
          </cell>
          <cell r="AX40">
            <v>0</v>
          </cell>
          <cell r="AY40">
            <v>0</v>
          </cell>
          <cell r="BG40">
            <v>0</v>
          </cell>
          <cell r="BH40">
            <v>0</v>
          </cell>
          <cell r="BR40">
            <v>2</v>
          </cell>
          <cell r="BX40">
            <v>0</v>
          </cell>
          <cell r="BY40">
            <v>0</v>
          </cell>
          <cell r="BZ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6</v>
          </cell>
          <cell r="CM40">
            <v>0</v>
          </cell>
          <cell r="CP40">
            <v>2</v>
          </cell>
          <cell r="CV40">
            <v>0</v>
          </cell>
          <cell r="CW40">
            <v>0</v>
          </cell>
          <cell r="CX40">
            <v>0</v>
          </cell>
          <cell r="DH40">
            <v>1</v>
          </cell>
          <cell r="DI40">
            <v>3</v>
          </cell>
          <cell r="DO40">
            <v>3</v>
          </cell>
        </row>
        <row r="41">
          <cell r="C41" t="str">
            <v>035</v>
          </cell>
          <cell r="E41" t="str">
            <v>I</v>
          </cell>
          <cell r="H41">
            <v>50</v>
          </cell>
          <cell r="J41">
            <v>150</v>
          </cell>
          <cell r="O41">
            <v>50</v>
          </cell>
          <cell r="W41">
            <v>1</v>
          </cell>
          <cell r="AD41">
            <v>1</v>
          </cell>
          <cell r="AF41">
            <v>0</v>
          </cell>
          <cell r="AH41">
            <v>0</v>
          </cell>
          <cell r="AJ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BA41">
            <v>1</v>
          </cell>
          <cell r="BG41">
            <v>1</v>
          </cell>
          <cell r="BH41">
            <v>0</v>
          </cell>
          <cell r="BX41">
            <v>1</v>
          </cell>
          <cell r="BY41">
            <v>0</v>
          </cell>
          <cell r="BZ41">
            <v>2</v>
          </cell>
          <cell r="CB41">
            <v>0</v>
          </cell>
          <cell r="CC41">
            <v>3</v>
          </cell>
          <cell r="CD41">
            <v>0</v>
          </cell>
          <cell r="CE41">
            <v>0</v>
          </cell>
          <cell r="CM41">
            <v>1</v>
          </cell>
          <cell r="CP41">
            <v>0</v>
          </cell>
          <cell r="CV41">
            <v>0</v>
          </cell>
          <cell r="CW41">
            <v>0</v>
          </cell>
          <cell r="CX41">
            <v>0</v>
          </cell>
        </row>
        <row r="42">
          <cell r="C42" t="str">
            <v>036</v>
          </cell>
          <cell r="E42" t="str">
            <v>I</v>
          </cell>
          <cell r="H42">
            <v>50</v>
          </cell>
          <cell r="J42">
            <v>150</v>
          </cell>
          <cell r="O42">
            <v>50</v>
          </cell>
          <cell r="W42">
            <v>1</v>
          </cell>
          <cell r="AD42">
            <v>1</v>
          </cell>
          <cell r="AF42">
            <v>0</v>
          </cell>
          <cell r="AH42">
            <v>0</v>
          </cell>
          <cell r="AJ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BG42">
            <v>1</v>
          </cell>
          <cell r="BH42">
            <v>0</v>
          </cell>
          <cell r="BX42">
            <v>1</v>
          </cell>
          <cell r="BY42">
            <v>0</v>
          </cell>
          <cell r="BZ42">
            <v>2</v>
          </cell>
          <cell r="CB42">
            <v>0</v>
          </cell>
          <cell r="CC42">
            <v>3</v>
          </cell>
          <cell r="CD42">
            <v>0</v>
          </cell>
          <cell r="CE42">
            <v>0</v>
          </cell>
          <cell r="CM42">
            <v>1</v>
          </cell>
          <cell r="CP42">
            <v>0</v>
          </cell>
          <cell r="CV42">
            <v>0</v>
          </cell>
          <cell r="CW42">
            <v>0</v>
          </cell>
          <cell r="CX42">
            <v>0</v>
          </cell>
        </row>
        <row r="43">
          <cell r="C43" t="str">
            <v>037</v>
          </cell>
          <cell r="E43" t="str">
            <v>G</v>
          </cell>
          <cell r="H43">
            <v>45</v>
          </cell>
          <cell r="J43">
            <v>135</v>
          </cell>
          <cell r="O43">
            <v>45</v>
          </cell>
          <cell r="W43">
            <v>1</v>
          </cell>
          <cell r="AD43">
            <v>1</v>
          </cell>
          <cell r="AF43">
            <v>0</v>
          </cell>
          <cell r="AH43">
            <v>0</v>
          </cell>
          <cell r="AJ43">
            <v>0</v>
          </cell>
          <cell r="AQ43">
            <v>1</v>
          </cell>
          <cell r="AV43">
            <v>1</v>
          </cell>
          <cell r="AW43">
            <v>0</v>
          </cell>
          <cell r="AX43">
            <v>0</v>
          </cell>
          <cell r="AY43">
            <v>0</v>
          </cell>
          <cell r="BG43">
            <v>0</v>
          </cell>
          <cell r="BH43">
            <v>1</v>
          </cell>
          <cell r="BX43">
            <v>0</v>
          </cell>
          <cell r="BY43">
            <v>1</v>
          </cell>
          <cell r="BZ43">
            <v>4</v>
          </cell>
          <cell r="CB43">
            <v>0</v>
          </cell>
          <cell r="CC43">
            <v>0</v>
          </cell>
          <cell r="CD43">
            <v>6</v>
          </cell>
          <cell r="CE43">
            <v>0</v>
          </cell>
          <cell r="CM43">
            <v>1</v>
          </cell>
          <cell r="CP43">
            <v>0</v>
          </cell>
          <cell r="CV43">
            <v>0</v>
          </cell>
          <cell r="CW43">
            <v>0</v>
          </cell>
          <cell r="CX43">
            <v>0</v>
          </cell>
        </row>
        <row r="44">
          <cell r="C44" t="str">
            <v>038</v>
          </cell>
          <cell r="E44" t="str">
            <v>G</v>
          </cell>
          <cell r="H44">
            <v>50</v>
          </cell>
          <cell r="J44">
            <v>150</v>
          </cell>
          <cell r="O44">
            <v>50</v>
          </cell>
          <cell r="W44">
            <v>1</v>
          </cell>
          <cell r="AD44">
            <v>1</v>
          </cell>
          <cell r="AF44">
            <v>0</v>
          </cell>
          <cell r="AH44">
            <v>0</v>
          </cell>
          <cell r="AJ44">
            <v>0</v>
          </cell>
          <cell r="AQ44">
            <v>1</v>
          </cell>
          <cell r="AV44">
            <v>1</v>
          </cell>
          <cell r="AW44">
            <v>0</v>
          </cell>
          <cell r="AX44">
            <v>0</v>
          </cell>
          <cell r="AY44">
            <v>0</v>
          </cell>
          <cell r="BG44">
            <v>0</v>
          </cell>
          <cell r="BH44">
            <v>1</v>
          </cell>
          <cell r="BX44">
            <v>0</v>
          </cell>
          <cell r="BY44">
            <v>1</v>
          </cell>
          <cell r="BZ44">
            <v>4</v>
          </cell>
          <cell r="CB44">
            <v>0</v>
          </cell>
          <cell r="CC44">
            <v>0</v>
          </cell>
          <cell r="CD44">
            <v>6</v>
          </cell>
          <cell r="CE44">
            <v>0</v>
          </cell>
          <cell r="CM44">
            <v>1</v>
          </cell>
          <cell r="CP44">
            <v>0</v>
          </cell>
          <cell r="CV44">
            <v>0</v>
          </cell>
          <cell r="CW44">
            <v>0</v>
          </cell>
          <cell r="CX44">
            <v>0</v>
          </cell>
        </row>
        <row r="45">
          <cell r="C45" t="str">
            <v>039</v>
          </cell>
          <cell r="E45" t="str">
            <v>2DT</v>
          </cell>
          <cell r="H45">
            <v>50</v>
          </cell>
          <cell r="J45">
            <v>150</v>
          </cell>
          <cell r="O45">
            <v>50</v>
          </cell>
          <cell r="W45">
            <v>2</v>
          </cell>
          <cell r="AD45">
            <v>0</v>
          </cell>
          <cell r="AF45">
            <v>0</v>
          </cell>
          <cell r="AH45">
            <v>1</v>
          </cell>
          <cell r="AJ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BG45">
            <v>0</v>
          </cell>
          <cell r="BH45">
            <v>0</v>
          </cell>
          <cell r="BR45">
            <v>1</v>
          </cell>
          <cell r="BX45">
            <v>0</v>
          </cell>
          <cell r="BY45">
            <v>0</v>
          </cell>
          <cell r="BZ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6</v>
          </cell>
          <cell r="CM45">
            <v>0</v>
          </cell>
          <cell r="CP45">
            <v>2</v>
          </cell>
          <cell r="CV45">
            <v>0</v>
          </cell>
          <cell r="CW45">
            <v>0</v>
          </cell>
          <cell r="CX45">
            <v>0</v>
          </cell>
          <cell r="DH45">
            <v>1</v>
          </cell>
          <cell r="DI45">
            <v>3</v>
          </cell>
          <cell r="DO45">
            <v>3</v>
          </cell>
        </row>
        <row r="46">
          <cell r="C46" t="str">
            <v>040</v>
          </cell>
          <cell r="E46" t="str">
            <v>2DT</v>
          </cell>
          <cell r="H46">
            <v>45</v>
          </cell>
          <cell r="J46">
            <v>135</v>
          </cell>
          <cell r="O46">
            <v>45</v>
          </cell>
          <cell r="W46">
            <v>2</v>
          </cell>
          <cell r="AD46">
            <v>0</v>
          </cell>
          <cell r="AF46">
            <v>0</v>
          </cell>
          <cell r="AH46">
            <v>1</v>
          </cell>
          <cell r="AJ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BG46">
            <v>0</v>
          </cell>
          <cell r="BH46">
            <v>0</v>
          </cell>
          <cell r="BR46">
            <v>1</v>
          </cell>
          <cell r="BX46">
            <v>0</v>
          </cell>
          <cell r="BY46">
            <v>0</v>
          </cell>
          <cell r="BZ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6</v>
          </cell>
          <cell r="CM46">
            <v>0</v>
          </cell>
          <cell r="CP46">
            <v>2</v>
          </cell>
          <cell r="CV46">
            <v>0</v>
          </cell>
          <cell r="CW46">
            <v>0</v>
          </cell>
          <cell r="CX46">
            <v>0</v>
          </cell>
          <cell r="DH46">
            <v>1</v>
          </cell>
          <cell r="DI46">
            <v>3</v>
          </cell>
          <cell r="DO46">
            <v>3</v>
          </cell>
        </row>
        <row r="47">
          <cell r="C47" t="str">
            <v>041</v>
          </cell>
          <cell r="E47" t="str">
            <v>G</v>
          </cell>
          <cell r="H47">
            <v>45</v>
          </cell>
          <cell r="J47">
            <v>135</v>
          </cell>
          <cell r="O47">
            <v>45</v>
          </cell>
          <cell r="W47">
            <v>1</v>
          </cell>
          <cell r="AD47">
            <v>1</v>
          </cell>
          <cell r="AF47">
            <v>0</v>
          </cell>
          <cell r="AH47">
            <v>0</v>
          </cell>
          <cell r="AJ47">
            <v>0</v>
          </cell>
          <cell r="AQ47">
            <v>1</v>
          </cell>
          <cell r="AV47">
            <v>1</v>
          </cell>
          <cell r="AW47">
            <v>0</v>
          </cell>
          <cell r="AX47">
            <v>0</v>
          </cell>
          <cell r="AY47">
            <v>0</v>
          </cell>
          <cell r="BA47">
            <v>1</v>
          </cell>
          <cell r="BG47">
            <v>0</v>
          </cell>
          <cell r="BH47">
            <v>1</v>
          </cell>
          <cell r="BX47">
            <v>0</v>
          </cell>
          <cell r="BY47">
            <v>1</v>
          </cell>
          <cell r="BZ47">
            <v>4</v>
          </cell>
          <cell r="CB47">
            <v>0</v>
          </cell>
          <cell r="CC47">
            <v>0</v>
          </cell>
          <cell r="CD47">
            <v>6</v>
          </cell>
          <cell r="CE47">
            <v>0</v>
          </cell>
          <cell r="CM47">
            <v>1</v>
          </cell>
          <cell r="CP47">
            <v>0</v>
          </cell>
          <cell r="CV47">
            <v>0</v>
          </cell>
          <cell r="CW47">
            <v>0</v>
          </cell>
          <cell r="CX47">
            <v>0</v>
          </cell>
        </row>
        <row r="48">
          <cell r="C48" t="str">
            <v>042</v>
          </cell>
          <cell r="E48" t="str">
            <v>I</v>
          </cell>
          <cell r="H48">
            <v>50</v>
          </cell>
          <cell r="J48">
            <v>150</v>
          </cell>
          <cell r="O48">
            <v>50</v>
          </cell>
          <cell r="W48">
            <v>1</v>
          </cell>
          <cell r="AD48">
            <v>1</v>
          </cell>
          <cell r="AF48">
            <v>0</v>
          </cell>
          <cell r="AH48">
            <v>0</v>
          </cell>
          <cell r="AJ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BG48">
            <v>1</v>
          </cell>
          <cell r="BH48">
            <v>0</v>
          </cell>
          <cell r="BX48">
            <v>1</v>
          </cell>
          <cell r="BY48">
            <v>0</v>
          </cell>
          <cell r="BZ48">
            <v>2</v>
          </cell>
          <cell r="CB48">
            <v>0</v>
          </cell>
          <cell r="CC48">
            <v>3</v>
          </cell>
          <cell r="CD48">
            <v>0</v>
          </cell>
          <cell r="CE48">
            <v>0</v>
          </cell>
          <cell r="CM48">
            <v>1</v>
          </cell>
          <cell r="CP48">
            <v>0</v>
          </cell>
          <cell r="CV48">
            <v>0</v>
          </cell>
          <cell r="CW48">
            <v>0</v>
          </cell>
          <cell r="CX48">
            <v>0</v>
          </cell>
        </row>
        <row r="49">
          <cell r="C49" t="str">
            <v>043</v>
          </cell>
          <cell r="E49" t="str">
            <v>G</v>
          </cell>
          <cell r="H49">
            <v>50</v>
          </cell>
          <cell r="J49">
            <v>150</v>
          </cell>
          <cell r="O49">
            <v>50</v>
          </cell>
          <cell r="W49">
            <v>2</v>
          </cell>
          <cell r="AD49">
            <v>0</v>
          </cell>
          <cell r="AF49">
            <v>0</v>
          </cell>
          <cell r="AH49">
            <v>1</v>
          </cell>
          <cell r="AJ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BG49">
            <v>0</v>
          </cell>
          <cell r="BH49">
            <v>1</v>
          </cell>
          <cell r="BX49">
            <v>0</v>
          </cell>
          <cell r="BY49">
            <v>1</v>
          </cell>
          <cell r="BZ49">
            <v>4</v>
          </cell>
          <cell r="CB49">
            <v>0</v>
          </cell>
          <cell r="CC49">
            <v>0</v>
          </cell>
          <cell r="CD49">
            <v>6</v>
          </cell>
          <cell r="CE49">
            <v>0</v>
          </cell>
          <cell r="CM49">
            <v>1</v>
          </cell>
          <cell r="CP49">
            <v>0</v>
          </cell>
          <cell r="CV49">
            <v>0</v>
          </cell>
          <cell r="CW49">
            <v>0</v>
          </cell>
          <cell r="CX49">
            <v>0</v>
          </cell>
        </row>
        <row r="50">
          <cell r="C50" t="str">
            <v>044</v>
          </cell>
          <cell r="E50" t="str">
            <v>G</v>
          </cell>
          <cell r="H50">
            <v>40</v>
          </cell>
          <cell r="J50">
            <v>120</v>
          </cell>
          <cell r="O50">
            <v>40</v>
          </cell>
          <cell r="W50">
            <v>2</v>
          </cell>
          <cell r="AD50">
            <v>0</v>
          </cell>
          <cell r="AF50">
            <v>0</v>
          </cell>
          <cell r="AH50">
            <v>1</v>
          </cell>
          <cell r="AJ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BG50">
            <v>0</v>
          </cell>
          <cell r="BH50">
            <v>1</v>
          </cell>
          <cell r="BX50">
            <v>0</v>
          </cell>
          <cell r="BY50">
            <v>1</v>
          </cell>
          <cell r="BZ50">
            <v>4</v>
          </cell>
          <cell r="CB50">
            <v>0</v>
          </cell>
          <cell r="CC50">
            <v>0</v>
          </cell>
          <cell r="CD50">
            <v>6</v>
          </cell>
          <cell r="CE50">
            <v>0</v>
          </cell>
          <cell r="CM50">
            <v>1</v>
          </cell>
          <cell r="CP50">
            <v>0</v>
          </cell>
          <cell r="CV50">
            <v>0</v>
          </cell>
          <cell r="CW50">
            <v>0</v>
          </cell>
          <cell r="CX50">
            <v>0</v>
          </cell>
        </row>
        <row r="51">
          <cell r="C51" t="str">
            <v>045</v>
          </cell>
          <cell r="E51" t="str">
            <v>2DT</v>
          </cell>
          <cell r="H51">
            <v>40</v>
          </cell>
          <cell r="J51">
            <v>120</v>
          </cell>
          <cell r="O51">
            <v>40</v>
          </cell>
          <cell r="W51">
            <v>2</v>
          </cell>
          <cell r="AD51">
            <v>0</v>
          </cell>
          <cell r="AF51">
            <v>0</v>
          </cell>
          <cell r="AH51">
            <v>1</v>
          </cell>
          <cell r="AJ51">
            <v>0</v>
          </cell>
          <cell r="AQ51">
            <v>1</v>
          </cell>
          <cell r="AV51">
            <v>1</v>
          </cell>
          <cell r="AW51">
            <v>0</v>
          </cell>
          <cell r="AX51">
            <v>0</v>
          </cell>
          <cell r="AY51">
            <v>0</v>
          </cell>
          <cell r="BG51">
            <v>0</v>
          </cell>
          <cell r="BH51">
            <v>0</v>
          </cell>
          <cell r="BR51">
            <v>1</v>
          </cell>
          <cell r="BX51">
            <v>0</v>
          </cell>
          <cell r="BY51">
            <v>0</v>
          </cell>
          <cell r="BZ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6</v>
          </cell>
          <cell r="CM51">
            <v>0</v>
          </cell>
          <cell r="CP51">
            <v>2</v>
          </cell>
          <cell r="CV51">
            <v>0</v>
          </cell>
          <cell r="CW51">
            <v>0</v>
          </cell>
          <cell r="CX51">
            <v>0</v>
          </cell>
          <cell r="DH51">
            <v>1</v>
          </cell>
          <cell r="DI51">
            <v>3</v>
          </cell>
          <cell r="DO51">
            <v>3</v>
          </cell>
        </row>
        <row r="52">
          <cell r="C52" t="str">
            <v>046</v>
          </cell>
          <cell r="E52" t="str">
            <v>G</v>
          </cell>
          <cell r="H52">
            <v>40</v>
          </cell>
          <cell r="J52">
            <v>120</v>
          </cell>
          <cell r="O52">
            <v>40</v>
          </cell>
          <cell r="W52">
            <v>1</v>
          </cell>
          <cell r="AD52">
            <v>1</v>
          </cell>
          <cell r="AF52">
            <v>0</v>
          </cell>
          <cell r="AH52">
            <v>0</v>
          </cell>
          <cell r="AJ52">
            <v>0</v>
          </cell>
          <cell r="AQ52">
            <v>1</v>
          </cell>
          <cell r="AV52">
            <v>1</v>
          </cell>
          <cell r="AW52">
            <v>0</v>
          </cell>
          <cell r="AX52">
            <v>0</v>
          </cell>
          <cell r="AY52">
            <v>0</v>
          </cell>
          <cell r="BA52">
            <v>1</v>
          </cell>
          <cell r="BG52">
            <v>0</v>
          </cell>
          <cell r="BH52">
            <v>1</v>
          </cell>
          <cell r="BX52">
            <v>0</v>
          </cell>
          <cell r="BY52">
            <v>1</v>
          </cell>
          <cell r="BZ52">
            <v>4</v>
          </cell>
          <cell r="CB52">
            <v>0</v>
          </cell>
          <cell r="CC52">
            <v>0</v>
          </cell>
          <cell r="CD52">
            <v>6</v>
          </cell>
          <cell r="CE52">
            <v>0</v>
          </cell>
          <cell r="CM52">
            <v>1</v>
          </cell>
          <cell r="CP52">
            <v>0</v>
          </cell>
          <cell r="CV52">
            <v>0</v>
          </cell>
          <cell r="CW52">
            <v>0</v>
          </cell>
          <cell r="CX52">
            <v>0</v>
          </cell>
        </row>
        <row r="53">
          <cell r="C53" t="str">
            <v>047</v>
          </cell>
          <cell r="E53" t="str">
            <v>G</v>
          </cell>
          <cell r="H53">
            <v>50</v>
          </cell>
          <cell r="J53">
            <v>150</v>
          </cell>
          <cell r="O53">
            <v>50</v>
          </cell>
          <cell r="W53">
            <v>1</v>
          </cell>
          <cell r="AD53">
            <v>1</v>
          </cell>
          <cell r="AF53">
            <v>0</v>
          </cell>
          <cell r="AH53">
            <v>0</v>
          </cell>
          <cell r="AJ53">
            <v>0</v>
          </cell>
          <cell r="AQ53">
            <v>1</v>
          </cell>
          <cell r="AV53">
            <v>1</v>
          </cell>
          <cell r="AW53">
            <v>0</v>
          </cell>
          <cell r="AX53">
            <v>0</v>
          </cell>
          <cell r="AY53">
            <v>0</v>
          </cell>
          <cell r="BG53">
            <v>0</v>
          </cell>
          <cell r="BH53">
            <v>1</v>
          </cell>
          <cell r="BX53">
            <v>0</v>
          </cell>
          <cell r="BY53">
            <v>1</v>
          </cell>
          <cell r="BZ53">
            <v>4</v>
          </cell>
          <cell r="CB53">
            <v>0</v>
          </cell>
          <cell r="CC53">
            <v>0</v>
          </cell>
          <cell r="CD53">
            <v>6</v>
          </cell>
          <cell r="CE53">
            <v>0</v>
          </cell>
          <cell r="CM53">
            <v>1</v>
          </cell>
          <cell r="CP53">
            <v>0</v>
          </cell>
          <cell r="CV53">
            <v>0</v>
          </cell>
          <cell r="CW53">
            <v>0</v>
          </cell>
          <cell r="CX53">
            <v>0</v>
          </cell>
        </row>
        <row r="54">
          <cell r="C54" t="str">
            <v>048</v>
          </cell>
          <cell r="E54" t="str">
            <v>G</v>
          </cell>
          <cell r="H54">
            <v>45</v>
          </cell>
          <cell r="J54">
            <v>135</v>
          </cell>
          <cell r="O54">
            <v>45</v>
          </cell>
          <cell r="W54">
            <v>2</v>
          </cell>
          <cell r="AD54">
            <v>0</v>
          </cell>
          <cell r="AF54">
            <v>0</v>
          </cell>
          <cell r="AH54">
            <v>1</v>
          </cell>
          <cell r="AJ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BG54">
            <v>0</v>
          </cell>
          <cell r="BH54">
            <v>1</v>
          </cell>
          <cell r="BX54">
            <v>0</v>
          </cell>
          <cell r="BY54">
            <v>1</v>
          </cell>
          <cell r="BZ54">
            <v>4</v>
          </cell>
          <cell r="CB54">
            <v>0</v>
          </cell>
          <cell r="CC54">
            <v>0</v>
          </cell>
          <cell r="CD54">
            <v>6</v>
          </cell>
          <cell r="CE54">
            <v>0</v>
          </cell>
          <cell r="CM54">
            <v>1</v>
          </cell>
          <cell r="CP54">
            <v>0</v>
          </cell>
          <cell r="CV54">
            <v>0</v>
          </cell>
          <cell r="CW54">
            <v>0</v>
          </cell>
          <cell r="CX54">
            <v>0</v>
          </cell>
        </row>
        <row r="55">
          <cell r="C55" t="str">
            <v>049</v>
          </cell>
          <cell r="E55" t="str">
            <v>DT</v>
          </cell>
          <cell r="H55">
            <v>45</v>
          </cell>
          <cell r="J55">
            <v>135</v>
          </cell>
          <cell r="O55">
            <v>45</v>
          </cell>
          <cell r="W55">
            <v>1</v>
          </cell>
          <cell r="AF55">
            <v>0</v>
          </cell>
          <cell r="AG55">
            <v>1</v>
          </cell>
          <cell r="AH55">
            <v>0</v>
          </cell>
          <cell r="AJ55">
            <v>0</v>
          </cell>
          <cell r="AQ55">
            <v>1</v>
          </cell>
          <cell r="AV55">
            <v>1</v>
          </cell>
          <cell r="AW55">
            <v>0</v>
          </cell>
          <cell r="AX55">
            <v>0</v>
          </cell>
          <cell r="AY55">
            <v>0</v>
          </cell>
          <cell r="BG55">
            <v>0</v>
          </cell>
          <cell r="BH55">
            <v>0</v>
          </cell>
          <cell r="BR55">
            <v>1</v>
          </cell>
          <cell r="BX55">
            <v>0</v>
          </cell>
          <cell r="BY55">
            <v>0</v>
          </cell>
          <cell r="BZ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3</v>
          </cell>
          <cell r="CM55">
            <v>0</v>
          </cell>
          <cell r="CP55">
            <v>1</v>
          </cell>
          <cell r="CV55">
            <v>0</v>
          </cell>
          <cell r="CW55">
            <v>0</v>
          </cell>
          <cell r="CX55">
            <v>0</v>
          </cell>
        </row>
        <row r="56">
          <cell r="C56" t="str">
            <v>Cộng 2:</v>
          </cell>
          <cell r="E56">
            <v>0</v>
          </cell>
          <cell r="F56">
            <v>0</v>
          </cell>
          <cell r="G56">
            <v>0</v>
          </cell>
          <cell r="H56">
            <v>1365</v>
          </cell>
          <cell r="I56">
            <v>0</v>
          </cell>
          <cell r="J56">
            <v>4095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1365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42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14</v>
          </cell>
          <cell r="AE56">
            <v>0</v>
          </cell>
          <cell r="AF56">
            <v>0</v>
          </cell>
          <cell r="AG56">
            <v>2</v>
          </cell>
          <cell r="AH56">
            <v>13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16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16</v>
          </cell>
          <cell r="AW56">
            <v>1</v>
          </cell>
          <cell r="AX56">
            <v>0</v>
          </cell>
          <cell r="AY56">
            <v>0</v>
          </cell>
          <cell r="AZ56">
            <v>0</v>
          </cell>
          <cell r="BA56">
            <v>6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3</v>
          </cell>
          <cell r="BH56">
            <v>18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9</v>
          </cell>
          <cell r="BS56">
            <v>1</v>
          </cell>
          <cell r="BT56">
            <v>0</v>
          </cell>
          <cell r="BU56">
            <v>0</v>
          </cell>
          <cell r="BV56">
            <v>2</v>
          </cell>
          <cell r="BW56">
            <v>0</v>
          </cell>
          <cell r="BX56">
            <v>3</v>
          </cell>
          <cell r="BY56">
            <v>18</v>
          </cell>
          <cell r="BZ56">
            <v>87</v>
          </cell>
          <cell r="CA56">
            <v>0</v>
          </cell>
          <cell r="CB56">
            <v>9</v>
          </cell>
          <cell r="CC56">
            <v>9</v>
          </cell>
          <cell r="CD56">
            <v>108</v>
          </cell>
          <cell r="CE56">
            <v>48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21</v>
          </cell>
          <cell r="CN56">
            <v>0</v>
          </cell>
          <cell r="CO56">
            <v>0</v>
          </cell>
          <cell r="CP56">
            <v>16</v>
          </cell>
          <cell r="CQ56">
            <v>0</v>
          </cell>
          <cell r="CR56">
            <v>0</v>
          </cell>
          <cell r="CS56">
            <v>0</v>
          </cell>
          <cell r="CT56">
            <v>3</v>
          </cell>
          <cell r="CU56">
            <v>3</v>
          </cell>
          <cell r="CV56">
            <v>6</v>
          </cell>
          <cell r="CW56">
            <v>3</v>
          </cell>
          <cell r="CX56">
            <v>0</v>
          </cell>
          <cell r="CY56">
            <v>2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6</v>
          </cell>
          <cell r="DG56">
            <v>0</v>
          </cell>
          <cell r="DH56">
            <v>5.5</v>
          </cell>
          <cell r="DI56">
            <v>22.5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21</v>
          </cell>
          <cell r="DP56">
            <v>0</v>
          </cell>
          <cell r="DQ56">
            <v>8.5</v>
          </cell>
          <cell r="DR56">
            <v>0</v>
          </cell>
          <cell r="DS56">
            <v>2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</row>
        <row r="58">
          <cell r="B58" t="str">
            <v>TT3P</v>
          </cell>
          <cell r="C58" t="str">
            <v>3. Tuyến 1 pha EC 1B (xây dưng mới TBA EC 1B-75kVA)</v>
          </cell>
          <cell r="AR58" t="str">
            <v/>
          </cell>
        </row>
        <row r="59">
          <cell r="C59" t="str">
            <v>021A</v>
          </cell>
          <cell r="E59" t="str">
            <v>G-DT</v>
          </cell>
          <cell r="J59">
            <v>0</v>
          </cell>
          <cell r="O59">
            <v>0</v>
          </cell>
          <cell r="W59">
            <v>2</v>
          </cell>
          <cell r="AD59">
            <v>0</v>
          </cell>
          <cell r="AF59">
            <v>0</v>
          </cell>
          <cell r="AH59">
            <v>1</v>
          </cell>
          <cell r="AJ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BG59">
            <v>1</v>
          </cell>
          <cell r="BX59">
            <v>1</v>
          </cell>
          <cell r="BZ59">
            <v>2</v>
          </cell>
          <cell r="CB59">
            <v>0</v>
          </cell>
          <cell r="CC59">
            <v>3</v>
          </cell>
          <cell r="CD59">
            <v>0</v>
          </cell>
          <cell r="CL59">
            <v>1</v>
          </cell>
          <cell r="CM59">
            <v>0</v>
          </cell>
          <cell r="CP59">
            <v>1</v>
          </cell>
          <cell r="CU59">
            <v>1</v>
          </cell>
          <cell r="CV59">
            <v>1</v>
          </cell>
          <cell r="CW59">
            <v>0</v>
          </cell>
          <cell r="CX59">
            <v>1</v>
          </cell>
          <cell r="CY59">
            <v>2</v>
          </cell>
          <cell r="DI59">
            <v>1</v>
          </cell>
          <cell r="DO59">
            <v>1</v>
          </cell>
          <cell r="DQ59">
            <v>1</v>
          </cell>
          <cell r="DR59">
            <v>1</v>
          </cell>
        </row>
        <row r="60">
          <cell r="C60" t="str">
            <v>001</v>
          </cell>
          <cell r="E60" t="str">
            <v>2DT</v>
          </cell>
          <cell r="H60">
            <v>20</v>
          </cell>
          <cell r="J60">
            <v>20</v>
          </cell>
          <cell r="O60">
            <v>20</v>
          </cell>
          <cell r="W60">
            <v>1</v>
          </cell>
          <cell r="AD60">
            <v>1</v>
          </cell>
          <cell r="AF60">
            <v>0</v>
          </cell>
          <cell r="AH60">
            <v>0</v>
          </cell>
          <cell r="AJ60">
            <v>0</v>
          </cell>
          <cell r="AQ60">
            <v>1</v>
          </cell>
          <cell r="AV60">
            <v>1</v>
          </cell>
          <cell r="AW60">
            <v>0</v>
          </cell>
          <cell r="AX60">
            <v>0</v>
          </cell>
          <cell r="AY60">
            <v>0</v>
          </cell>
          <cell r="BA60">
            <v>1</v>
          </cell>
          <cell r="BW60">
            <v>1</v>
          </cell>
          <cell r="BX60">
            <v>0</v>
          </cell>
          <cell r="BY60">
            <v>0</v>
          </cell>
          <cell r="CB60">
            <v>0</v>
          </cell>
          <cell r="CC60">
            <v>0</v>
          </cell>
          <cell r="CD60">
            <v>0</v>
          </cell>
          <cell r="CL60">
            <v>2</v>
          </cell>
          <cell r="CM60">
            <v>0</v>
          </cell>
          <cell r="CP60">
            <v>2</v>
          </cell>
          <cell r="CV60">
            <v>0</v>
          </cell>
          <cell r="CW60">
            <v>0</v>
          </cell>
          <cell r="CX60">
            <v>0</v>
          </cell>
          <cell r="DF60">
            <v>1</v>
          </cell>
          <cell r="DH60">
            <v>0.5</v>
          </cell>
          <cell r="DI60">
            <v>1</v>
          </cell>
          <cell r="DO60">
            <v>1</v>
          </cell>
          <cell r="DQ60">
            <v>1</v>
          </cell>
        </row>
        <row r="61">
          <cell r="C61" t="str">
            <v>002</v>
          </cell>
          <cell r="E61" t="str">
            <v>G</v>
          </cell>
          <cell r="F61" t="str">
            <v>P</v>
          </cell>
          <cell r="H61">
            <v>50</v>
          </cell>
          <cell r="J61">
            <v>50</v>
          </cell>
          <cell r="O61">
            <v>50</v>
          </cell>
          <cell r="W61">
            <v>2</v>
          </cell>
          <cell r="AD61">
            <v>0</v>
          </cell>
          <cell r="AF61">
            <v>0</v>
          </cell>
          <cell r="AH61">
            <v>1</v>
          </cell>
          <cell r="AJ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BX61">
            <v>0</v>
          </cell>
          <cell r="BY61">
            <v>1</v>
          </cell>
          <cell r="CB61">
            <v>0</v>
          </cell>
          <cell r="CC61">
            <v>0</v>
          </cell>
          <cell r="CD61">
            <v>2</v>
          </cell>
          <cell r="CL61">
            <v>0</v>
          </cell>
          <cell r="CM61">
            <v>1</v>
          </cell>
          <cell r="CP61">
            <v>0</v>
          </cell>
          <cell r="CU61">
            <v>1</v>
          </cell>
          <cell r="CV61">
            <v>1</v>
          </cell>
          <cell r="CW61">
            <v>0</v>
          </cell>
        </row>
        <row r="62">
          <cell r="C62" t="str">
            <v>003</v>
          </cell>
          <cell r="E62" t="str">
            <v>I</v>
          </cell>
          <cell r="H62">
            <v>50</v>
          </cell>
          <cell r="J62">
            <v>50</v>
          </cell>
          <cell r="O62">
            <v>50</v>
          </cell>
          <cell r="W62">
            <v>1</v>
          </cell>
          <cell r="AD62">
            <v>1</v>
          </cell>
          <cell r="AF62">
            <v>0</v>
          </cell>
          <cell r="AH62">
            <v>0</v>
          </cell>
          <cell r="AJ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BX62">
            <v>1</v>
          </cell>
          <cell r="BY62">
            <v>0</v>
          </cell>
          <cell r="CB62">
            <v>0</v>
          </cell>
          <cell r="CC62">
            <v>1</v>
          </cell>
          <cell r="CD62">
            <v>0</v>
          </cell>
          <cell r="CL62">
            <v>0</v>
          </cell>
          <cell r="CM62">
            <v>1</v>
          </cell>
          <cell r="CP62">
            <v>0</v>
          </cell>
          <cell r="CV62">
            <v>0</v>
          </cell>
          <cell r="CW62">
            <v>0</v>
          </cell>
          <cell r="CX62">
            <v>0</v>
          </cell>
        </row>
        <row r="63">
          <cell r="C63" t="str">
            <v>004</v>
          </cell>
          <cell r="E63" t="str">
            <v>G</v>
          </cell>
          <cell r="F63" t="str">
            <v>T</v>
          </cell>
          <cell r="H63">
            <v>50</v>
          </cell>
          <cell r="J63">
            <v>50</v>
          </cell>
          <cell r="O63">
            <v>50</v>
          </cell>
          <cell r="W63">
            <v>2</v>
          </cell>
          <cell r="AD63">
            <v>0</v>
          </cell>
          <cell r="AF63">
            <v>0</v>
          </cell>
          <cell r="AH63">
            <v>1</v>
          </cell>
          <cell r="AJ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BX63">
            <v>0</v>
          </cell>
          <cell r="BY63">
            <v>1</v>
          </cell>
          <cell r="CB63">
            <v>0</v>
          </cell>
          <cell r="CC63">
            <v>0</v>
          </cell>
          <cell r="CD63">
            <v>2</v>
          </cell>
          <cell r="CL63">
            <v>0</v>
          </cell>
          <cell r="CM63">
            <v>1</v>
          </cell>
          <cell r="CP63">
            <v>0</v>
          </cell>
          <cell r="CV63">
            <v>0</v>
          </cell>
          <cell r="CW63">
            <v>0</v>
          </cell>
          <cell r="CX63">
            <v>0</v>
          </cell>
        </row>
        <row r="64">
          <cell r="C64" t="str">
            <v>005</v>
          </cell>
          <cell r="E64" t="str">
            <v>G</v>
          </cell>
          <cell r="F64" t="str">
            <v>T</v>
          </cell>
          <cell r="H64">
            <v>45</v>
          </cell>
          <cell r="J64">
            <v>45</v>
          </cell>
          <cell r="O64">
            <v>45</v>
          </cell>
          <cell r="W64">
            <v>1</v>
          </cell>
          <cell r="AD64">
            <v>1</v>
          </cell>
          <cell r="AF64">
            <v>0</v>
          </cell>
          <cell r="AH64">
            <v>0</v>
          </cell>
          <cell r="AJ64">
            <v>0</v>
          </cell>
          <cell r="AR64">
            <v>1</v>
          </cell>
          <cell r="AV64">
            <v>0</v>
          </cell>
          <cell r="AW64">
            <v>1</v>
          </cell>
          <cell r="AX64">
            <v>0</v>
          </cell>
          <cell r="AY64">
            <v>0</v>
          </cell>
          <cell r="BA64">
            <v>1</v>
          </cell>
          <cell r="BX64">
            <v>0</v>
          </cell>
          <cell r="BY64">
            <v>1</v>
          </cell>
          <cell r="CB64">
            <v>0</v>
          </cell>
          <cell r="CC64">
            <v>0</v>
          </cell>
          <cell r="CD64">
            <v>2</v>
          </cell>
          <cell r="CL64">
            <v>0</v>
          </cell>
          <cell r="CM64">
            <v>1</v>
          </cell>
          <cell r="CP64">
            <v>0</v>
          </cell>
          <cell r="CV64">
            <v>0</v>
          </cell>
          <cell r="CW64">
            <v>0</v>
          </cell>
          <cell r="CX64">
            <v>0</v>
          </cell>
        </row>
        <row r="65">
          <cell r="C65" t="str">
            <v>006</v>
          </cell>
          <cell r="E65" t="str">
            <v>I</v>
          </cell>
          <cell r="H65">
            <v>50</v>
          </cell>
          <cell r="J65">
            <v>50</v>
          </cell>
          <cell r="O65">
            <v>50</v>
          </cell>
          <cell r="W65">
            <v>1</v>
          </cell>
          <cell r="AD65">
            <v>1</v>
          </cell>
          <cell r="AF65">
            <v>0</v>
          </cell>
          <cell r="AH65">
            <v>0</v>
          </cell>
          <cell r="AJ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BX65">
            <v>1</v>
          </cell>
          <cell r="BY65">
            <v>0</v>
          </cell>
          <cell r="CB65">
            <v>0</v>
          </cell>
          <cell r="CC65">
            <v>1</v>
          </cell>
          <cell r="CD65">
            <v>0</v>
          </cell>
          <cell r="CL65">
            <v>0</v>
          </cell>
          <cell r="CM65">
            <v>1</v>
          </cell>
          <cell r="CP65">
            <v>0</v>
          </cell>
          <cell r="CV65">
            <v>0</v>
          </cell>
          <cell r="CW65">
            <v>0</v>
          </cell>
          <cell r="CX65">
            <v>0</v>
          </cell>
        </row>
        <row r="66">
          <cell r="C66" t="str">
            <v>007</v>
          </cell>
          <cell r="E66" t="str">
            <v>G</v>
          </cell>
          <cell r="F66" t="str">
            <v>T</v>
          </cell>
          <cell r="H66">
            <v>50</v>
          </cell>
          <cell r="J66">
            <v>50</v>
          </cell>
          <cell r="O66">
            <v>50</v>
          </cell>
          <cell r="W66">
            <v>1</v>
          </cell>
          <cell r="AD66">
            <v>1</v>
          </cell>
          <cell r="AF66">
            <v>0</v>
          </cell>
          <cell r="AH66">
            <v>0</v>
          </cell>
          <cell r="AJ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BX66">
            <v>0</v>
          </cell>
          <cell r="BY66">
            <v>1</v>
          </cell>
          <cell r="CB66">
            <v>0</v>
          </cell>
          <cell r="CC66">
            <v>0</v>
          </cell>
          <cell r="CD66">
            <v>2</v>
          </cell>
          <cell r="CL66">
            <v>0</v>
          </cell>
          <cell r="CM66">
            <v>1</v>
          </cell>
          <cell r="CP66">
            <v>0</v>
          </cell>
          <cell r="CV66">
            <v>0</v>
          </cell>
          <cell r="CW66">
            <v>0</v>
          </cell>
          <cell r="CX66">
            <v>0</v>
          </cell>
        </row>
        <row r="67">
          <cell r="C67" t="str">
            <v>008</v>
          </cell>
          <cell r="E67" t="str">
            <v>DT</v>
          </cell>
          <cell r="H67">
            <v>45</v>
          </cell>
          <cell r="J67">
            <v>45</v>
          </cell>
          <cell r="O67">
            <v>45</v>
          </cell>
          <cell r="W67">
            <v>1</v>
          </cell>
          <cell r="AF67">
            <v>0</v>
          </cell>
          <cell r="AG67">
            <v>1</v>
          </cell>
          <cell r="AH67">
            <v>0</v>
          </cell>
          <cell r="AJ67">
            <v>0</v>
          </cell>
          <cell r="AQ67">
            <v>1</v>
          </cell>
          <cell r="AV67">
            <v>1</v>
          </cell>
          <cell r="AW67">
            <v>0</v>
          </cell>
          <cell r="AX67">
            <v>0</v>
          </cell>
          <cell r="AY67">
            <v>0</v>
          </cell>
          <cell r="BX67">
            <v>0</v>
          </cell>
          <cell r="CB67">
            <v>0</v>
          </cell>
          <cell r="CC67">
            <v>0</v>
          </cell>
          <cell r="CD67">
            <v>0</v>
          </cell>
          <cell r="CL67">
            <v>1</v>
          </cell>
          <cell r="CM67">
            <v>0</v>
          </cell>
          <cell r="CP67">
            <v>1</v>
          </cell>
          <cell r="CV67">
            <v>0</v>
          </cell>
          <cell r="CW67">
            <v>0</v>
          </cell>
          <cell r="CX67">
            <v>0</v>
          </cell>
        </row>
        <row r="68">
          <cell r="C68" t="str">
            <v>Cộng 3:</v>
          </cell>
          <cell r="E68">
            <v>0</v>
          </cell>
          <cell r="F68">
            <v>0</v>
          </cell>
          <cell r="G68">
            <v>0</v>
          </cell>
          <cell r="H68">
            <v>360</v>
          </cell>
          <cell r="I68">
            <v>0</v>
          </cell>
          <cell r="J68">
            <v>360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360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12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5</v>
          </cell>
          <cell r="AE68">
            <v>0</v>
          </cell>
          <cell r="AF68">
            <v>0</v>
          </cell>
          <cell r="AG68">
            <v>1</v>
          </cell>
          <cell r="AH68">
            <v>3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2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2</v>
          </cell>
          <cell r="AW68">
            <v>1</v>
          </cell>
          <cell r="AX68">
            <v>0</v>
          </cell>
          <cell r="AY68">
            <v>0</v>
          </cell>
          <cell r="AZ68">
            <v>0</v>
          </cell>
          <cell r="BA68">
            <v>2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1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1</v>
          </cell>
          <cell r="BX68">
            <v>3</v>
          </cell>
          <cell r="BY68">
            <v>4</v>
          </cell>
          <cell r="BZ68">
            <v>2</v>
          </cell>
          <cell r="CA68">
            <v>0</v>
          </cell>
          <cell r="CB68">
            <v>0</v>
          </cell>
          <cell r="CC68">
            <v>5</v>
          </cell>
          <cell r="CD68">
            <v>8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4</v>
          </cell>
          <cell r="CM68">
            <v>6</v>
          </cell>
          <cell r="CN68">
            <v>0</v>
          </cell>
          <cell r="CO68">
            <v>0</v>
          </cell>
          <cell r="CP68">
            <v>4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2</v>
          </cell>
          <cell r="CV68">
            <v>2</v>
          </cell>
          <cell r="CW68">
            <v>0</v>
          </cell>
          <cell r="CX68">
            <v>1</v>
          </cell>
          <cell r="CY68">
            <v>2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1</v>
          </cell>
          <cell r="DG68">
            <v>0</v>
          </cell>
          <cell r="DH68">
            <v>0.5</v>
          </cell>
          <cell r="DI68">
            <v>2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2</v>
          </cell>
          <cell r="DP68">
            <v>0</v>
          </cell>
          <cell r="DQ68">
            <v>2</v>
          </cell>
          <cell r="DR68">
            <v>1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</row>
        <row r="70">
          <cell r="B70" t="str">
            <v>TT3P</v>
          </cell>
          <cell r="C70" t="str">
            <v>8. Tuyến 1 pha Sông Nhạn 11A (xây dựng mới TBA Sông Nhạn 11A -75kVA)</v>
          </cell>
          <cell r="AR70" t="str">
            <v/>
          </cell>
        </row>
        <row r="71">
          <cell r="C71">
            <v>13</v>
          </cell>
          <cell r="E71" t="str">
            <v>I-DT</v>
          </cell>
          <cell r="J71">
            <v>0</v>
          </cell>
          <cell r="O71">
            <v>0</v>
          </cell>
          <cell r="AD71">
            <v>0</v>
          </cell>
          <cell r="AF71">
            <v>0</v>
          </cell>
          <cell r="AH71">
            <v>0</v>
          </cell>
          <cell r="AJ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BX71">
            <v>0</v>
          </cell>
          <cell r="BY71">
            <v>1</v>
          </cell>
          <cell r="CB71">
            <v>0</v>
          </cell>
          <cell r="CC71">
            <v>0</v>
          </cell>
          <cell r="CD71">
            <v>2</v>
          </cell>
          <cell r="CL71">
            <v>1</v>
          </cell>
          <cell r="CM71">
            <v>0</v>
          </cell>
          <cell r="CP71">
            <v>1</v>
          </cell>
          <cell r="CU71">
            <v>1</v>
          </cell>
          <cell r="CV71">
            <v>1</v>
          </cell>
          <cell r="CW71">
            <v>0</v>
          </cell>
          <cell r="CX71">
            <v>1</v>
          </cell>
          <cell r="CY71">
            <v>2</v>
          </cell>
          <cell r="DI71">
            <v>0.5</v>
          </cell>
          <cell r="DO71">
            <v>0.5</v>
          </cell>
          <cell r="DQ71">
            <v>1</v>
          </cell>
          <cell r="DR71">
            <v>1</v>
          </cell>
        </row>
        <row r="72">
          <cell r="C72" t="str">
            <v>001</v>
          </cell>
          <cell r="E72" t="str">
            <v>2DT</v>
          </cell>
          <cell r="H72">
            <v>25</v>
          </cell>
          <cell r="J72">
            <v>25</v>
          </cell>
          <cell r="O72">
            <v>25</v>
          </cell>
          <cell r="W72">
            <v>1</v>
          </cell>
          <cell r="AD72">
            <v>1</v>
          </cell>
          <cell r="AF72">
            <v>0</v>
          </cell>
          <cell r="AH72">
            <v>0</v>
          </cell>
          <cell r="AJ72">
            <v>0</v>
          </cell>
          <cell r="AQ72">
            <v>1</v>
          </cell>
          <cell r="AV72">
            <v>1</v>
          </cell>
          <cell r="AW72">
            <v>0</v>
          </cell>
          <cell r="AX72">
            <v>0</v>
          </cell>
          <cell r="AY72">
            <v>0</v>
          </cell>
          <cell r="BW72">
            <v>1</v>
          </cell>
          <cell r="BX72">
            <v>0</v>
          </cell>
          <cell r="BY72">
            <v>0</v>
          </cell>
          <cell r="CB72">
            <v>0</v>
          </cell>
          <cell r="CC72">
            <v>0</v>
          </cell>
          <cell r="CD72">
            <v>0</v>
          </cell>
          <cell r="CL72">
            <v>2</v>
          </cell>
          <cell r="CM72">
            <v>0</v>
          </cell>
          <cell r="CP72">
            <v>2</v>
          </cell>
          <cell r="CV72">
            <v>0</v>
          </cell>
          <cell r="CW72">
            <v>0</v>
          </cell>
          <cell r="CX72">
            <v>0</v>
          </cell>
          <cell r="DF72">
            <v>1</v>
          </cell>
          <cell r="DH72">
            <v>0.5</v>
          </cell>
          <cell r="DI72">
            <v>1</v>
          </cell>
          <cell r="DO72">
            <v>1</v>
          </cell>
          <cell r="DQ72">
            <v>1</v>
          </cell>
        </row>
        <row r="73">
          <cell r="C73" t="str">
            <v>002</v>
          </cell>
          <cell r="E73" t="str">
            <v>I</v>
          </cell>
          <cell r="H73">
            <v>45</v>
          </cell>
          <cell r="J73">
            <v>45</v>
          </cell>
          <cell r="O73">
            <v>45</v>
          </cell>
          <cell r="W73">
            <v>1</v>
          </cell>
          <cell r="AD73">
            <v>1</v>
          </cell>
          <cell r="AF73">
            <v>0</v>
          </cell>
          <cell r="AH73">
            <v>0</v>
          </cell>
          <cell r="AJ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BX73">
            <v>1</v>
          </cell>
          <cell r="BY73">
            <v>0</v>
          </cell>
          <cell r="CB73">
            <v>0</v>
          </cell>
          <cell r="CC73">
            <v>1</v>
          </cell>
          <cell r="CD73">
            <v>0</v>
          </cell>
          <cell r="CL73">
            <v>0</v>
          </cell>
          <cell r="CM73">
            <v>1</v>
          </cell>
          <cell r="CP73">
            <v>0</v>
          </cell>
          <cell r="CU73">
            <v>1</v>
          </cell>
          <cell r="CV73">
            <v>1</v>
          </cell>
          <cell r="CW73">
            <v>0</v>
          </cell>
          <cell r="DO73">
            <v>0</v>
          </cell>
        </row>
        <row r="74">
          <cell r="C74" t="str">
            <v>003</v>
          </cell>
          <cell r="E74" t="str">
            <v>I</v>
          </cell>
          <cell r="H74">
            <v>45</v>
          </cell>
          <cell r="J74">
            <v>45</v>
          </cell>
          <cell r="O74">
            <v>45</v>
          </cell>
          <cell r="W74">
            <v>1</v>
          </cell>
          <cell r="AD74">
            <v>1</v>
          </cell>
          <cell r="AF74">
            <v>0</v>
          </cell>
          <cell r="AH74">
            <v>0</v>
          </cell>
          <cell r="AJ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BA74">
            <v>1</v>
          </cell>
          <cell r="BX74">
            <v>1</v>
          </cell>
          <cell r="BY74">
            <v>0</v>
          </cell>
          <cell r="CB74">
            <v>0</v>
          </cell>
          <cell r="CC74">
            <v>1</v>
          </cell>
          <cell r="CD74">
            <v>0</v>
          </cell>
          <cell r="CL74">
            <v>0</v>
          </cell>
          <cell r="CM74">
            <v>1</v>
          </cell>
          <cell r="CP74">
            <v>0</v>
          </cell>
          <cell r="CV74">
            <v>0</v>
          </cell>
          <cell r="CW74">
            <v>0</v>
          </cell>
          <cell r="CX74">
            <v>0</v>
          </cell>
          <cell r="DO74">
            <v>0</v>
          </cell>
        </row>
        <row r="75">
          <cell r="C75" t="str">
            <v>004</v>
          </cell>
          <cell r="E75" t="str">
            <v>I</v>
          </cell>
          <cell r="H75">
            <v>45</v>
          </cell>
          <cell r="J75">
            <v>45</v>
          </cell>
          <cell r="O75">
            <v>45</v>
          </cell>
          <cell r="W75">
            <v>1</v>
          </cell>
          <cell r="AD75">
            <v>1</v>
          </cell>
          <cell r="AF75">
            <v>0</v>
          </cell>
          <cell r="AH75">
            <v>0</v>
          </cell>
          <cell r="AJ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BX75">
            <v>1</v>
          </cell>
          <cell r="BY75">
            <v>0</v>
          </cell>
          <cell r="CB75">
            <v>0</v>
          </cell>
          <cell r="CC75">
            <v>1</v>
          </cell>
          <cell r="CD75">
            <v>0</v>
          </cell>
          <cell r="CL75">
            <v>0</v>
          </cell>
          <cell r="CM75">
            <v>1</v>
          </cell>
          <cell r="CP75">
            <v>0</v>
          </cell>
          <cell r="CV75">
            <v>0</v>
          </cell>
          <cell r="CW75">
            <v>0</v>
          </cell>
          <cell r="CX75">
            <v>0</v>
          </cell>
          <cell r="DO75">
            <v>0</v>
          </cell>
        </row>
        <row r="76">
          <cell r="C76" t="str">
            <v>005</v>
          </cell>
          <cell r="E76" t="str">
            <v>I</v>
          </cell>
          <cell r="H76">
            <v>45</v>
          </cell>
          <cell r="J76">
            <v>45</v>
          </cell>
          <cell r="O76">
            <v>45</v>
          </cell>
          <cell r="W76">
            <v>1</v>
          </cell>
          <cell r="AD76">
            <v>1</v>
          </cell>
          <cell r="AF76">
            <v>0</v>
          </cell>
          <cell r="AH76">
            <v>0</v>
          </cell>
          <cell r="AJ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BX76">
            <v>1</v>
          </cell>
          <cell r="BY76">
            <v>0</v>
          </cell>
          <cell r="CB76">
            <v>0</v>
          </cell>
          <cell r="CC76">
            <v>1</v>
          </cell>
          <cell r="CD76">
            <v>0</v>
          </cell>
          <cell r="CL76">
            <v>0</v>
          </cell>
          <cell r="CM76">
            <v>1</v>
          </cell>
          <cell r="CP76">
            <v>0</v>
          </cell>
          <cell r="CV76">
            <v>0</v>
          </cell>
          <cell r="CW76">
            <v>0</v>
          </cell>
          <cell r="CX76">
            <v>0</v>
          </cell>
          <cell r="DO76">
            <v>0</v>
          </cell>
        </row>
        <row r="77">
          <cell r="C77" t="str">
            <v>006</v>
          </cell>
          <cell r="E77" t="str">
            <v>2DT</v>
          </cell>
          <cell r="H77">
            <v>42</v>
          </cell>
          <cell r="J77">
            <v>42</v>
          </cell>
          <cell r="O77">
            <v>42</v>
          </cell>
          <cell r="W77">
            <v>2</v>
          </cell>
          <cell r="AD77">
            <v>0</v>
          </cell>
          <cell r="AF77">
            <v>0</v>
          </cell>
          <cell r="AH77">
            <v>1</v>
          </cell>
          <cell r="AJ77">
            <v>0</v>
          </cell>
          <cell r="AQ77">
            <v>1</v>
          </cell>
          <cell r="AV77">
            <v>1</v>
          </cell>
          <cell r="AW77">
            <v>0</v>
          </cell>
          <cell r="AX77">
            <v>0</v>
          </cell>
          <cell r="AY77">
            <v>0</v>
          </cell>
          <cell r="BX77">
            <v>1</v>
          </cell>
          <cell r="BY77">
            <v>0</v>
          </cell>
          <cell r="CB77">
            <v>0</v>
          </cell>
          <cell r="CC77">
            <v>1</v>
          </cell>
          <cell r="CD77">
            <v>0</v>
          </cell>
          <cell r="CL77">
            <v>2</v>
          </cell>
          <cell r="CM77">
            <v>0</v>
          </cell>
          <cell r="CP77">
            <v>2</v>
          </cell>
          <cell r="CV77">
            <v>0</v>
          </cell>
          <cell r="CW77">
            <v>0</v>
          </cell>
          <cell r="CX77">
            <v>0</v>
          </cell>
          <cell r="DH77">
            <v>0.5</v>
          </cell>
          <cell r="DI77">
            <v>0.5</v>
          </cell>
          <cell r="DO77">
            <v>0.5</v>
          </cell>
        </row>
        <row r="78">
          <cell r="C78" t="str">
            <v>007</v>
          </cell>
          <cell r="E78" t="str">
            <v>I</v>
          </cell>
          <cell r="H78">
            <v>45</v>
          </cell>
          <cell r="J78">
            <v>45</v>
          </cell>
          <cell r="O78">
            <v>45</v>
          </cell>
          <cell r="W78">
            <v>1</v>
          </cell>
          <cell r="AD78">
            <v>1</v>
          </cell>
          <cell r="AF78">
            <v>0</v>
          </cell>
          <cell r="AH78">
            <v>0</v>
          </cell>
          <cell r="AJ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BX78">
            <v>1</v>
          </cell>
          <cell r="BY78">
            <v>0</v>
          </cell>
          <cell r="CB78">
            <v>0</v>
          </cell>
          <cell r="CC78">
            <v>1</v>
          </cell>
          <cell r="CD78">
            <v>0</v>
          </cell>
          <cell r="CL78">
            <v>0</v>
          </cell>
          <cell r="CM78">
            <v>1</v>
          </cell>
          <cell r="CP78">
            <v>0</v>
          </cell>
          <cell r="CV78">
            <v>0</v>
          </cell>
          <cell r="CW78">
            <v>0</v>
          </cell>
          <cell r="CX78">
            <v>0</v>
          </cell>
          <cell r="DO78">
            <v>0</v>
          </cell>
        </row>
        <row r="79">
          <cell r="C79" t="str">
            <v>008</v>
          </cell>
          <cell r="E79" t="str">
            <v>I</v>
          </cell>
          <cell r="H79">
            <v>45</v>
          </cell>
          <cell r="J79">
            <v>45</v>
          </cell>
          <cell r="O79">
            <v>45</v>
          </cell>
          <cell r="W79">
            <v>1</v>
          </cell>
          <cell r="AD79">
            <v>1</v>
          </cell>
          <cell r="AF79">
            <v>0</v>
          </cell>
          <cell r="AH79">
            <v>0</v>
          </cell>
          <cell r="AJ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BA79">
            <v>1</v>
          </cell>
          <cell r="BX79">
            <v>1</v>
          </cell>
          <cell r="BY79">
            <v>0</v>
          </cell>
          <cell r="CB79">
            <v>0</v>
          </cell>
          <cell r="CC79">
            <v>1</v>
          </cell>
          <cell r="CD79">
            <v>0</v>
          </cell>
          <cell r="CL79">
            <v>0</v>
          </cell>
          <cell r="CM79">
            <v>1</v>
          </cell>
          <cell r="CP79">
            <v>0</v>
          </cell>
          <cell r="CV79">
            <v>0</v>
          </cell>
          <cell r="CW79">
            <v>0</v>
          </cell>
          <cell r="CX79">
            <v>0</v>
          </cell>
          <cell r="DO79">
            <v>0</v>
          </cell>
        </row>
        <row r="80">
          <cell r="C80" t="str">
            <v>009</v>
          </cell>
          <cell r="E80" t="str">
            <v>G</v>
          </cell>
          <cell r="H80">
            <v>45</v>
          </cell>
          <cell r="J80">
            <v>45</v>
          </cell>
          <cell r="O80">
            <v>45</v>
          </cell>
          <cell r="W80">
            <v>1</v>
          </cell>
          <cell r="AD80">
            <v>1</v>
          </cell>
          <cell r="AF80">
            <v>0</v>
          </cell>
          <cell r="AH80">
            <v>0</v>
          </cell>
          <cell r="AJ80">
            <v>0</v>
          </cell>
          <cell r="AQ80">
            <v>1</v>
          </cell>
          <cell r="AV80">
            <v>1</v>
          </cell>
          <cell r="AW80">
            <v>0</v>
          </cell>
          <cell r="AX80">
            <v>0</v>
          </cell>
          <cell r="AY80">
            <v>0</v>
          </cell>
          <cell r="BX80">
            <v>0</v>
          </cell>
          <cell r="BY80">
            <v>1</v>
          </cell>
          <cell r="CB80">
            <v>0</v>
          </cell>
          <cell r="CC80">
            <v>0</v>
          </cell>
          <cell r="CD80">
            <v>2</v>
          </cell>
          <cell r="CL80">
            <v>0</v>
          </cell>
          <cell r="CM80">
            <v>1</v>
          </cell>
          <cell r="CP80">
            <v>0</v>
          </cell>
          <cell r="CV80">
            <v>0</v>
          </cell>
          <cell r="CW80">
            <v>0</v>
          </cell>
          <cell r="CX80">
            <v>0</v>
          </cell>
          <cell r="DO80">
            <v>0</v>
          </cell>
        </row>
        <row r="81">
          <cell r="C81" t="str">
            <v>010</v>
          </cell>
          <cell r="E81" t="str">
            <v>DT</v>
          </cell>
          <cell r="H81">
            <v>45</v>
          </cell>
          <cell r="J81">
            <v>45</v>
          </cell>
          <cell r="O81">
            <v>45</v>
          </cell>
          <cell r="W81">
            <v>1</v>
          </cell>
          <cell r="AF81">
            <v>0</v>
          </cell>
          <cell r="AG81">
            <v>1</v>
          </cell>
          <cell r="AH81">
            <v>0</v>
          </cell>
          <cell r="AJ81">
            <v>0</v>
          </cell>
          <cell r="AQ81">
            <v>1</v>
          </cell>
          <cell r="AV81">
            <v>1</v>
          </cell>
          <cell r="AW81">
            <v>0</v>
          </cell>
          <cell r="AX81">
            <v>0</v>
          </cell>
          <cell r="AY81">
            <v>0</v>
          </cell>
          <cell r="BX81">
            <v>0</v>
          </cell>
          <cell r="CB81">
            <v>0</v>
          </cell>
          <cell r="CC81">
            <v>0</v>
          </cell>
          <cell r="CD81">
            <v>0</v>
          </cell>
          <cell r="CL81">
            <v>1</v>
          </cell>
          <cell r="CM81">
            <v>0</v>
          </cell>
          <cell r="CP81">
            <v>1</v>
          </cell>
          <cell r="CV81">
            <v>0</v>
          </cell>
          <cell r="CW81">
            <v>0</v>
          </cell>
          <cell r="CX81">
            <v>0</v>
          </cell>
          <cell r="DO81">
            <v>0</v>
          </cell>
        </row>
        <row r="82">
          <cell r="C82" t="str">
            <v>Cộng 8:</v>
          </cell>
          <cell r="E82">
            <v>0</v>
          </cell>
          <cell r="F82">
            <v>0</v>
          </cell>
          <cell r="G82">
            <v>0</v>
          </cell>
          <cell r="H82">
            <v>427</v>
          </cell>
          <cell r="I82">
            <v>0</v>
          </cell>
          <cell r="J82">
            <v>427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427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11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8</v>
          </cell>
          <cell r="AE82">
            <v>0</v>
          </cell>
          <cell r="AF82">
            <v>0</v>
          </cell>
          <cell r="AG82">
            <v>1</v>
          </cell>
          <cell r="AH82">
            <v>1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4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4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2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1</v>
          </cell>
          <cell r="BX82">
            <v>7</v>
          </cell>
          <cell r="BY82">
            <v>2</v>
          </cell>
          <cell r="BZ82">
            <v>0</v>
          </cell>
          <cell r="CA82">
            <v>0</v>
          </cell>
          <cell r="CB82">
            <v>0</v>
          </cell>
          <cell r="CC82">
            <v>7</v>
          </cell>
          <cell r="CD82">
            <v>4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6</v>
          </cell>
          <cell r="CM82">
            <v>7</v>
          </cell>
          <cell r="CN82">
            <v>0</v>
          </cell>
          <cell r="CO82">
            <v>0</v>
          </cell>
          <cell r="CP82">
            <v>6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2</v>
          </cell>
          <cell r="CV82">
            <v>2</v>
          </cell>
          <cell r="CW82">
            <v>0</v>
          </cell>
          <cell r="CX82">
            <v>1</v>
          </cell>
          <cell r="CY82">
            <v>2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1</v>
          </cell>
          <cell r="DG82">
            <v>0</v>
          </cell>
          <cell r="DH82">
            <v>1</v>
          </cell>
          <cell r="DI82">
            <v>2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2</v>
          </cell>
          <cell r="DP82">
            <v>0</v>
          </cell>
          <cell r="DQ82">
            <v>2</v>
          </cell>
          <cell r="DR82">
            <v>1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</row>
        <row r="84">
          <cell r="B84" t="str">
            <v>TT3P</v>
          </cell>
          <cell r="C84" t="str">
            <v>11. Tuyến 1 pha  Sông Nhạn 18A (xây dựng mới TBA Sông Nhạn 18A -75kVA)</v>
          </cell>
          <cell r="AR84" t="str">
            <v/>
          </cell>
        </row>
        <row r="85">
          <cell r="C85" t="str">
            <v>092</v>
          </cell>
          <cell r="E85" t="str">
            <v>2DT</v>
          </cell>
          <cell r="J85">
            <v>0</v>
          </cell>
          <cell r="O85">
            <v>0</v>
          </cell>
          <cell r="AD85">
            <v>0</v>
          </cell>
          <cell r="AF85">
            <v>0</v>
          </cell>
          <cell r="AH85">
            <v>0</v>
          </cell>
          <cell r="AJ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BX85">
            <v>0</v>
          </cell>
          <cell r="CB85">
            <v>0</v>
          </cell>
          <cell r="CC85">
            <v>0</v>
          </cell>
          <cell r="CD85">
            <v>0</v>
          </cell>
          <cell r="CL85">
            <v>1</v>
          </cell>
          <cell r="CM85">
            <v>0</v>
          </cell>
          <cell r="CP85">
            <v>1</v>
          </cell>
          <cell r="CU85">
            <v>1</v>
          </cell>
          <cell r="CV85">
            <v>1</v>
          </cell>
          <cell r="CW85">
            <v>0</v>
          </cell>
          <cell r="CX85">
            <v>1</v>
          </cell>
          <cell r="CY85">
            <v>2</v>
          </cell>
          <cell r="DI85">
            <v>1</v>
          </cell>
          <cell r="DO85">
            <v>1</v>
          </cell>
          <cell r="DQ85">
            <v>1</v>
          </cell>
          <cell r="DR85">
            <v>1</v>
          </cell>
        </row>
        <row r="86">
          <cell r="C86" t="str">
            <v>093</v>
          </cell>
          <cell r="E86" t="str">
            <v>2DT</v>
          </cell>
          <cell r="H86">
            <v>15</v>
          </cell>
          <cell r="J86">
            <v>15</v>
          </cell>
          <cell r="O86">
            <v>15</v>
          </cell>
          <cell r="W86">
            <v>1</v>
          </cell>
          <cell r="AD86">
            <v>1</v>
          </cell>
          <cell r="AF86">
            <v>0</v>
          </cell>
          <cell r="AH86">
            <v>0</v>
          </cell>
          <cell r="AJ86">
            <v>0</v>
          </cell>
          <cell r="AQ86">
            <v>1</v>
          </cell>
          <cell r="AV86">
            <v>1</v>
          </cell>
          <cell r="AW86">
            <v>0</v>
          </cell>
          <cell r="AX86">
            <v>0</v>
          </cell>
          <cell r="AY86">
            <v>0</v>
          </cell>
          <cell r="BA86">
            <v>1</v>
          </cell>
          <cell r="BW86">
            <v>1</v>
          </cell>
          <cell r="BX86">
            <v>0</v>
          </cell>
          <cell r="BY86">
            <v>0</v>
          </cell>
          <cell r="CB86">
            <v>0</v>
          </cell>
          <cell r="CC86">
            <v>0</v>
          </cell>
          <cell r="CD86">
            <v>0</v>
          </cell>
          <cell r="CL86">
            <v>2</v>
          </cell>
          <cell r="CM86">
            <v>0</v>
          </cell>
          <cell r="CP86">
            <v>2</v>
          </cell>
          <cell r="CV86">
            <v>0</v>
          </cell>
          <cell r="CW86">
            <v>0</v>
          </cell>
          <cell r="CX86">
            <v>0</v>
          </cell>
          <cell r="DF86">
            <v>1</v>
          </cell>
          <cell r="DH86">
            <v>1</v>
          </cell>
          <cell r="DI86">
            <v>1</v>
          </cell>
          <cell r="DO86">
            <v>1</v>
          </cell>
          <cell r="DQ86">
            <v>1</v>
          </cell>
        </row>
        <row r="87">
          <cell r="C87" t="str">
            <v>094</v>
          </cell>
          <cell r="E87" t="str">
            <v>G</v>
          </cell>
          <cell r="H87">
            <v>45</v>
          </cell>
          <cell r="J87">
            <v>45</v>
          </cell>
          <cell r="O87">
            <v>45</v>
          </cell>
          <cell r="W87">
            <v>1</v>
          </cell>
          <cell r="AD87">
            <v>1</v>
          </cell>
          <cell r="AF87">
            <v>0</v>
          </cell>
          <cell r="AH87">
            <v>0</v>
          </cell>
          <cell r="AJ87">
            <v>0</v>
          </cell>
          <cell r="AQ87">
            <v>1</v>
          </cell>
          <cell r="AV87">
            <v>1</v>
          </cell>
          <cell r="AW87">
            <v>0</v>
          </cell>
          <cell r="AX87">
            <v>0</v>
          </cell>
          <cell r="AY87">
            <v>0</v>
          </cell>
          <cell r="BX87">
            <v>0</v>
          </cell>
          <cell r="BY87">
            <v>1</v>
          </cell>
          <cell r="CB87">
            <v>0</v>
          </cell>
          <cell r="CC87">
            <v>0</v>
          </cell>
          <cell r="CD87">
            <v>2</v>
          </cell>
          <cell r="CL87">
            <v>0</v>
          </cell>
          <cell r="CM87">
            <v>1</v>
          </cell>
          <cell r="CP87">
            <v>0</v>
          </cell>
          <cell r="CU87">
            <v>1</v>
          </cell>
          <cell r="CV87">
            <v>1</v>
          </cell>
          <cell r="CW87">
            <v>0</v>
          </cell>
          <cell r="DO87">
            <v>0</v>
          </cell>
        </row>
        <row r="88">
          <cell r="C88" t="str">
            <v>095</v>
          </cell>
          <cell r="E88" t="str">
            <v>G</v>
          </cell>
          <cell r="H88">
            <v>40</v>
          </cell>
          <cell r="J88">
            <v>40</v>
          </cell>
          <cell r="O88">
            <v>40</v>
          </cell>
          <cell r="W88">
            <v>2</v>
          </cell>
          <cell r="AD88">
            <v>0</v>
          </cell>
          <cell r="AF88">
            <v>0</v>
          </cell>
          <cell r="AH88">
            <v>1</v>
          </cell>
          <cell r="AJ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BX88">
            <v>0</v>
          </cell>
          <cell r="BY88">
            <v>1</v>
          </cell>
          <cell r="CB88">
            <v>0</v>
          </cell>
          <cell r="CC88">
            <v>0</v>
          </cell>
          <cell r="CD88">
            <v>2</v>
          </cell>
          <cell r="CL88">
            <v>0</v>
          </cell>
          <cell r="CM88">
            <v>1</v>
          </cell>
          <cell r="CP88">
            <v>0</v>
          </cell>
          <cell r="CV88">
            <v>0</v>
          </cell>
          <cell r="CW88">
            <v>0</v>
          </cell>
          <cell r="CX88">
            <v>0</v>
          </cell>
          <cell r="DO88">
            <v>0</v>
          </cell>
        </row>
        <row r="89">
          <cell r="C89" t="str">
            <v>096</v>
          </cell>
          <cell r="E89" t="str">
            <v>2DT</v>
          </cell>
          <cell r="H89">
            <v>40</v>
          </cell>
          <cell r="J89">
            <v>40</v>
          </cell>
          <cell r="O89">
            <v>40</v>
          </cell>
          <cell r="W89">
            <v>1</v>
          </cell>
          <cell r="AD89">
            <v>1</v>
          </cell>
          <cell r="AF89">
            <v>0</v>
          </cell>
          <cell r="AH89">
            <v>0</v>
          </cell>
          <cell r="AJ89">
            <v>0</v>
          </cell>
          <cell r="AQ89">
            <v>2</v>
          </cell>
          <cell r="AV89">
            <v>2</v>
          </cell>
          <cell r="AW89">
            <v>0</v>
          </cell>
          <cell r="AX89">
            <v>0</v>
          </cell>
          <cell r="AY89">
            <v>0</v>
          </cell>
          <cell r="BX89">
            <v>1</v>
          </cell>
          <cell r="BY89">
            <v>0</v>
          </cell>
          <cell r="CB89">
            <v>0</v>
          </cell>
          <cell r="CC89">
            <v>1</v>
          </cell>
          <cell r="CD89">
            <v>0</v>
          </cell>
          <cell r="CL89">
            <v>2</v>
          </cell>
          <cell r="CM89">
            <v>0</v>
          </cell>
          <cell r="CP89">
            <v>2</v>
          </cell>
          <cell r="CV89">
            <v>0</v>
          </cell>
          <cell r="CW89">
            <v>0</v>
          </cell>
          <cell r="CX89">
            <v>0</v>
          </cell>
          <cell r="DH89">
            <v>0.5</v>
          </cell>
          <cell r="DI89">
            <v>0.5</v>
          </cell>
          <cell r="DO89">
            <v>0.5</v>
          </cell>
        </row>
        <row r="90">
          <cell r="C90" t="str">
            <v>097</v>
          </cell>
          <cell r="E90" t="str">
            <v>G</v>
          </cell>
          <cell r="H90">
            <v>35</v>
          </cell>
          <cell r="J90">
            <v>35</v>
          </cell>
          <cell r="O90">
            <v>35</v>
          </cell>
          <cell r="W90">
            <v>2</v>
          </cell>
          <cell r="AD90">
            <v>0</v>
          </cell>
          <cell r="AF90">
            <v>0</v>
          </cell>
          <cell r="AH90">
            <v>1</v>
          </cell>
          <cell r="AJ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BX90">
            <v>0</v>
          </cell>
          <cell r="BY90">
            <v>1</v>
          </cell>
          <cell r="CB90">
            <v>0</v>
          </cell>
          <cell r="CC90">
            <v>0</v>
          </cell>
          <cell r="CD90">
            <v>2</v>
          </cell>
          <cell r="CL90">
            <v>0</v>
          </cell>
          <cell r="CM90">
            <v>1</v>
          </cell>
          <cell r="CP90">
            <v>0</v>
          </cell>
          <cell r="CV90">
            <v>0</v>
          </cell>
          <cell r="CW90">
            <v>0</v>
          </cell>
          <cell r="CX90">
            <v>0</v>
          </cell>
          <cell r="DO90">
            <v>0</v>
          </cell>
        </row>
        <row r="91">
          <cell r="C91" t="str">
            <v>098</v>
          </cell>
          <cell r="E91" t="str">
            <v>G</v>
          </cell>
          <cell r="H91">
            <v>35</v>
          </cell>
          <cell r="J91">
            <v>35</v>
          </cell>
          <cell r="O91">
            <v>35</v>
          </cell>
          <cell r="W91">
            <v>1</v>
          </cell>
          <cell r="AD91">
            <v>1</v>
          </cell>
          <cell r="AF91">
            <v>0</v>
          </cell>
          <cell r="AH91">
            <v>0</v>
          </cell>
          <cell r="AJ91">
            <v>0</v>
          </cell>
          <cell r="AQ91">
            <v>1</v>
          </cell>
          <cell r="AV91">
            <v>1</v>
          </cell>
          <cell r="AW91">
            <v>0</v>
          </cell>
          <cell r="AX91">
            <v>0</v>
          </cell>
          <cell r="AY91">
            <v>0</v>
          </cell>
          <cell r="BA91">
            <v>1</v>
          </cell>
          <cell r="BX91">
            <v>1</v>
          </cell>
          <cell r="BY91">
            <v>1</v>
          </cell>
          <cell r="CB91">
            <v>0</v>
          </cell>
          <cell r="CC91">
            <v>1</v>
          </cell>
          <cell r="CD91">
            <v>2</v>
          </cell>
          <cell r="CL91">
            <v>0</v>
          </cell>
          <cell r="CM91">
            <v>1</v>
          </cell>
          <cell r="CP91">
            <v>0</v>
          </cell>
          <cell r="CV91">
            <v>0</v>
          </cell>
          <cell r="CW91">
            <v>0</v>
          </cell>
          <cell r="CX91">
            <v>0</v>
          </cell>
          <cell r="DO91">
            <v>0</v>
          </cell>
        </row>
        <row r="92">
          <cell r="C92" t="str">
            <v>099</v>
          </cell>
          <cell r="E92" t="str">
            <v>I</v>
          </cell>
          <cell r="H92">
            <v>40</v>
          </cell>
          <cell r="J92">
            <v>40</v>
          </cell>
          <cell r="O92">
            <v>40</v>
          </cell>
          <cell r="W92">
            <v>1</v>
          </cell>
          <cell r="AD92">
            <v>1</v>
          </cell>
          <cell r="AF92">
            <v>0</v>
          </cell>
          <cell r="AH92">
            <v>0</v>
          </cell>
          <cell r="AJ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BX92">
            <v>1</v>
          </cell>
          <cell r="BY92">
            <v>0</v>
          </cell>
          <cell r="CB92">
            <v>0</v>
          </cell>
          <cell r="CC92">
            <v>1</v>
          </cell>
          <cell r="CD92">
            <v>0</v>
          </cell>
          <cell r="CL92">
            <v>0</v>
          </cell>
          <cell r="CM92">
            <v>1</v>
          </cell>
          <cell r="CP92">
            <v>0</v>
          </cell>
          <cell r="CV92">
            <v>0</v>
          </cell>
          <cell r="CW92">
            <v>0</v>
          </cell>
          <cell r="CX92">
            <v>0</v>
          </cell>
          <cell r="DO92">
            <v>0</v>
          </cell>
        </row>
        <row r="93">
          <cell r="C93" t="str">
            <v>100</v>
          </cell>
          <cell r="E93" t="str">
            <v>2DT</v>
          </cell>
          <cell r="H93">
            <v>39</v>
          </cell>
          <cell r="J93">
            <v>39</v>
          </cell>
          <cell r="O93">
            <v>39</v>
          </cell>
          <cell r="W93">
            <v>2</v>
          </cell>
          <cell r="AD93">
            <v>0</v>
          </cell>
          <cell r="AF93">
            <v>0</v>
          </cell>
          <cell r="AH93">
            <v>1</v>
          </cell>
          <cell r="AJ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BX93">
            <v>1</v>
          </cell>
          <cell r="BY93">
            <v>0</v>
          </cell>
          <cell r="CB93">
            <v>0</v>
          </cell>
          <cell r="CC93">
            <v>1</v>
          </cell>
          <cell r="CD93">
            <v>0</v>
          </cell>
          <cell r="CL93">
            <v>2</v>
          </cell>
          <cell r="CM93">
            <v>0</v>
          </cell>
          <cell r="CP93">
            <v>2</v>
          </cell>
          <cell r="CV93">
            <v>0</v>
          </cell>
          <cell r="CW93">
            <v>0</v>
          </cell>
          <cell r="CX93">
            <v>0</v>
          </cell>
          <cell r="DH93">
            <v>0.5</v>
          </cell>
          <cell r="DI93">
            <v>0.5</v>
          </cell>
          <cell r="DO93">
            <v>0.5</v>
          </cell>
        </row>
        <row r="94">
          <cell r="C94" t="str">
            <v>101</v>
          </cell>
          <cell r="E94" t="str">
            <v>G</v>
          </cell>
          <cell r="H94">
            <v>40</v>
          </cell>
          <cell r="J94">
            <v>40</v>
          </cell>
          <cell r="O94">
            <v>40</v>
          </cell>
          <cell r="W94">
            <v>1</v>
          </cell>
          <cell r="AD94">
            <v>1</v>
          </cell>
          <cell r="AF94">
            <v>0</v>
          </cell>
          <cell r="AH94">
            <v>0</v>
          </cell>
          <cell r="AJ94">
            <v>0</v>
          </cell>
          <cell r="AR94">
            <v>1</v>
          </cell>
          <cell r="AV94">
            <v>0</v>
          </cell>
          <cell r="AW94">
            <v>1</v>
          </cell>
          <cell r="AX94">
            <v>0</v>
          </cell>
          <cell r="AY94">
            <v>0</v>
          </cell>
          <cell r="BX94">
            <v>0</v>
          </cell>
          <cell r="BY94">
            <v>1</v>
          </cell>
          <cell r="CB94">
            <v>0</v>
          </cell>
          <cell r="CC94">
            <v>0</v>
          </cell>
          <cell r="CD94">
            <v>2</v>
          </cell>
          <cell r="CL94">
            <v>0</v>
          </cell>
          <cell r="CM94">
            <v>1</v>
          </cell>
          <cell r="CP94">
            <v>0</v>
          </cell>
          <cell r="CV94">
            <v>0</v>
          </cell>
          <cell r="CW94">
            <v>0</v>
          </cell>
          <cell r="CX94">
            <v>0</v>
          </cell>
          <cell r="DO94">
            <v>0</v>
          </cell>
        </row>
        <row r="95">
          <cell r="C95" t="str">
            <v>102</v>
          </cell>
          <cell r="E95" t="str">
            <v>G</v>
          </cell>
          <cell r="H95">
            <v>45</v>
          </cell>
          <cell r="J95">
            <v>45</v>
          </cell>
          <cell r="O95">
            <v>45</v>
          </cell>
          <cell r="W95">
            <v>1</v>
          </cell>
          <cell r="AD95">
            <v>1</v>
          </cell>
          <cell r="AF95">
            <v>0</v>
          </cell>
          <cell r="AH95">
            <v>0</v>
          </cell>
          <cell r="AJ95">
            <v>0</v>
          </cell>
          <cell r="AR95">
            <v>1</v>
          </cell>
          <cell r="AV95">
            <v>0</v>
          </cell>
          <cell r="AW95">
            <v>1</v>
          </cell>
          <cell r="AX95">
            <v>0</v>
          </cell>
          <cell r="AY95">
            <v>0</v>
          </cell>
          <cell r="BX95">
            <v>0</v>
          </cell>
          <cell r="BY95">
            <v>1</v>
          </cell>
          <cell r="CB95">
            <v>0</v>
          </cell>
          <cell r="CC95">
            <v>0</v>
          </cell>
          <cell r="CD95">
            <v>2</v>
          </cell>
          <cell r="CL95">
            <v>0</v>
          </cell>
          <cell r="CM95">
            <v>1</v>
          </cell>
          <cell r="CP95">
            <v>0</v>
          </cell>
          <cell r="CV95">
            <v>0</v>
          </cell>
          <cell r="CW95">
            <v>0</v>
          </cell>
          <cell r="CX95">
            <v>0</v>
          </cell>
          <cell r="DO95">
            <v>0</v>
          </cell>
        </row>
        <row r="96">
          <cell r="C96" t="str">
            <v>103</v>
          </cell>
          <cell r="E96" t="str">
            <v>G</v>
          </cell>
          <cell r="H96">
            <v>55</v>
          </cell>
          <cell r="J96">
            <v>55</v>
          </cell>
          <cell r="O96">
            <v>55</v>
          </cell>
          <cell r="W96">
            <v>1</v>
          </cell>
          <cell r="AD96">
            <v>1</v>
          </cell>
          <cell r="AF96">
            <v>0</v>
          </cell>
          <cell r="AH96">
            <v>0</v>
          </cell>
          <cell r="AJ96">
            <v>0</v>
          </cell>
          <cell r="AQ96">
            <v>1</v>
          </cell>
          <cell r="AV96">
            <v>1</v>
          </cell>
          <cell r="AW96">
            <v>0</v>
          </cell>
          <cell r="AX96">
            <v>0</v>
          </cell>
          <cell r="AY96">
            <v>0</v>
          </cell>
          <cell r="BA96">
            <v>1</v>
          </cell>
          <cell r="BX96">
            <v>0</v>
          </cell>
          <cell r="BY96">
            <v>1</v>
          </cell>
          <cell r="CB96">
            <v>0</v>
          </cell>
          <cell r="CC96">
            <v>0</v>
          </cell>
          <cell r="CD96">
            <v>2</v>
          </cell>
          <cell r="CL96">
            <v>0</v>
          </cell>
          <cell r="CM96">
            <v>1</v>
          </cell>
          <cell r="CP96">
            <v>0</v>
          </cell>
          <cell r="CV96">
            <v>0</v>
          </cell>
          <cell r="CW96">
            <v>0</v>
          </cell>
          <cell r="CX96">
            <v>0</v>
          </cell>
          <cell r="DO96">
            <v>0</v>
          </cell>
        </row>
        <row r="97">
          <cell r="C97" t="str">
            <v>104</v>
          </cell>
          <cell r="E97" t="str">
            <v>2DT</v>
          </cell>
          <cell r="H97">
            <v>40</v>
          </cell>
          <cell r="J97">
            <v>40</v>
          </cell>
          <cell r="O97">
            <v>40</v>
          </cell>
          <cell r="W97">
            <v>1</v>
          </cell>
          <cell r="AD97">
            <v>1</v>
          </cell>
          <cell r="AF97">
            <v>0</v>
          </cell>
          <cell r="AH97">
            <v>0</v>
          </cell>
          <cell r="AJ97">
            <v>0</v>
          </cell>
          <cell r="AQ97">
            <v>2</v>
          </cell>
          <cell r="AV97">
            <v>2</v>
          </cell>
          <cell r="AW97">
            <v>0</v>
          </cell>
          <cell r="AX97">
            <v>0</v>
          </cell>
          <cell r="AY97">
            <v>0</v>
          </cell>
          <cell r="BX97">
            <v>1</v>
          </cell>
          <cell r="BY97">
            <v>0</v>
          </cell>
          <cell r="CB97">
            <v>0</v>
          </cell>
          <cell r="CC97">
            <v>1</v>
          </cell>
          <cell r="CD97">
            <v>0</v>
          </cell>
          <cell r="CL97">
            <v>2</v>
          </cell>
          <cell r="CM97">
            <v>0</v>
          </cell>
          <cell r="CP97">
            <v>2</v>
          </cell>
          <cell r="CV97">
            <v>0</v>
          </cell>
          <cell r="CW97">
            <v>0</v>
          </cell>
          <cell r="CX97">
            <v>0</v>
          </cell>
          <cell r="DH97">
            <v>0.5</v>
          </cell>
          <cell r="DI97">
            <v>0.5</v>
          </cell>
          <cell r="DO97">
            <v>0.5</v>
          </cell>
        </row>
        <row r="98">
          <cell r="C98" t="str">
            <v>105</v>
          </cell>
          <cell r="E98" t="str">
            <v>G</v>
          </cell>
          <cell r="H98">
            <v>30</v>
          </cell>
          <cell r="J98">
            <v>30</v>
          </cell>
          <cell r="O98">
            <v>30</v>
          </cell>
          <cell r="W98">
            <v>2</v>
          </cell>
          <cell r="AD98">
            <v>0</v>
          </cell>
          <cell r="AF98">
            <v>0</v>
          </cell>
          <cell r="AH98">
            <v>1</v>
          </cell>
          <cell r="AJ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BX98">
            <v>1</v>
          </cell>
          <cell r="BY98">
            <v>1</v>
          </cell>
          <cell r="CB98">
            <v>0</v>
          </cell>
          <cell r="CC98">
            <v>1</v>
          </cell>
          <cell r="CD98">
            <v>2</v>
          </cell>
          <cell r="CL98">
            <v>0</v>
          </cell>
          <cell r="CM98">
            <v>1</v>
          </cell>
          <cell r="CP98">
            <v>0</v>
          </cell>
          <cell r="CV98">
            <v>0</v>
          </cell>
          <cell r="CW98">
            <v>0</v>
          </cell>
          <cell r="CX98">
            <v>0</v>
          </cell>
          <cell r="DO98">
            <v>0</v>
          </cell>
        </row>
        <row r="99">
          <cell r="C99" t="str">
            <v>106</v>
          </cell>
          <cell r="E99" t="str">
            <v>G</v>
          </cell>
          <cell r="H99">
            <v>40</v>
          </cell>
          <cell r="J99">
            <v>40</v>
          </cell>
          <cell r="O99">
            <v>40</v>
          </cell>
          <cell r="W99">
            <v>2</v>
          </cell>
          <cell r="AD99">
            <v>0</v>
          </cell>
          <cell r="AF99">
            <v>0</v>
          </cell>
          <cell r="AH99">
            <v>1</v>
          </cell>
          <cell r="AJ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BX99">
            <v>1</v>
          </cell>
          <cell r="BY99">
            <v>1</v>
          </cell>
          <cell r="CB99">
            <v>0</v>
          </cell>
          <cell r="CC99">
            <v>1</v>
          </cell>
          <cell r="CD99">
            <v>2</v>
          </cell>
          <cell r="CL99">
            <v>0</v>
          </cell>
          <cell r="CM99">
            <v>1</v>
          </cell>
          <cell r="CP99">
            <v>0</v>
          </cell>
          <cell r="CV99">
            <v>0</v>
          </cell>
          <cell r="CW99">
            <v>0</v>
          </cell>
          <cell r="CX99">
            <v>0</v>
          </cell>
          <cell r="DO99">
            <v>0</v>
          </cell>
        </row>
        <row r="100">
          <cell r="C100" t="str">
            <v>107</v>
          </cell>
          <cell r="E100" t="str">
            <v>I</v>
          </cell>
          <cell r="H100">
            <v>45</v>
          </cell>
          <cell r="J100">
            <v>45</v>
          </cell>
          <cell r="O100">
            <v>45</v>
          </cell>
          <cell r="W100">
            <v>1</v>
          </cell>
          <cell r="AD100">
            <v>1</v>
          </cell>
          <cell r="AF100">
            <v>0</v>
          </cell>
          <cell r="AH100">
            <v>0</v>
          </cell>
          <cell r="AJ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BX100">
            <v>1</v>
          </cell>
          <cell r="BY100">
            <v>0</v>
          </cell>
          <cell r="CB100">
            <v>0</v>
          </cell>
          <cell r="CC100">
            <v>1</v>
          </cell>
          <cell r="CD100">
            <v>0</v>
          </cell>
          <cell r="CL100">
            <v>0</v>
          </cell>
          <cell r="CM100">
            <v>1</v>
          </cell>
          <cell r="CP100">
            <v>0</v>
          </cell>
          <cell r="CV100">
            <v>0</v>
          </cell>
          <cell r="CW100">
            <v>0</v>
          </cell>
          <cell r="CX100">
            <v>0</v>
          </cell>
          <cell r="DO100">
            <v>0</v>
          </cell>
        </row>
        <row r="101">
          <cell r="C101" t="str">
            <v>108</v>
          </cell>
          <cell r="E101" t="str">
            <v>2DT</v>
          </cell>
          <cell r="H101">
            <v>40</v>
          </cell>
          <cell r="J101">
            <v>40</v>
          </cell>
          <cell r="O101">
            <v>40</v>
          </cell>
          <cell r="W101">
            <v>1</v>
          </cell>
          <cell r="AD101">
            <v>1</v>
          </cell>
          <cell r="AF101">
            <v>0</v>
          </cell>
          <cell r="AH101">
            <v>0</v>
          </cell>
          <cell r="AJ101">
            <v>0</v>
          </cell>
          <cell r="AQ101">
            <v>2</v>
          </cell>
          <cell r="AV101">
            <v>2</v>
          </cell>
          <cell r="AW101">
            <v>0</v>
          </cell>
          <cell r="AX101">
            <v>0</v>
          </cell>
          <cell r="AY101">
            <v>0</v>
          </cell>
          <cell r="BA101">
            <v>1</v>
          </cell>
          <cell r="BX101">
            <v>1</v>
          </cell>
          <cell r="BY101">
            <v>0</v>
          </cell>
          <cell r="CB101">
            <v>0</v>
          </cell>
          <cell r="CC101">
            <v>1</v>
          </cell>
          <cell r="CD101">
            <v>0</v>
          </cell>
          <cell r="CL101">
            <v>2</v>
          </cell>
          <cell r="CM101">
            <v>0</v>
          </cell>
          <cell r="CP101">
            <v>2</v>
          </cell>
          <cell r="CV101">
            <v>0</v>
          </cell>
          <cell r="CW101">
            <v>0</v>
          </cell>
          <cell r="CX101">
            <v>0</v>
          </cell>
          <cell r="DO101">
            <v>0</v>
          </cell>
        </row>
        <row r="102">
          <cell r="C102" t="str">
            <v>109</v>
          </cell>
          <cell r="E102" t="str">
            <v>2DT</v>
          </cell>
          <cell r="H102">
            <v>25</v>
          </cell>
          <cell r="J102">
            <v>25</v>
          </cell>
          <cell r="O102">
            <v>25</v>
          </cell>
          <cell r="W102">
            <v>2</v>
          </cell>
          <cell r="AD102">
            <v>0</v>
          </cell>
          <cell r="AF102">
            <v>0</v>
          </cell>
          <cell r="AH102">
            <v>1</v>
          </cell>
          <cell r="AJ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BX102">
            <v>1</v>
          </cell>
          <cell r="BY102">
            <v>0</v>
          </cell>
          <cell r="CB102">
            <v>0</v>
          </cell>
          <cell r="CC102">
            <v>1</v>
          </cell>
          <cell r="CD102">
            <v>0</v>
          </cell>
          <cell r="CL102">
            <v>2</v>
          </cell>
          <cell r="CM102">
            <v>0</v>
          </cell>
          <cell r="CP102">
            <v>2</v>
          </cell>
          <cell r="CV102">
            <v>0</v>
          </cell>
          <cell r="CW102">
            <v>0</v>
          </cell>
          <cell r="CX102">
            <v>0</v>
          </cell>
          <cell r="DH102">
            <v>0.5</v>
          </cell>
          <cell r="DI102">
            <v>0.5</v>
          </cell>
          <cell r="DO102">
            <v>0.5</v>
          </cell>
        </row>
        <row r="103">
          <cell r="C103" t="str">
            <v>110</v>
          </cell>
          <cell r="E103" t="str">
            <v>G</v>
          </cell>
          <cell r="H103">
            <v>45</v>
          </cell>
          <cell r="J103">
            <v>45</v>
          </cell>
          <cell r="O103">
            <v>45</v>
          </cell>
          <cell r="W103">
            <v>1</v>
          </cell>
          <cell r="AD103">
            <v>1</v>
          </cell>
          <cell r="AF103">
            <v>0</v>
          </cell>
          <cell r="AH103">
            <v>0</v>
          </cell>
          <cell r="AJ103">
            <v>0</v>
          </cell>
          <cell r="AQ103">
            <v>1</v>
          </cell>
          <cell r="AV103">
            <v>1</v>
          </cell>
          <cell r="AW103">
            <v>0</v>
          </cell>
          <cell r="AX103">
            <v>0</v>
          </cell>
          <cell r="AY103">
            <v>0</v>
          </cell>
          <cell r="BX103">
            <v>0</v>
          </cell>
          <cell r="BY103">
            <v>1</v>
          </cell>
          <cell r="CB103">
            <v>0</v>
          </cell>
          <cell r="CC103">
            <v>0</v>
          </cell>
          <cell r="CD103">
            <v>2</v>
          </cell>
          <cell r="CL103">
            <v>0</v>
          </cell>
          <cell r="CM103">
            <v>1</v>
          </cell>
          <cell r="CP103">
            <v>0</v>
          </cell>
          <cell r="CV103">
            <v>0</v>
          </cell>
          <cell r="CW103">
            <v>0</v>
          </cell>
          <cell r="CX103">
            <v>0</v>
          </cell>
          <cell r="DO103">
            <v>0</v>
          </cell>
        </row>
        <row r="104">
          <cell r="C104" t="str">
            <v>111</v>
          </cell>
          <cell r="E104" t="str">
            <v>G</v>
          </cell>
          <cell r="H104">
            <v>45</v>
          </cell>
          <cell r="J104">
            <v>45</v>
          </cell>
          <cell r="O104">
            <v>45</v>
          </cell>
          <cell r="W104">
            <v>2</v>
          </cell>
          <cell r="AD104">
            <v>0</v>
          </cell>
          <cell r="AF104">
            <v>0</v>
          </cell>
          <cell r="AH104">
            <v>1</v>
          </cell>
          <cell r="AJ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BX104">
            <v>0</v>
          </cell>
          <cell r="BY104">
            <v>1</v>
          </cell>
          <cell r="CB104">
            <v>0</v>
          </cell>
          <cell r="CC104">
            <v>0</v>
          </cell>
          <cell r="CD104">
            <v>2</v>
          </cell>
          <cell r="CL104">
            <v>0</v>
          </cell>
          <cell r="CM104">
            <v>1</v>
          </cell>
          <cell r="CP104">
            <v>0</v>
          </cell>
          <cell r="CV104">
            <v>0</v>
          </cell>
          <cell r="CW104">
            <v>0</v>
          </cell>
          <cell r="CX104">
            <v>0</v>
          </cell>
          <cell r="DO104">
            <v>0</v>
          </cell>
        </row>
        <row r="105">
          <cell r="C105" t="str">
            <v>112</v>
          </cell>
          <cell r="E105" t="str">
            <v>2DT</v>
          </cell>
          <cell r="H105">
            <v>53</v>
          </cell>
          <cell r="J105">
            <v>53</v>
          </cell>
          <cell r="O105">
            <v>53</v>
          </cell>
          <cell r="W105">
            <v>1</v>
          </cell>
          <cell r="AD105">
            <v>1</v>
          </cell>
          <cell r="AF105">
            <v>0</v>
          </cell>
          <cell r="AH105">
            <v>0</v>
          </cell>
          <cell r="AJ105">
            <v>0</v>
          </cell>
          <cell r="AQ105">
            <v>2</v>
          </cell>
          <cell r="AV105">
            <v>2</v>
          </cell>
          <cell r="AW105">
            <v>0</v>
          </cell>
          <cell r="AX105">
            <v>0</v>
          </cell>
          <cell r="AY105">
            <v>0</v>
          </cell>
          <cell r="BA105">
            <v>1</v>
          </cell>
          <cell r="BX105">
            <v>1</v>
          </cell>
          <cell r="BY105">
            <v>0</v>
          </cell>
          <cell r="CB105">
            <v>0</v>
          </cell>
          <cell r="CC105">
            <v>1</v>
          </cell>
          <cell r="CD105">
            <v>0</v>
          </cell>
          <cell r="CL105">
            <v>2</v>
          </cell>
          <cell r="CM105">
            <v>0</v>
          </cell>
          <cell r="CP105">
            <v>2</v>
          </cell>
          <cell r="CV105">
            <v>0</v>
          </cell>
          <cell r="CW105">
            <v>0</v>
          </cell>
          <cell r="CX105">
            <v>0</v>
          </cell>
          <cell r="DH105">
            <v>0.5</v>
          </cell>
          <cell r="DI105">
            <v>0.5</v>
          </cell>
          <cell r="DO105">
            <v>0.5</v>
          </cell>
        </row>
        <row r="106">
          <cell r="C106" t="str">
            <v>113</v>
          </cell>
          <cell r="E106" t="str">
            <v>I</v>
          </cell>
          <cell r="H106">
            <v>40</v>
          </cell>
          <cell r="J106">
            <v>40</v>
          </cell>
          <cell r="O106">
            <v>40</v>
          </cell>
          <cell r="W106">
            <v>1</v>
          </cell>
          <cell r="AD106">
            <v>1</v>
          </cell>
          <cell r="AF106">
            <v>0</v>
          </cell>
          <cell r="AH106">
            <v>0</v>
          </cell>
          <cell r="AJ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BX106">
            <v>1</v>
          </cell>
          <cell r="BY106">
            <v>0</v>
          </cell>
          <cell r="CB106">
            <v>0</v>
          </cell>
          <cell r="CC106">
            <v>1</v>
          </cell>
          <cell r="CD106">
            <v>0</v>
          </cell>
          <cell r="CL106">
            <v>0</v>
          </cell>
          <cell r="CM106">
            <v>1</v>
          </cell>
          <cell r="CP106">
            <v>0</v>
          </cell>
          <cell r="CV106">
            <v>0</v>
          </cell>
          <cell r="CW106">
            <v>0</v>
          </cell>
          <cell r="CX106">
            <v>0</v>
          </cell>
          <cell r="DO106">
            <v>0</v>
          </cell>
        </row>
        <row r="107">
          <cell r="C107" t="str">
            <v>114</v>
          </cell>
          <cell r="E107" t="str">
            <v>I</v>
          </cell>
          <cell r="H107">
            <v>45</v>
          </cell>
          <cell r="J107">
            <v>45</v>
          </cell>
          <cell r="O107">
            <v>45</v>
          </cell>
          <cell r="W107">
            <v>1</v>
          </cell>
          <cell r="AD107">
            <v>1</v>
          </cell>
          <cell r="AF107">
            <v>0</v>
          </cell>
          <cell r="AH107">
            <v>0</v>
          </cell>
          <cell r="AJ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BX107">
            <v>1</v>
          </cell>
          <cell r="BY107">
            <v>0</v>
          </cell>
          <cell r="CB107">
            <v>0</v>
          </cell>
          <cell r="CC107">
            <v>1</v>
          </cell>
          <cell r="CD107">
            <v>0</v>
          </cell>
          <cell r="CL107">
            <v>0</v>
          </cell>
          <cell r="CM107">
            <v>1</v>
          </cell>
          <cell r="CP107">
            <v>0</v>
          </cell>
          <cell r="CV107">
            <v>0</v>
          </cell>
          <cell r="CW107">
            <v>0</v>
          </cell>
          <cell r="CX107">
            <v>0</v>
          </cell>
          <cell r="DO107">
            <v>0</v>
          </cell>
        </row>
        <row r="108">
          <cell r="C108" t="str">
            <v>115</v>
          </cell>
          <cell r="E108" t="str">
            <v>DT</v>
          </cell>
          <cell r="H108">
            <v>40</v>
          </cell>
          <cell r="J108">
            <v>40</v>
          </cell>
          <cell r="O108">
            <v>40</v>
          </cell>
          <cell r="W108">
            <v>1</v>
          </cell>
          <cell r="AF108">
            <v>0</v>
          </cell>
          <cell r="AG108">
            <v>1</v>
          </cell>
          <cell r="AH108">
            <v>0</v>
          </cell>
          <cell r="AJ108">
            <v>0</v>
          </cell>
          <cell r="AQ108">
            <v>1</v>
          </cell>
          <cell r="AV108">
            <v>1</v>
          </cell>
          <cell r="AW108">
            <v>0</v>
          </cell>
          <cell r="AX108">
            <v>0</v>
          </cell>
          <cell r="AY108">
            <v>0</v>
          </cell>
          <cell r="BX108">
            <v>0</v>
          </cell>
          <cell r="CB108">
            <v>0</v>
          </cell>
          <cell r="CC108">
            <v>0</v>
          </cell>
          <cell r="CD108">
            <v>0</v>
          </cell>
          <cell r="CL108">
            <v>1</v>
          </cell>
          <cell r="CM108">
            <v>0</v>
          </cell>
          <cell r="CP108">
            <v>1</v>
          </cell>
          <cell r="CV108">
            <v>0</v>
          </cell>
          <cell r="CW108">
            <v>0</v>
          </cell>
          <cell r="CX108">
            <v>0</v>
          </cell>
          <cell r="DO108">
            <v>0</v>
          </cell>
        </row>
        <row r="109">
          <cell r="C109" t="str">
            <v>Cộng 11:</v>
          </cell>
          <cell r="E109">
            <v>0</v>
          </cell>
          <cell r="F109">
            <v>0</v>
          </cell>
          <cell r="G109">
            <v>0</v>
          </cell>
          <cell r="H109">
            <v>917</v>
          </cell>
          <cell r="I109">
            <v>0</v>
          </cell>
          <cell r="J109">
            <v>917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917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30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15</v>
          </cell>
          <cell r="AE109">
            <v>0</v>
          </cell>
          <cell r="AF109">
            <v>0</v>
          </cell>
          <cell r="AG109">
            <v>1</v>
          </cell>
          <cell r="AH109">
            <v>7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14</v>
          </cell>
          <cell r="AR109">
            <v>2</v>
          </cell>
          <cell r="AS109">
            <v>0</v>
          </cell>
          <cell r="AT109">
            <v>0</v>
          </cell>
          <cell r="AU109">
            <v>0</v>
          </cell>
          <cell r="AV109">
            <v>14</v>
          </cell>
          <cell r="AW109">
            <v>2</v>
          </cell>
          <cell r="AX109">
            <v>0</v>
          </cell>
          <cell r="AY109">
            <v>0</v>
          </cell>
          <cell r="AZ109">
            <v>0</v>
          </cell>
          <cell r="BA109">
            <v>5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1</v>
          </cell>
          <cell r="BX109">
            <v>13</v>
          </cell>
          <cell r="BY109">
            <v>11</v>
          </cell>
          <cell r="BZ109">
            <v>0</v>
          </cell>
          <cell r="CA109">
            <v>0</v>
          </cell>
          <cell r="CB109">
            <v>0</v>
          </cell>
          <cell r="CC109">
            <v>13</v>
          </cell>
          <cell r="CD109">
            <v>22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16</v>
          </cell>
          <cell r="CM109">
            <v>15</v>
          </cell>
          <cell r="CN109">
            <v>0</v>
          </cell>
          <cell r="CO109">
            <v>0</v>
          </cell>
          <cell r="CP109">
            <v>16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2</v>
          </cell>
          <cell r="CV109">
            <v>2</v>
          </cell>
          <cell r="CW109">
            <v>0</v>
          </cell>
          <cell r="CX109">
            <v>1</v>
          </cell>
          <cell r="CY109">
            <v>2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1</v>
          </cell>
          <cell r="DG109">
            <v>0</v>
          </cell>
          <cell r="DH109">
            <v>3.5</v>
          </cell>
          <cell r="DI109">
            <v>4.5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4.5</v>
          </cell>
          <cell r="DP109">
            <v>0</v>
          </cell>
          <cell r="DQ109">
            <v>2</v>
          </cell>
          <cell r="DR109">
            <v>1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</row>
        <row r="111">
          <cell r="B111" t="str">
            <v>TT3P</v>
          </cell>
          <cell r="C111" t="str">
            <v>13. Tuyến 1 pha Thừa Đức 12 (di dời TBA Thừa Đức 12 - 75kVA)</v>
          </cell>
          <cell r="AR111" t="str">
            <v/>
          </cell>
        </row>
        <row r="112">
          <cell r="C112" t="str">
            <v>035</v>
          </cell>
          <cell r="E112" t="str">
            <v>DT</v>
          </cell>
          <cell r="AD112">
            <v>0</v>
          </cell>
          <cell r="AF112">
            <v>0</v>
          </cell>
          <cell r="AH112">
            <v>0</v>
          </cell>
          <cell r="AJ112">
            <v>0</v>
          </cell>
          <cell r="AQ112">
            <v>1</v>
          </cell>
          <cell r="AV112">
            <v>1</v>
          </cell>
          <cell r="AW112">
            <v>0</v>
          </cell>
          <cell r="AX112">
            <v>0</v>
          </cell>
          <cell r="AY112">
            <v>0</v>
          </cell>
          <cell r="BW112">
            <v>1</v>
          </cell>
          <cell r="CB112">
            <v>0</v>
          </cell>
          <cell r="CC112">
            <v>0</v>
          </cell>
          <cell r="CD112">
            <v>0</v>
          </cell>
          <cell r="CL112">
            <v>1</v>
          </cell>
          <cell r="CM112">
            <v>0</v>
          </cell>
          <cell r="CP112">
            <v>1</v>
          </cell>
          <cell r="CT112">
            <v>1</v>
          </cell>
          <cell r="CV112">
            <v>1</v>
          </cell>
          <cell r="CW112">
            <v>1</v>
          </cell>
          <cell r="CX112">
            <v>0</v>
          </cell>
          <cell r="DF112">
            <v>1</v>
          </cell>
          <cell r="DH112">
            <v>0.5</v>
          </cell>
          <cell r="DI112">
            <v>1</v>
          </cell>
          <cell r="DO112">
            <v>0.5</v>
          </cell>
          <cell r="DQ112">
            <v>1</v>
          </cell>
        </row>
        <row r="113">
          <cell r="C113" t="str">
            <v>036</v>
          </cell>
          <cell r="E113" t="str">
            <v>G</v>
          </cell>
          <cell r="H113">
            <v>40</v>
          </cell>
          <cell r="J113">
            <v>40</v>
          </cell>
          <cell r="O113">
            <v>40</v>
          </cell>
          <cell r="W113">
            <v>2</v>
          </cell>
          <cell r="AD113">
            <v>0</v>
          </cell>
          <cell r="AF113">
            <v>0</v>
          </cell>
          <cell r="AH113">
            <v>1</v>
          </cell>
          <cell r="AJ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BX113">
            <v>0</v>
          </cell>
          <cell r="BY113">
            <v>1</v>
          </cell>
          <cell r="CB113">
            <v>0</v>
          </cell>
          <cell r="CC113">
            <v>0</v>
          </cell>
          <cell r="CD113">
            <v>2</v>
          </cell>
          <cell r="CL113">
            <v>0</v>
          </cell>
          <cell r="CM113">
            <v>1</v>
          </cell>
          <cell r="CP113">
            <v>0</v>
          </cell>
          <cell r="CU113">
            <v>1</v>
          </cell>
          <cell r="CV113">
            <v>1</v>
          </cell>
          <cell r="CW113">
            <v>0</v>
          </cell>
        </row>
        <row r="114">
          <cell r="C114" t="str">
            <v>037</v>
          </cell>
          <cell r="E114" t="str">
            <v>G</v>
          </cell>
          <cell r="H114">
            <v>50</v>
          </cell>
          <cell r="J114">
            <v>50</v>
          </cell>
          <cell r="O114">
            <v>50</v>
          </cell>
          <cell r="W114">
            <v>1</v>
          </cell>
          <cell r="AD114">
            <v>1</v>
          </cell>
          <cell r="AF114">
            <v>0</v>
          </cell>
          <cell r="AH114">
            <v>0</v>
          </cell>
          <cell r="AJ114">
            <v>0</v>
          </cell>
          <cell r="AQ114">
            <v>1</v>
          </cell>
          <cell r="AV114">
            <v>1</v>
          </cell>
          <cell r="AW114">
            <v>0</v>
          </cell>
          <cell r="AX114">
            <v>0</v>
          </cell>
          <cell r="AY114">
            <v>0</v>
          </cell>
          <cell r="BX114">
            <v>0</v>
          </cell>
          <cell r="BY114">
            <v>1</v>
          </cell>
          <cell r="CB114">
            <v>0</v>
          </cell>
          <cell r="CC114">
            <v>0</v>
          </cell>
          <cell r="CD114">
            <v>2</v>
          </cell>
          <cell r="CL114">
            <v>0</v>
          </cell>
          <cell r="CM114">
            <v>1</v>
          </cell>
          <cell r="CP114">
            <v>0</v>
          </cell>
          <cell r="CV114">
            <v>0</v>
          </cell>
          <cell r="CW114">
            <v>0</v>
          </cell>
          <cell r="CX114">
            <v>0</v>
          </cell>
          <cell r="DQ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</row>
        <row r="115">
          <cell r="C115" t="str">
            <v>038</v>
          </cell>
          <cell r="E115" t="str">
            <v>G</v>
          </cell>
          <cell r="H115">
            <v>50</v>
          </cell>
          <cell r="J115">
            <v>50</v>
          </cell>
          <cell r="O115">
            <v>50</v>
          </cell>
          <cell r="W115">
            <v>2</v>
          </cell>
          <cell r="AD115">
            <v>0</v>
          </cell>
          <cell r="AF115">
            <v>0</v>
          </cell>
          <cell r="AH115">
            <v>1</v>
          </cell>
          <cell r="AJ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BX115">
            <v>0</v>
          </cell>
          <cell r="BY115">
            <v>1</v>
          </cell>
          <cell r="CB115">
            <v>0</v>
          </cell>
          <cell r="CC115">
            <v>0</v>
          </cell>
          <cell r="CD115">
            <v>2</v>
          </cell>
          <cell r="CL115">
            <v>0</v>
          </cell>
          <cell r="CM115">
            <v>1</v>
          </cell>
          <cell r="CP115">
            <v>0</v>
          </cell>
          <cell r="CV115">
            <v>0</v>
          </cell>
          <cell r="CW115">
            <v>0</v>
          </cell>
          <cell r="CX115">
            <v>0</v>
          </cell>
        </row>
        <row r="116">
          <cell r="C116" t="str">
            <v>039</v>
          </cell>
          <cell r="E116" t="str">
            <v>G</v>
          </cell>
          <cell r="H116">
            <v>52</v>
          </cell>
          <cell r="J116">
            <v>52</v>
          </cell>
          <cell r="O116">
            <v>52</v>
          </cell>
          <cell r="W116">
            <v>1</v>
          </cell>
          <cell r="AD116">
            <v>1</v>
          </cell>
          <cell r="AF116">
            <v>0</v>
          </cell>
          <cell r="AH116">
            <v>0</v>
          </cell>
          <cell r="AJ116">
            <v>0</v>
          </cell>
          <cell r="AQ116">
            <v>1</v>
          </cell>
          <cell r="AV116">
            <v>1</v>
          </cell>
          <cell r="AW116">
            <v>0</v>
          </cell>
          <cell r="AX116">
            <v>0</v>
          </cell>
          <cell r="AY116">
            <v>0</v>
          </cell>
          <cell r="BA116">
            <v>1</v>
          </cell>
          <cell r="BX116">
            <v>0</v>
          </cell>
          <cell r="BY116">
            <v>1</v>
          </cell>
          <cell r="CB116">
            <v>0</v>
          </cell>
          <cell r="CC116">
            <v>0</v>
          </cell>
          <cell r="CD116">
            <v>2</v>
          </cell>
          <cell r="CL116">
            <v>0</v>
          </cell>
          <cell r="CM116">
            <v>1</v>
          </cell>
          <cell r="CP116">
            <v>0</v>
          </cell>
          <cell r="CV116">
            <v>0</v>
          </cell>
          <cell r="CW116">
            <v>0</v>
          </cell>
          <cell r="CX116">
            <v>0</v>
          </cell>
        </row>
        <row r="117">
          <cell r="C117" t="str">
            <v>040</v>
          </cell>
          <cell r="E117" t="str">
            <v>I</v>
          </cell>
          <cell r="H117">
            <v>55</v>
          </cell>
          <cell r="J117">
            <v>55</v>
          </cell>
          <cell r="O117">
            <v>55</v>
          </cell>
          <cell r="W117">
            <v>1</v>
          </cell>
          <cell r="AD117">
            <v>1</v>
          </cell>
          <cell r="AF117">
            <v>0</v>
          </cell>
          <cell r="AH117">
            <v>0</v>
          </cell>
          <cell r="AJ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BX117">
            <v>1</v>
          </cell>
          <cell r="BY117">
            <v>0</v>
          </cell>
          <cell r="CB117">
            <v>0</v>
          </cell>
          <cell r="CC117">
            <v>1</v>
          </cell>
          <cell r="CD117">
            <v>0</v>
          </cell>
          <cell r="CL117">
            <v>0</v>
          </cell>
          <cell r="CM117">
            <v>1</v>
          </cell>
          <cell r="CP117">
            <v>0</v>
          </cell>
          <cell r="CV117">
            <v>0</v>
          </cell>
          <cell r="CW117">
            <v>0</v>
          </cell>
          <cell r="CX117">
            <v>0</v>
          </cell>
        </row>
        <row r="118">
          <cell r="C118" t="str">
            <v>041</v>
          </cell>
          <cell r="E118" t="str">
            <v>2DT</v>
          </cell>
          <cell r="H118">
            <v>48</v>
          </cell>
          <cell r="J118">
            <v>48</v>
          </cell>
          <cell r="O118">
            <v>48</v>
          </cell>
          <cell r="W118">
            <v>1</v>
          </cell>
          <cell r="AD118">
            <v>1</v>
          </cell>
          <cell r="AF118">
            <v>0</v>
          </cell>
          <cell r="AH118">
            <v>0</v>
          </cell>
          <cell r="AJ118">
            <v>0</v>
          </cell>
          <cell r="AQ118">
            <v>2</v>
          </cell>
          <cell r="AV118">
            <v>2</v>
          </cell>
          <cell r="AW118">
            <v>0</v>
          </cell>
          <cell r="AX118">
            <v>0</v>
          </cell>
          <cell r="AY118">
            <v>0</v>
          </cell>
          <cell r="BX118">
            <v>1</v>
          </cell>
          <cell r="BY118">
            <v>0</v>
          </cell>
          <cell r="CB118">
            <v>0</v>
          </cell>
          <cell r="CC118">
            <v>1</v>
          </cell>
          <cell r="CD118">
            <v>0</v>
          </cell>
          <cell r="CL118">
            <v>2</v>
          </cell>
          <cell r="CM118">
            <v>0</v>
          </cell>
          <cell r="CP118">
            <v>2</v>
          </cell>
          <cell r="CV118">
            <v>0</v>
          </cell>
          <cell r="CW118">
            <v>0</v>
          </cell>
          <cell r="CX118">
            <v>0</v>
          </cell>
          <cell r="DI118">
            <v>1</v>
          </cell>
          <cell r="DO118">
            <v>1</v>
          </cell>
        </row>
        <row r="119">
          <cell r="C119" t="str">
            <v>042</v>
          </cell>
          <cell r="E119" t="str">
            <v>G</v>
          </cell>
          <cell r="H119">
            <v>45</v>
          </cell>
          <cell r="J119">
            <v>45</v>
          </cell>
          <cell r="O119">
            <v>45</v>
          </cell>
          <cell r="W119">
            <v>1</v>
          </cell>
          <cell r="AD119">
            <v>1</v>
          </cell>
          <cell r="AF119">
            <v>0</v>
          </cell>
          <cell r="AH119">
            <v>0</v>
          </cell>
          <cell r="AJ119">
            <v>0</v>
          </cell>
          <cell r="AR119">
            <v>1</v>
          </cell>
          <cell r="AV119">
            <v>0</v>
          </cell>
          <cell r="AW119">
            <v>1</v>
          </cell>
          <cell r="AX119">
            <v>0</v>
          </cell>
          <cell r="AY119">
            <v>0</v>
          </cell>
          <cell r="BX119">
            <v>0</v>
          </cell>
          <cell r="BY119">
            <v>1</v>
          </cell>
          <cell r="CB119">
            <v>0</v>
          </cell>
          <cell r="CC119">
            <v>0</v>
          </cell>
          <cell r="CD119">
            <v>2</v>
          </cell>
          <cell r="CL119">
            <v>0</v>
          </cell>
          <cell r="CM119">
            <v>1</v>
          </cell>
          <cell r="CP119">
            <v>0</v>
          </cell>
          <cell r="CV119">
            <v>0</v>
          </cell>
          <cell r="CW119">
            <v>0</v>
          </cell>
          <cell r="CX119">
            <v>0</v>
          </cell>
        </row>
        <row r="120">
          <cell r="C120" t="str">
            <v>043</v>
          </cell>
          <cell r="E120" t="str">
            <v>I</v>
          </cell>
          <cell r="H120">
            <v>50</v>
          </cell>
          <cell r="J120">
            <v>50</v>
          </cell>
          <cell r="O120">
            <v>50</v>
          </cell>
          <cell r="W120">
            <v>1</v>
          </cell>
          <cell r="AD120">
            <v>1</v>
          </cell>
          <cell r="AF120">
            <v>0</v>
          </cell>
          <cell r="AH120">
            <v>0</v>
          </cell>
          <cell r="AJ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BX120">
            <v>1</v>
          </cell>
          <cell r="BY120">
            <v>0</v>
          </cell>
          <cell r="CB120">
            <v>0</v>
          </cell>
          <cell r="CC120">
            <v>1</v>
          </cell>
          <cell r="CD120">
            <v>0</v>
          </cell>
          <cell r="CL120">
            <v>0</v>
          </cell>
          <cell r="CM120">
            <v>1</v>
          </cell>
          <cell r="CP120">
            <v>0</v>
          </cell>
          <cell r="CV120">
            <v>0</v>
          </cell>
          <cell r="CW120">
            <v>0</v>
          </cell>
          <cell r="CX120">
            <v>0</v>
          </cell>
        </row>
        <row r="121">
          <cell r="C121" t="str">
            <v>044</v>
          </cell>
          <cell r="E121" t="str">
            <v>G</v>
          </cell>
          <cell r="H121">
            <v>50</v>
          </cell>
          <cell r="J121">
            <v>50</v>
          </cell>
          <cell r="O121">
            <v>50</v>
          </cell>
          <cell r="W121">
            <v>1</v>
          </cell>
          <cell r="AD121">
            <v>1</v>
          </cell>
          <cell r="AF121">
            <v>0</v>
          </cell>
          <cell r="AH121">
            <v>0</v>
          </cell>
          <cell r="AJ121">
            <v>0</v>
          </cell>
          <cell r="AQ121">
            <v>1</v>
          </cell>
          <cell r="AV121">
            <v>1</v>
          </cell>
          <cell r="AW121">
            <v>0</v>
          </cell>
          <cell r="AX121">
            <v>0</v>
          </cell>
          <cell r="AY121">
            <v>0</v>
          </cell>
          <cell r="BA121">
            <v>1</v>
          </cell>
          <cell r="BX121">
            <v>0</v>
          </cell>
          <cell r="BY121">
            <v>1</v>
          </cell>
          <cell r="CB121">
            <v>0</v>
          </cell>
          <cell r="CC121">
            <v>0</v>
          </cell>
          <cell r="CD121">
            <v>2</v>
          </cell>
          <cell r="CL121">
            <v>0</v>
          </cell>
          <cell r="CM121">
            <v>1</v>
          </cell>
          <cell r="CP121">
            <v>0</v>
          </cell>
          <cell r="CV121">
            <v>0</v>
          </cell>
          <cell r="CW121">
            <v>0</v>
          </cell>
          <cell r="CX121">
            <v>0</v>
          </cell>
        </row>
        <row r="122">
          <cell r="C122" t="str">
            <v>045</v>
          </cell>
          <cell r="E122" t="str">
            <v>I</v>
          </cell>
          <cell r="H122">
            <v>45</v>
          </cell>
          <cell r="J122">
            <v>45</v>
          </cell>
          <cell r="O122">
            <v>45</v>
          </cell>
          <cell r="W122">
            <v>1</v>
          </cell>
          <cell r="AD122">
            <v>1</v>
          </cell>
          <cell r="AF122">
            <v>0</v>
          </cell>
          <cell r="AH122">
            <v>0</v>
          </cell>
          <cell r="AJ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BX122">
            <v>1</v>
          </cell>
          <cell r="BY122">
            <v>0</v>
          </cell>
          <cell r="CB122">
            <v>0</v>
          </cell>
          <cell r="CC122">
            <v>1</v>
          </cell>
          <cell r="CD122">
            <v>0</v>
          </cell>
          <cell r="CL122">
            <v>0</v>
          </cell>
          <cell r="CM122">
            <v>1</v>
          </cell>
          <cell r="CP122">
            <v>0</v>
          </cell>
          <cell r="CV122">
            <v>0</v>
          </cell>
          <cell r="CW122">
            <v>0</v>
          </cell>
          <cell r="CX122">
            <v>0</v>
          </cell>
        </row>
        <row r="123">
          <cell r="C123" t="str">
            <v>046</v>
          </cell>
          <cell r="E123" t="str">
            <v>G</v>
          </cell>
          <cell r="H123">
            <v>45</v>
          </cell>
          <cell r="J123">
            <v>45</v>
          </cell>
          <cell r="O123">
            <v>45</v>
          </cell>
          <cell r="W123">
            <v>2</v>
          </cell>
          <cell r="AD123">
            <v>0</v>
          </cell>
          <cell r="AF123">
            <v>0</v>
          </cell>
          <cell r="AH123">
            <v>1</v>
          </cell>
          <cell r="AJ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BX123">
            <v>0</v>
          </cell>
          <cell r="BY123">
            <v>1</v>
          </cell>
          <cell r="CB123">
            <v>0</v>
          </cell>
          <cell r="CC123">
            <v>0</v>
          </cell>
          <cell r="CD123">
            <v>2</v>
          </cell>
          <cell r="CL123">
            <v>0</v>
          </cell>
          <cell r="CM123">
            <v>1</v>
          </cell>
          <cell r="CP123">
            <v>0</v>
          </cell>
          <cell r="CV123">
            <v>0</v>
          </cell>
          <cell r="CW123">
            <v>0</v>
          </cell>
          <cell r="CX123">
            <v>0</v>
          </cell>
        </row>
        <row r="124">
          <cell r="C124" t="str">
            <v>047</v>
          </cell>
          <cell r="E124" t="str">
            <v>G</v>
          </cell>
          <cell r="H124">
            <v>45</v>
          </cell>
          <cell r="J124">
            <v>45</v>
          </cell>
          <cell r="O124">
            <v>45</v>
          </cell>
          <cell r="W124">
            <v>1</v>
          </cell>
          <cell r="AD124">
            <v>1</v>
          </cell>
          <cell r="AF124">
            <v>0</v>
          </cell>
          <cell r="AH124">
            <v>0</v>
          </cell>
          <cell r="AJ124">
            <v>0</v>
          </cell>
          <cell r="AR124">
            <v>1</v>
          </cell>
          <cell r="AV124">
            <v>0</v>
          </cell>
          <cell r="AW124">
            <v>1</v>
          </cell>
          <cell r="AX124">
            <v>0</v>
          </cell>
          <cell r="AY124">
            <v>0</v>
          </cell>
          <cell r="BX124">
            <v>0</v>
          </cell>
          <cell r="BY124">
            <v>1</v>
          </cell>
          <cell r="CB124">
            <v>0</v>
          </cell>
          <cell r="CC124">
            <v>0</v>
          </cell>
          <cell r="CD124">
            <v>2</v>
          </cell>
          <cell r="CL124">
            <v>0</v>
          </cell>
          <cell r="CM124">
            <v>1</v>
          </cell>
          <cell r="CP124">
            <v>0</v>
          </cell>
          <cell r="CV124">
            <v>0</v>
          </cell>
          <cell r="CW124">
            <v>0</v>
          </cell>
          <cell r="CX124">
            <v>0</v>
          </cell>
        </row>
        <row r="125">
          <cell r="C125" t="str">
            <v>048</v>
          </cell>
          <cell r="E125" t="str">
            <v>I</v>
          </cell>
          <cell r="H125">
            <v>50</v>
          </cell>
          <cell r="J125">
            <v>50</v>
          </cell>
          <cell r="O125">
            <v>50</v>
          </cell>
          <cell r="W125">
            <v>1</v>
          </cell>
          <cell r="AD125">
            <v>1</v>
          </cell>
          <cell r="AF125">
            <v>0</v>
          </cell>
          <cell r="AH125">
            <v>0</v>
          </cell>
          <cell r="AJ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BX125">
            <v>1</v>
          </cell>
          <cell r="BY125">
            <v>0</v>
          </cell>
          <cell r="CB125">
            <v>0</v>
          </cell>
          <cell r="CC125">
            <v>1</v>
          </cell>
          <cell r="CD125">
            <v>0</v>
          </cell>
          <cell r="CL125">
            <v>0</v>
          </cell>
          <cell r="CM125">
            <v>1</v>
          </cell>
          <cell r="CP125">
            <v>0</v>
          </cell>
          <cell r="CV125">
            <v>0</v>
          </cell>
          <cell r="CW125">
            <v>0</v>
          </cell>
          <cell r="CX125">
            <v>0</v>
          </cell>
        </row>
        <row r="126">
          <cell r="C126" t="str">
            <v>049</v>
          </cell>
          <cell r="E126" t="str">
            <v>DT</v>
          </cell>
          <cell r="H126">
            <v>50</v>
          </cell>
          <cell r="J126">
            <v>50</v>
          </cell>
          <cell r="O126">
            <v>50</v>
          </cell>
          <cell r="W126">
            <v>1</v>
          </cell>
          <cell r="AF126">
            <v>0</v>
          </cell>
          <cell r="AG126">
            <v>1</v>
          </cell>
          <cell r="AH126">
            <v>0</v>
          </cell>
          <cell r="AJ126">
            <v>0</v>
          </cell>
          <cell r="AQ126">
            <v>1</v>
          </cell>
          <cell r="AV126">
            <v>1</v>
          </cell>
          <cell r="AW126">
            <v>0</v>
          </cell>
          <cell r="AX126">
            <v>0</v>
          </cell>
          <cell r="AY126">
            <v>0</v>
          </cell>
          <cell r="BX126">
            <v>0</v>
          </cell>
          <cell r="BY126">
            <v>0</v>
          </cell>
          <cell r="CB126">
            <v>0</v>
          </cell>
          <cell r="CC126">
            <v>0</v>
          </cell>
          <cell r="CD126">
            <v>0</v>
          </cell>
          <cell r="CL126">
            <v>1</v>
          </cell>
          <cell r="CM126">
            <v>0</v>
          </cell>
          <cell r="CP126">
            <v>1</v>
          </cell>
          <cell r="CV126">
            <v>0</v>
          </cell>
          <cell r="CW126">
            <v>0</v>
          </cell>
          <cell r="CX126">
            <v>0</v>
          </cell>
        </row>
        <row r="127">
          <cell r="C127" t="str">
            <v>Cộng 13:</v>
          </cell>
          <cell r="E127">
            <v>0</v>
          </cell>
          <cell r="F127">
            <v>0</v>
          </cell>
          <cell r="G127">
            <v>0</v>
          </cell>
          <cell r="H127">
            <v>675</v>
          </cell>
          <cell r="I127">
            <v>0</v>
          </cell>
          <cell r="J127">
            <v>675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675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17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10</v>
          </cell>
          <cell r="AE127">
            <v>0</v>
          </cell>
          <cell r="AF127">
            <v>0</v>
          </cell>
          <cell r="AG127">
            <v>1</v>
          </cell>
          <cell r="AH127">
            <v>3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7</v>
          </cell>
          <cell r="AR127">
            <v>2</v>
          </cell>
          <cell r="AS127">
            <v>0</v>
          </cell>
          <cell r="AT127">
            <v>0</v>
          </cell>
          <cell r="AU127">
            <v>0</v>
          </cell>
          <cell r="AV127">
            <v>7</v>
          </cell>
          <cell r="AW127">
            <v>2</v>
          </cell>
          <cell r="AX127">
            <v>0</v>
          </cell>
          <cell r="AY127">
            <v>0</v>
          </cell>
          <cell r="AZ127">
            <v>0</v>
          </cell>
          <cell r="BA127">
            <v>2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1</v>
          </cell>
          <cell r="BX127">
            <v>5</v>
          </cell>
          <cell r="BY127">
            <v>8</v>
          </cell>
          <cell r="BZ127">
            <v>0</v>
          </cell>
          <cell r="CA127">
            <v>0</v>
          </cell>
          <cell r="CB127">
            <v>0</v>
          </cell>
          <cell r="CC127">
            <v>5</v>
          </cell>
          <cell r="CD127">
            <v>16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4</v>
          </cell>
          <cell r="CM127">
            <v>12</v>
          </cell>
          <cell r="CN127">
            <v>0</v>
          </cell>
          <cell r="CO127">
            <v>0</v>
          </cell>
          <cell r="CP127">
            <v>4</v>
          </cell>
          <cell r="CQ127">
            <v>0</v>
          </cell>
          <cell r="CR127">
            <v>0</v>
          </cell>
          <cell r="CS127">
            <v>0</v>
          </cell>
          <cell r="CT127">
            <v>1</v>
          </cell>
          <cell r="CU127">
            <v>1</v>
          </cell>
          <cell r="CV127">
            <v>2</v>
          </cell>
          <cell r="CW127">
            <v>1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1</v>
          </cell>
          <cell r="DG127">
            <v>0</v>
          </cell>
          <cell r="DH127">
            <v>0.5</v>
          </cell>
          <cell r="DI127">
            <v>2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1.5</v>
          </cell>
          <cell r="DP127">
            <v>0</v>
          </cell>
          <cell r="DQ127">
            <v>1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</row>
        <row r="129">
          <cell r="B129" t="str">
            <v>TT3P</v>
          </cell>
          <cell r="C129" t="str">
            <v>14. Nâng cấp trung thế 1 pha lên 3 pha Tự Túc 1 (Nâng cấp TBA Tự Túc 1 - 3x50kVA)</v>
          </cell>
          <cell r="AR129" t="str">
            <v/>
          </cell>
        </row>
        <row r="130">
          <cell r="C130">
            <v>171</v>
          </cell>
          <cell r="E130" t="str">
            <v>DT</v>
          </cell>
          <cell r="AD130">
            <v>0</v>
          </cell>
          <cell r="AF130">
            <v>0</v>
          </cell>
          <cell r="AH130">
            <v>0</v>
          </cell>
          <cell r="AJ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BG130">
            <v>0</v>
          </cell>
          <cell r="BH130">
            <v>0</v>
          </cell>
          <cell r="BR130">
            <v>1</v>
          </cell>
          <cell r="BX130">
            <v>0</v>
          </cell>
          <cell r="BY130">
            <v>0</v>
          </cell>
          <cell r="BZ130">
            <v>6</v>
          </cell>
          <cell r="CB130">
            <v>6</v>
          </cell>
          <cell r="CC130">
            <v>0</v>
          </cell>
          <cell r="CD130">
            <v>0</v>
          </cell>
          <cell r="CE130">
            <v>3</v>
          </cell>
          <cell r="CM130">
            <v>0</v>
          </cell>
          <cell r="CP130">
            <v>1</v>
          </cell>
          <cell r="DH130">
            <v>1</v>
          </cell>
          <cell r="DI130">
            <v>3</v>
          </cell>
          <cell r="DO130">
            <v>3</v>
          </cell>
          <cell r="DS130">
            <v>1</v>
          </cell>
          <cell r="DX130">
            <v>1</v>
          </cell>
          <cell r="EC130">
            <v>1</v>
          </cell>
          <cell r="EO130">
            <v>1</v>
          </cell>
        </row>
        <row r="131">
          <cell r="C131" t="str">
            <v>171A</v>
          </cell>
          <cell r="E131" t="str">
            <v>I</v>
          </cell>
          <cell r="H131">
            <v>35</v>
          </cell>
          <cell r="J131">
            <v>105</v>
          </cell>
          <cell r="P131">
            <v>35</v>
          </cell>
          <cell r="W131">
            <v>1</v>
          </cell>
          <cell r="AD131">
            <v>1</v>
          </cell>
          <cell r="AF131">
            <v>0</v>
          </cell>
          <cell r="AH131">
            <v>0</v>
          </cell>
          <cell r="AJ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BG131">
            <v>1</v>
          </cell>
          <cell r="BH131">
            <v>0</v>
          </cell>
          <cell r="BY131">
            <v>0</v>
          </cell>
          <cell r="BZ131">
            <v>2</v>
          </cell>
          <cell r="CB131">
            <v>0</v>
          </cell>
          <cell r="CC131">
            <v>2</v>
          </cell>
          <cell r="CD131">
            <v>0</v>
          </cell>
          <cell r="CE131">
            <v>0</v>
          </cell>
          <cell r="CM131">
            <v>1</v>
          </cell>
          <cell r="CP131">
            <v>0</v>
          </cell>
          <cell r="CU131">
            <v>3</v>
          </cell>
          <cell r="CV131">
            <v>3</v>
          </cell>
        </row>
        <row r="132">
          <cell r="C132">
            <v>172</v>
          </cell>
          <cell r="E132" t="str">
            <v>I</v>
          </cell>
          <cell r="H132">
            <v>34.6</v>
          </cell>
          <cell r="J132">
            <v>103.80000000000001</v>
          </cell>
          <cell r="P132">
            <v>34.6</v>
          </cell>
          <cell r="AD132">
            <v>0</v>
          </cell>
          <cell r="AF132">
            <v>0</v>
          </cell>
          <cell r="AH132">
            <v>0</v>
          </cell>
          <cell r="AJ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BG132">
            <v>1</v>
          </cell>
          <cell r="BH132">
            <v>0</v>
          </cell>
          <cell r="BY132">
            <v>0</v>
          </cell>
          <cell r="BZ132">
            <v>2</v>
          </cell>
          <cell r="CB132">
            <v>0</v>
          </cell>
          <cell r="CC132">
            <v>2</v>
          </cell>
          <cell r="CD132">
            <v>0</v>
          </cell>
          <cell r="CE132">
            <v>0</v>
          </cell>
          <cell r="CM132">
            <v>1</v>
          </cell>
          <cell r="CP132">
            <v>0</v>
          </cell>
        </row>
        <row r="133">
          <cell r="C133" t="str">
            <v>172A</v>
          </cell>
          <cell r="E133" t="str">
            <v>I</v>
          </cell>
          <cell r="H133">
            <v>35</v>
          </cell>
          <cell r="J133">
            <v>105</v>
          </cell>
          <cell r="P133">
            <v>35</v>
          </cell>
          <cell r="W133">
            <v>1</v>
          </cell>
          <cell r="AD133">
            <v>1</v>
          </cell>
          <cell r="AF133">
            <v>0</v>
          </cell>
          <cell r="AH133">
            <v>0</v>
          </cell>
          <cell r="AJ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BG133">
            <v>1</v>
          </cell>
          <cell r="BH133">
            <v>0</v>
          </cell>
          <cell r="BY133">
            <v>0</v>
          </cell>
          <cell r="BZ133">
            <v>2</v>
          </cell>
          <cell r="CB133">
            <v>0</v>
          </cell>
          <cell r="CC133">
            <v>2</v>
          </cell>
          <cell r="CD133">
            <v>0</v>
          </cell>
          <cell r="CE133">
            <v>0</v>
          </cell>
          <cell r="CM133">
            <v>1</v>
          </cell>
          <cell r="CP133">
            <v>0</v>
          </cell>
        </row>
        <row r="134">
          <cell r="C134">
            <v>173</v>
          </cell>
          <cell r="E134" t="str">
            <v>I</v>
          </cell>
          <cell r="H134">
            <v>33.799999999999997</v>
          </cell>
          <cell r="J134">
            <v>101.39999999999999</v>
          </cell>
          <cell r="P134">
            <v>33.799999999999997</v>
          </cell>
          <cell r="AD134">
            <v>0</v>
          </cell>
          <cell r="AF134">
            <v>0</v>
          </cell>
          <cell r="AH134">
            <v>0</v>
          </cell>
          <cell r="AJ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BG134">
            <v>1</v>
          </cell>
          <cell r="BH134">
            <v>0</v>
          </cell>
          <cell r="BY134">
            <v>0</v>
          </cell>
          <cell r="BZ134">
            <v>2</v>
          </cell>
          <cell r="CB134">
            <v>0</v>
          </cell>
          <cell r="CC134">
            <v>2</v>
          </cell>
          <cell r="CD134">
            <v>0</v>
          </cell>
          <cell r="CE134">
            <v>0</v>
          </cell>
          <cell r="CM134">
            <v>1</v>
          </cell>
          <cell r="CP134">
            <v>0</v>
          </cell>
        </row>
        <row r="135">
          <cell r="C135" t="str">
            <v>173A</v>
          </cell>
          <cell r="E135" t="str">
            <v>I</v>
          </cell>
          <cell r="H135">
            <v>32.4</v>
          </cell>
          <cell r="J135">
            <v>97.199999999999989</v>
          </cell>
          <cell r="P135">
            <v>32.4</v>
          </cell>
          <cell r="W135">
            <v>1</v>
          </cell>
          <cell r="AD135">
            <v>1</v>
          </cell>
          <cell r="AF135">
            <v>0</v>
          </cell>
          <cell r="AH135">
            <v>0</v>
          </cell>
          <cell r="AJ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BG135">
            <v>1</v>
          </cell>
          <cell r="BH135">
            <v>0</v>
          </cell>
          <cell r="BY135">
            <v>0</v>
          </cell>
          <cell r="BZ135">
            <v>2</v>
          </cell>
          <cell r="CB135">
            <v>0</v>
          </cell>
          <cell r="CC135">
            <v>2</v>
          </cell>
          <cell r="CD135">
            <v>0</v>
          </cell>
          <cell r="CE135">
            <v>0</v>
          </cell>
          <cell r="CM135">
            <v>1</v>
          </cell>
          <cell r="CP135">
            <v>0</v>
          </cell>
        </row>
        <row r="136">
          <cell r="C136">
            <v>174</v>
          </cell>
          <cell r="E136" t="str">
            <v>I</v>
          </cell>
          <cell r="H136">
            <v>32.4</v>
          </cell>
          <cell r="J136">
            <v>97.199999999999989</v>
          </cell>
          <cell r="P136">
            <v>32.4</v>
          </cell>
          <cell r="AD136">
            <v>0</v>
          </cell>
          <cell r="AF136">
            <v>0</v>
          </cell>
          <cell r="AH136">
            <v>0</v>
          </cell>
          <cell r="AJ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BG136">
            <v>1</v>
          </cell>
          <cell r="BH136">
            <v>0</v>
          </cell>
          <cell r="BY136">
            <v>0</v>
          </cell>
          <cell r="BZ136">
            <v>2</v>
          </cell>
          <cell r="CB136">
            <v>0</v>
          </cell>
          <cell r="CC136">
            <v>2</v>
          </cell>
          <cell r="CD136">
            <v>0</v>
          </cell>
          <cell r="CE136">
            <v>0</v>
          </cell>
          <cell r="CM136">
            <v>1</v>
          </cell>
          <cell r="CP136">
            <v>0</v>
          </cell>
        </row>
        <row r="137">
          <cell r="C137" t="str">
            <v>174B</v>
          </cell>
          <cell r="E137" t="str">
            <v>I</v>
          </cell>
          <cell r="H137">
            <v>51.5</v>
          </cell>
          <cell r="J137">
            <v>154.5</v>
          </cell>
          <cell r="P137">
            <v>51.5</v>
          </cell>
          <cell r="W137">
            <v>1</v>
          </cell>
          <cell r="AD137">
            <v>1</v>
          </cell>
          <cell r="AF137">
            <v>0</v>
          </cell>
          <cell r="AH137">
            <v>0</v>
          </cell>
          <cell r="AJ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BG137">
            <v>1</v>
          </cell>
          <cell r="BH137">
            <v>0</v>
          </cell>
          <cell r="BY137">
            <v>0</v>
          </cell>
          <cell r="BZ137">
            <v>2</v>
          </cell>
          <cell r="CB137">
            <v>0</v>
          </cell>
          <cell r="CC137">
            <v>2</v>
          </cell>
          <cell r="CD137">
            <v>0</v>
          </cell>
          <cell r="CE137">
            <v>0</v>
          </cell>
          <cell r="CM137">
            <v>1</v>
          </cell>
          <cell r="CP137">
            <v>0</v>
          </cell>
        </row>
        <row r="138">
          <cell r="C138">
            <v>175</v>
          </cell>
          <cell r="E138" t="str">
            <v>DT</v>
          </cell>
          <cell r="H138">
            <v>34.5</v>
          </cell>
          <cell r="J138">
            <v>103.5</v>
          </cell>
          <cell r="P138">
            <v>34.5</v>
          </cell>
          <cell r="AD138">
            <v>0</v>
          </cell>
          <cell r="AF138">
            <v>0</v>
          </cell>
          <cell r="AH138">
            <v>0</v>
          </cell>
          <cell r="AJ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BG138">
            <v>0</v>
          </cell>
          <cell r="BH138">
            <v>0</v>
          </cell>
          <cell r="BR138">
            <v>1</v>
          </cell>
          <cell r="BX138">
            <v>0</v>
          </cell>
          <cell r="BY138">
            <v>0</v>
          </cell>
          <cell r="BZ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3</v>
          </cell>
          <cell r="CM138">
            <v>0</v>
          </cell>
          <cell r="CP138">
            <v>1</v>
          </cell>
          <cell r="DX138">
            <v>1</v>
          </cell>
          <cell r="EC138">
            <v>1</v>
          </cell>
          <cell r="EO138">
            <v>1</v>
          </cell>
        </row>
        <row r="139">
          <cell r="C139" t="str">
            <v>Cộng 14:</v>
          </cell>
          <cell r="E139">
            <v>0</v>
          </cell>
          <cell r="F139">
            <v>0</v>
          </cell>
          <cell r="G139">
            <v>0</v>
          </cell>
          <cell r="H139">
            <v>289.2</v>
          </cell>
          <cell r="I139">
            <v>0</v>
          </cell>
          <cell r="J139">
            <v>867.59999999999991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289.2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4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4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7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2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20</v>
          </cell>
          <cell r="CA139">
            <v>0</v>
          </cell>
          <cell r="CB139">
            <v>6</v>
          </cell>
          <cell r="CC139">
            <v>14</v>
          </cell>
          <cell r="CD139">
            <v>0</v>
          </cell>
          <cell r="CE139">
            <v>6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7</v>
          </cell>
          <cell r="CN139">
            <v>0</v>
          </cell>
          <cell r="CO139">
            <v>0</v>
          </cell>
          <cell r="CP139">
            <v>2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3</v>
          </cell>
          <cell r="CV139">
            <v>3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1</v>
          </cell>
          <cell r="DI139">
            <v>3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3</v>
          </cell>
          <cell r="DP139">
            <v>0</v>
          </cell>
          <cell r="DQ139">
            <v>0</v>
          </cell>
          <cell r="DR139">
            <v>0</v>
          </cell>
          <cell r="DS139">
            <v>1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2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2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2</v>
          </cell>
          <cell r="EP139">
            <v>0</v>
          </cell>
          <cell r="EQ139">
            <v>0</v>
          </cell>
          <cell r="ER139">
            <v>0</v>
          </cell>
        </row>
        <row r="141">
          <cell r="B141" t="str">
            <v>TT3P</v>
          </cell>
          <cell r="C141" t="str">
            <v>14a. Tuyến 3 pha Tự Túc 1A (xây dựng mới TBA tự Túc 1 - 3x50kVA)</v>
          </cell>
          <cell r="AR141" t="str">
            <v/>
          </cell>
        </row>
        <row r="142">
          <cell r="C142">
            <v>175</v>
          </cell>
          <cell r="E142" t="str">
            <v>3DT</v>
          </cell>
          <cell r="AD142">
            <v>0</v>
          </cell>
          <cell r="AF142">
            <v>0</v>
          </cell>
          <cell r="AH142">
            <v>0</v>
          </cell>
          <cell r="AJ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BG142">
            <v>0</v>
          </cell>
          <cell r="BH142">
            <v>0</v>
          </cell>
          <cell r="BR142">
            <v>1</v>
          </cell>
          <cell r="BX142">
            <v>0</v>
          </cell>
          <cell r="BY142">
            <v>0</v>
          </cell>
          <cell r="BZ142">
            <v>4</v>
          </cell>
          <cell r="CB142">
            <v>4</v>
          </cell>
          <cell r="CC142">
            <v>0</v>
          </cell>
          <cell r="CD142">
            <v>0</v>
          </cell>
          <cell r="CE142">
            <v>3</v>
          </cell>
          <cell r="CM142">
            <v>0</v>
          </cell>
          <cell r="CP142">
            <v>1</v>
          </cell>
          <cell r="CU142">
            <v>3</v>
          </cell>
          <cell r="CV142">
            <v>3</v>
          </cell>
          <cell r="CW142">
            <v>3</v>
          </cell>
          <cell r="CY142">
            <v>2</v>
          </cell>
          <cell r="DI142">
            <v>3</v>
          </cell>
          <cell r="DO142">
            <v>3</v>
          </cell>
          <cell r="DQ142">
            <v>3</v>
          </cell>
          <cell r="DS142">
            <v>1</v>
          </cell>
        </row>
        <row r="143">
          <cell r="C143" t="str">
            <v>001</v>
          </cell>
          <cell r="E143" t="str">
            <v>2DT</v>
          </cell>
          <cell r="H143">
            <v>30</v>
          </cell>
          <cell r="J143">
            <v>90</v>
          </cell>
          <cell r="O143">
            <v>30</v>
          </cell>
          <cell r="W143">
            <v>1</v>
          </cell>
          <cell r="AD143">
            <v>1</v>
          </cell>
          <cell r="AF143">
            <v>0</v>
          </cell>
          <cell r="AH143">
            <v>0</v>
          </cell>
          <cell r="AJ143">
            <v>0</v>
          </cell>
          <cell r="AQ143">
            <v>1</v>
          </cell>
          <cell r="AV143">
            <v>1</v>
          </cell>
          <cell r="AW143">
            <v>0</v>
          </cell>
          <cell r="AX143">
            <v>0</v>
          </cell>
          <cell r="AY143">
            <v>0</v>
          </cell>
          <cell r="BA143">
            <v>1</v>
          </cell>
          <cell r="BG143">
            <v>0</v>
          </cell>
          <cell r="BH143">
            <v>0</v>
          </cell>
          <cell r="BR143">
            <v>1</v>
          </cell>
          <cell r="BV143">
            <v>1</v>
          </cell>
          <cell r="BX143">
            <v>0</v>
          </cell>
          <cell r="BY143">
            <v>0</v>
          </cell>
          <cell r="BZ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6</v>
          </cell>
          <cell r="CM143">
            <v>0</v>
          </cell>
          <cell r="CP143">
            <v>2</v>
          </cell>
          <cell r="CV143">
            <v>0</v>
          </cell>
          <cell r="CW143">
            <v>0</v>
          </cell>
          <cell r="CX143">
            <v>0</v>
          </cell>
          <cell r="DF143">
            <v>3</v>
          </cell>
          <cell r="DI143">
            <v>3</v>
          </cell>
          <cell r="DO143">
            <v>3</v>
          </cell>
          <cell r="DQ143">
            <v>3</v>
          </cell>
        </row>
        <row r="144">
          <cell r="C144" t="str">
            <v>002</v>
          </cell>
          <cell r="E144" t="str">
            <v>G</v>
          </cell>
          <cell r="H144">
            <v>50</v>
          </cell>
          <cell r="J144">
            <v>150</v>
          </cell>
          <cell r="O144">
            <v>50</v>
          </cell>
          <cell r="W144">
            <v>2</v>
          </cell>
          <cell r="AD144">
            <v>0</v>
          </cell>
          <cell r="AF144">
            <v>0</v>
          </cell>
          <cell r="AH144">
            <v>1</v>
          </cell>
          <cell r="AJ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BG144">
            <v>0</v>
          </cell>
          <cell r="BH144">
            <v>1</v>
          </cell>
          <cell r="BX144">
            <v>0</v>
          </cell>
          <cell r="BY144">
            <v>1</v>
          </cell>
          <cell r="BZ144">
            <v>4</v>
          </cell>
          <cell r="CB144">
            <v>0</v>
          </cell>
          <cell r="CC144">
            <v>0</v>
          </cell>
          <cell r="CD144">
            <v>6</v>
          </cell>
          <cell r="CM144">
            <v>1</v>
          </cell>
          <cell r="CP144">
            <v>0</v>
          </cell>
          <cell r="CU144">
            <v>3</v>
          </cell>
          <cell r="CV144">
            <v>3</v>
          </cell>
          <cell r="CW144">
            <v>0</v>
          </cell>
        </row>
        <row r="145">
          <cell r="C145" t="str">
            <v>003</v>
          </cell>
          <cell r="E145" t="str">
            <v>I</v>
          </cell>
          <cell r="H145">
            <v>50</v>
          </cell>
          <cell r="J145">
            <v>150</v>
          </cell>
          <cell r="O145">
            <v>50</v>
          </cell>
          <cell r="W145">
            <v>1</v>
          </cell>
          <cell r="AD145">
            <v>1</v>
          </cell>
          <cell r="AF145">
            <v>0</v>
          </cell>
          <cell r="AH145">
            <v>0</v>
          </cell>
          <cell r="AJ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BG145">
            <v>1</v>
          </cell>
          <cell r="BH145">
            <v>0</v>
          </cell>
          <cell r="BX145">
            <v>1</v>
          </cell>
          <cell r="BY145">
            <v>0</v>
          </cell>
          <cell r="BZ145">
            <v>2</v>
          </cell>
          <cell r="CB145">
            <v>0</v>
          </cell>
          <cell r="CC145">
            <v>3</v>
          </cell>
          <cell r="CD145">
            <v>0</v>
          </cell>
          <cell r="CM145">
            <v>1</v>
          </cell>
          <cell r="CP145">
            <v>0</v>
          </cell>
          <cell r="CV145">
            <v>0</v>
          </cell>
          <cell r="CW145">
            <v>0</v>
          </cell>
          <cell r="CX145">
            <v>0</v>
          </cell>
        </row>
        <row r="146">
          <cell r="C146" t="str">
            <v>004</v>
          </cell>
          <cell r="E146" t="str">
            <v>I</v>
          </cell>
          <cell r="H146">
            <v>50</v>
          </cell>
          <cell r="J146">
            <v>150</v>
          </cell>
          <cell r="O146">
            <v>50</v>
          </cell>
          <cell r="W146">
            <v>1</v>
          </cell>
          <cell r="AD146">
            <v>1</v>
          </cell>
          <cell r="AF146">
            <v>0</v>
          </cell>
          <cell r="AH146">
            <v>0</v>
          </cell>
          <cell r="AJ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BG146">
            <v>1</v>
          </cell>
          <cell r="BH146">
            <v>0</v>
          </cell>
          <cell r="BX146">
            <v>1</v>
          </cell>
          <cell r="BY146">
            <v>0</v>
          </cell>
          <cell r="BZ146">
            <v>2</v>
          </cell>
          <cell r="CB146">
            <v>0</v>
          </cell>
          <cell r="CC146">
            <v>3</v>
          </cell>
          <cell r="CD146">
            <v>0</v>
          </cell>
          <cell r="CM146">
            <v>1</v>
          </cell>
          <cell r="CP146">
            <v>0</v>
          </cell>
          <cell r="CV146">
            <v>0</v>
          </cell>
          <cell r="CW146">
            <v>0</v>
          </cell>
          <cell r="CX146">
            <v>0</v>
          </cell>
        </row>
        <row r="147">
          <cell r="C147" t="str">
            <v>005</v>
          </cell>
          <cell r="E147" t="str">
            <v>I</v>
          </cell>
          <cell r="H147">
            <v>50</v>
          </cell>
          <cell r="J147">
            <v>150</v>
          </cell>
          <cell r="O147">
            <v>50</v>
          </cell>
          <cell r="W147">
            <v>1</v>
          </cell>
          <cell r="AD147">
            <v>1</v>
          </cell>
          <cell r="AF147">
            <v>0</v>
          </cell>
          <cell r="AH147">
            <v>0</v>
          </cell>
          <cell r="AJ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BG147">
            <v>1</v>
          </cell>
          <cell r="BH147">
            <v>0</v>
          </cell>
          <cell r="BX147">
            <v>1</v>
          </cell>
          <cell r="BY147">
            <v>0</v>
          </cell>
          <cell r="BZ147">
            <v>2</v>
          </cell>
          <cell r="CB147">
            <v>0</v>
          </cell>
          <cell r="CC147">
            <v>3</v>
          </cell>
          <cell r="CD147">
            <v>0</v>
          </cell>
          <cell r="CM147">
            <v>1</v>
          </cell>
          <cell r="CP147">
            <v>0</v>
          </cell>
          <cell r="CV147">
            <v>0</v>
          </cell>
          <cell r="CW147">
            <v>0</v>
          </cell>
          <cell r="CX147">
            <v>0</v>
          </cell>
        </row>
        <row r="148">
          <cell r="C148" t="str">
            <v>006</v>
          </cell>
          <cell r="E148" t="str">
            <v>DT</v>
          </cell>
          <cell r="H148">
            <v>45</v>
          </cell>
          <cell r="J148">
            <v>135</v>
          </cell>
          <cell r="O148">
            <v>45</v>
          </cell>
          <cell r="W148">
            <v>1</v>
          </cell>
          <cell r="AF148">
            <v>0</v>
          </cell>
          <cell r="AG148">
            <v>1</v>
          </cell>
          <cell r="AH148">
            <v>0</v>
          </cell>
          <cell r="AJ148">
            <v>0</v>
          </cell>
          <cell r="AQ148">
            <v>1</v>
          </cell>
          <cell r="AV148">
            <v>1</v>
          </cell>
          <cell r="AW148">
            <v>0</v>
          </cell>
          <cell r="AX148">
            <v>0</v>
          </cell>
          <cell r="AY148">
            <v>0</v>
          </cell>
          <cell r="BG148">
            <v>0</v>
          </cell>
          <cell r="BH148">
            <v>0</v>
          </cell>
          <cell r="BR148">
            <v>1</v>
          </cell>
          <cell r="BX148">
            <v>0</v>
          </cell>
          <cell r="BY148">
            <v>0</v>
          </cell>
          <cell r="BZ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3</v>
          </cell>
          <cell r="CM148">
            <v>0</v>
          </cell>
          <cell r="CP148">
            <v>1</v>
          </cell>
          <cell r="CV148">
            <v>0</v>
          </cell>
          <cell r="CW148">
            <v>0</v>
          </cell>
          <cell r="CX148">
            <v>0</v>
          </cell>
        </row>
        <row r="149">
          <cell r="C149" t="str">
            <v>Cộng 14a:</v>
          </cell>
          <cell r="E149">
            <v>0</v>
          </cell>
          <cell r="F149">
            <v>0</v>
          </cell>
          <cell r="G149">
            <v>0</v>
          </cell>
          <cell r="H149">
            <v>275</v>
          </cell>
          <cell r="I149">
            <v>0</v>
          </cell>
          <cell r="J149">
            <v>825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275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7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4</v>
          </cell>
          <cell r="AE149">
            <v>0</v>
          </cell>
          <cell r="AF149">
            <v>0</v>
          </cell>
          <cell r="AG149">
            <v>1</v>
          </cell>
          <cell r="AH149">
            <v>1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2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3</v>
          </cell>
          <cell r="BH149">
            <v>1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3</v>
          </cell>
          <cell r="BS149">
            <v>0</v>
          </cell>
          <cell r="BT149">
            <v>0</v>
          </cell>
          <cell r="BU149">
            <v>0</v>
          </cell>
          <cell r="BV149">
            <v>1</v>
          </cell>
          <cell r="BW149">
            <v>0</v>
          </cell>
          <cell r="BX149">
            <v>3</v>
          </cell>
          <cell r="BY149">
            <v>1</v>
          </cell>
          <cell r="BZ149">
            <v>14</v>
          </cell>
          <cell r="CA149">
            <v>0</v>
          </cell>
          <cell r="CB149">
            <v>4</v>
          </cell>
          <cell r="CC149">
            <v>9</v>
          </cell>
          <cell r="CD149">
            <v>6</v>
          </cell>
          <cell r="CE149">
            <v>12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4</v>
          </cell>
          <cell r="CN149">
            <v>0</v>
          </cell>
          <cell r="CO149">
            <v>0</v>
          </cell>
          <cell r="CP149">
            <v>4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6</v>
          </cell>
          <cell r="CV149">
            <v>6</v>
          </cell>
          <cell r="CW149">
            <v>3</v>
          </cell>
          <cell r="CX149">
            <v>0</v>
          </cell>
          <cell r="CY149">
            <v>2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3</v>
          </cell>
          <cell r="DG149">
            <v>0</v>
          </cell>
          <cell r="DH149">
            <v>0</v>
          </cell>
          <cell r="DI149">
            <v>6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6</v>
          </cell>
          <cell r="DP149">
            <v>0</v>
          </cell>
          <cell r="DQ149">
            <v>6</v>
          </cell>
          <cell r="DR149">
            <v>0</v>
          </cell>
          <cell r="DS149">
            <v>1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</row>
        <row r="151">
          <cell r="B151" t="str">
            <v>TT3P</v>
          </cell>
          <cell r="C151" t="str">
            <v>17. Tuyến 1 pha Suối Râm 1 (Di dời TBA Suối Râm 1 - 100kVA)</v>
          </cell>
          <cell r="AR151" t="str">
            <v/>
          </cell>
        </row>
        <row r="152">
          <cell r="C152" t="str">
            <v>014</v>
          </cell>
          <cell r="E152" t="str">
            <v>DT</v>
          </cell>
          <cell r="AD152">
            <v>0</v>
          </cell>
          <cell r="AF152">
            <v>0</v>
          </cell>
          <cell r="AH152">
            <v>0</v>
          </cell>
          <cell r="AJ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BX152">
            <v>1</v>
          </cell>
          <cell r="BY152">
            <v>0</v>
          </cell>
          <cell r="CB152">
            <v>0</v>
          </cell>
          <cell r="CC152">
            <v>1</v>
          </cell>
          <cell r="CD152">
            <v>0</v>
          </cell>
          <cell r="CL152">
            <v>1</v>
          </cell>
          <cell r="CM152">
            <v>0</v>
          </cell>
          <cell r="CP152">
            <v>1</v>
          </cell>
          <cell r="CU152">
            <v>1</v>
          </cell>
          <cell r="CV152">
            <v>1</v>
          </cell>
          <cell r="CW152">
            <v>0</v>
          </cell>
          <cell r="CX152">
            <v>1</v>
          </cell>
          <cell r="CY152">
            <v>2</v>
          </cell>
          <cell r="DI152">
            <v>0.5</v>
          </cell>
          <cell r="DO152">
            <v>0.5</v>
          </cell>
          <cell r="DQ152">
            <v>1</v>
          </cell>
          <cell r="DR152">
            <v>1</v>
          </cell>
        </row>
        <row r="153">
          <cell r="C153" t="str">
            <v>001</v>
          </cell>
          <cell r="E153" t="str">
            <v>2DT</v>
          </cell>
          <cell r="H153">
            <v>30</v>
          </cell>
          <cell r="J153">
            <v>30</v>
          </cell>
          <cell r="O153">
            <v>30</v>
          </cell>
          <cell r="W153">
            <v>1</v>
          </cell>
          <cell r="AD153">
            <v>1</v>
          </cell>
          <cell r="AF153">
            <v>0</v>
          </cell>
          <cell r="AH153">
            <v>0</v>
          </cell>
          <cell r="AJ153">
            <v>0</v>
          </cell>
          <cell r="AQ153">
            <v>1</v>
          </cell>
          <cell r="AV153">
            <v>1</v>
          </cell>
          <cell r="AW153">
            <v>0</v>
          </cell>
          <cell r="AX153">
            <v>0</v>
          </cell>
          <cell r="AY153">
            <v>0</v>
          </cell>
          <cell r="BW153">
            <v>1</v>
          </cell>
          <cell r="BX153">
            <v>0</v>
          </cell>
          <cell r="BY153">
            <v>0</v>
          </cell>
          <cell r="CB153">
            <v>0</v>
          </cell>
          <cell r="CC153">
            <v>0</v>
          </cell>
          <cell r="CD153">
            <v>0</v>
          </cell>
          <cell r="CL153">
            <v>2</v>
          </cell>
          <cell r="CM153">
            <v>0</v>
          </cell>
          <cell r="CP153">
            <v>2</v>
          </cell>
          <cell r="CV153">
            <v>0</v>
          </cell>
          <cell r="CW153">
            <v>0</v>
          </cell>
          <cell r="CX153">
            <v>0</v>
          </cell>
          <cell r="DF153">
            <v>1</v>
          </cell>
          <cell r="DH153">
            <v>0.5</v>
          </cell>
          <cell r="DI153">
            <v>1</v>
          </cell>
          <cell r="DO153">
            <v>1</v>
          </cell>
          <cell r="DQ153">
            <v>1</v>
          </cell>
        </row>
        <row r="154">
          <cell r="C154" t="str">
            <v>002</v>
          </cell>
          <cell r="E154" t="str">
            <v>I</v>
          </cell>
          <cell r="H154">
            <v>45</v>
          </cell>
          <cell r="J154">
            <v>45</v>
          </cell>
          <cell r="O154">
            <v>45</v>
          </cell>
          <cell r="W154">
            <v>1</v>
          </cell>
          <cell r="AD154">
            <v>1</v>
          </cell>
          <cell r="AF154">
            <v>0</v>
          </cell>
          <cell r="AH154">
            <v>0</v>
          </cell>
          <cell r="AJ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BX154">
            <v>1</v>
          </cell>
          <cell r="BY154">
            <v>0</v>
          </cell>
          <cell r="CB154">
            <v>0</v>
          </cell>
          <cell r="CC154">
            <v>1</v>
          </cell>
          <cell r="CD154">
            <v>0</v>
          </cell>
          <cell r="CL154">
            <v>0</v>
          </cell>
          <cell r="CM154">
            <v>1</v>
          </cell>
          <cell r="CP154">
            <v>0</v>
          </cell>
          <cell r="CU154">
            <v>1</v>
          </cell>
          <cell r="CV154">
            <v>1</v>
          </cell>
          <cell r="CW154">
            <v>0</v>
          </cell>
        </row>
        <row r="155">
          <cell r="C155" t="str">
            <v>003</v>
          </cell>
          <cell r="E155" t="str">
            <v>G</v>
          </cell>
          <cell r="H155">
            <v>45</v>
          </cell>
          <cell r="J155">
            <v>45</v>
          </cell>
          <cell r="O155">
            <v>45</v>
          </cell>
          <cell r="W155">
            <v>1</v>
          </cell>
          <cell r="AD155">
            <v>1</v>
          </cell>
          <cell r="AF155">
            <v>0</v>
          </cell>
          <cell r="AH155">
            <v>0</v>
          </cell>
          <cell r="AJ155">
            <v>0</v>
          </cell>
          <cell r="AR155">
            <v>1</v>
          </cell>
          <cell r="AV155">
            <v>0</v>
          </cell>
          <cell r="AW155">
            <v>1</v>
          </cell>
          <cell r="AX155">
            <v>0</v>
          </cell>
          <cell r="AY155">
            <v>0</v>
          </cell>
          <cell r="BA155">
            <v>1</v>
          </cell>
          <cell r="BX155">
            <v>0</v>
          </cell>
          <cell r="BY155">
            <v>1</v>
          </cell>
          <cell r="CB155">
            <v>0</v>
          </cell>
          <cell r="CC155">
            <v>0</v>
          </cell>
          <cell r="CD155">
            <v>2</v>
          </cell>
          <cell r="CL155">
            <v>0</v>
          </cell>
          <cell r="CM155">
            <v>1</v>
          </cell>
          <cell r="CP155">
            <v>0</v>
          </cell>
          <cell r="CV155">
            <v>0</v>
          </cell>
          <cell r="CW155">
            <v>0</v>
          </cell>
          <cell r="CX155">
            <v>0</v>
          </cell>
        </row>
        <row r="156">
          <cell r="C156" t="str">
            <v>004</v>
          </cell>
          <cell r="E156" t="str">
            <v>G</v>
          </cell>
          <cell r="H156">
            <v>45</v>
          </cell>
          <cell r="J156">
            <v>45</v>
          </cell>
          <cell r="O156">
            <v>45</v>
          </cell>
          <cell r="W156">
            <v>1</v>
          </cell>
          <cell r="AD156">
            <v>1</v>
          </cell>
          <cell r="AF156">
            <v>0</v>
          </cell>
          <cell r="AH156">
            <v>0</v>
          </cell>
          <cell r="AJ156">
            <v>0</v>
          </cell>
          <cell r="AR156">
            <v>1</v>
          </cell>
          <cell r="AV156">
            <v>0</v>
          </cell>
          <cell r="AW156">
            <v>1</v>
          </cell>
          <cell r="AX156">
            <v>0</v>
          </cell>
          <cell r="AY156">
            <v>0</v>
          </cell>
          <cell r="BX156">
            <v>0</v>
          </cell>
          <cell r="BY156">
            <v>1</v>
          </cell>
          <cell r="CB156">
            <v>0</v>
          </cell>
          <cell r="CC156">
            <v>0</v>
          </cell>
          <cell r="CD156">
            <v>2</v>
          </cell>
          <cell r="CL156">
            <v>0</v>
          </cell>
          <cell r="CM156">
            <v>1</v>
          </cell>
          <cell r="CP156">
            <v>0</v>
          </cell>
          <cell r="CV156">
            <v>0</v>
          </cell>
          <cell r="CW156">
            <v>0</v>
          </cell>
          <cell r="CX156">
            <v>0</v>
          </cell>
        </row>
        <row r="157">
          <cell r="C157" t="str">
            <v>005</v>
          </cell>
          <cell r="E157" t="str">
            <v>I</v>
          </cell>
          <cell r="H157">
            <v>45</v>
          </cell>
          <cell r="J157">
            <v>45</v>
          </cell>
          <cell r="O157">
            <v>45</v>
          </cell>
          <cell r="W157">
            <v>1</v>
          </cell>
          <cell r="AD157">
            <v>1</v>
          </cell>
          <cell r="AF157">
            <v>0</v>
          </cell>
          <cell r="AH157">
            <v>0</v>
          </cell>
          <cell r="AJ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BX157">
            <v>1</v>
          </cell>
          <cell r="BY157">
            <v>0</v>
          </cell>
          <cell r="CB157">
            <v>0</v>
          </cell>
          <cell r="CC157">
            <v>1</v>
          </cell>
          <cell r="CD157">
            <v>0</v>
          </cell>
          <cell r="CL157">
            <v>0</v>
          </cell>
          <cell r="CM157">
            <v>1</v>
          </cell>
          <cell r="CP157">
            <v>0</v>
          </cell>
          <cell r="CV157">
            <v>0</v>
          </cell>
          <cell r="CW157">
            <v>0</v>
          </cell>
          <cell r="CX157">
            <v>0</v>
          </cell>
        </row>
        <row r="158">
          <cell r="C158" t="str">
            <v>006</v>
          </cell>
          <cell r="E158" t="str">
            <v>I</v>
          </cell>
          <cell r="H158">
            <v>45</v>
          </cell>
          <cell r="J158">
            <v>45</v>
          </cell>
          <cell r="O158">
            <v>45</v>
          </cell>
          <cell r="W158">
            <v>1</v>
          </cell>
          <cell r="AD158">
            <v>1</v>
          </cell>
          <cell r="AF158">
            <v>0</v>
          </cell>
          <cell r="AH158">
            <v>0</v>
          </cell>
          <cell r="AJ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BX158">
            <v>1</v>
          </cell>
          <cell r="BY158">
            <v>0</v>
          </cell>
          <cell r="CB158">
            <v>0</v>
          </cell>
          <cell r="CC158">
            <v>1</v>
          </cell>
          <cell r="CD158">
            <v>0</v>
          </cell>
          <cell r="CL158">
            <v>0</v>
          </cell>
          <cell r="CM158">
            <v>1</v>
          </cell>
          <cell r="CP158">
            <v>0</v>
          </cell>
          <cell r="CV158">
            <v>0</v>
          </cell>
          <cell r="CW158">
            <v>0</v>
          </cell>
          <cell r="CX158">
            <v>0</v>
          </cell>
        </row>
        <row r="159">
          <cell r="C159" t="str">
            <v>007</v>
          </cell>
          <cell r="D159">
            <v>1</v>
          </cell>
          <cell r="E159" t="str">
            <v>G</v>
          </cell>
          <cell r="H159">
            <v>50</v>
          </cell>
          <cell r="J159">
            <v>50</v>
          </cell>
          <cell r="O159">
            <v>50</v>
          </cell>
          <cell r="W159">
            <v>1</v>
          </cell>
          <cell r="AD159">
            <v>0</v>
          </cell>
          <cell r="AF159">
            <v>1</v>
          </cell>
          <cell r="AH159">
            <v>0</v>
          </cell>
          <cell r="AJ159">
            <v>0</v>
          </cell>
          <cell r="AR159">
            <v>1</v>
          </cell>
          <cell r="AV159">
            <v>0</v>
          </cell>
          <cell r="AW159">
            <v>0</v>
          </cell>
          <cell r="AX159">
            <v>0</v>
          </cell>
          <cell r="AY159">
            <v>1</v>
          </cell>
          <cell r="BX159">
            <v>0</v>
          </cell>
          <cell r="BY159">
            <v>1</v>
          </cell>
          <cell r="CB159">
            <v>0</v>
          </cell>
          <cell r="CC159">
            <v>0</v>
          </cell>
          <cell r="CD159">
            <v>2</v>
          </cell>
          <cell r="CL159">
            <v>0</v>
          </cell>
          <cell r="CM159">
            <v>1</v>
          </cell>
          <cell r="CP159">
            <v>0</v>
          </cell>
          <cell r="CV159">
            <v>0</v>
          </cell>
          <cell r="CW159">
            <v>0</v>
          </cell>
          <cell r="CX159">
            <v>0</v>
          </cell>
        </row>
        <row r="160">
          <cell r="C160" t="str">
            <v>008</v>
          </cell>
          <cell r="D160">
            <v>1</v>
          </cell>
          <cell r="E160" t="str">
            <v>2DT</v>
          </cell>
          <cell r="H160">
            <v>45</v>
          </cell>
          <cell r="J160">
            <v>45</v>
          </cell>
          <cell r="O160">
            <v>45</v>
          </cell>
          <cell r="W160">
            <v>1</v>
          </cell>
          <cell r="AD160">
            <v>0</v>
          </cell>
          <cell r="AF160">
            <v>1</v>
          </cell>
          <cell r="AH160">
            <v>0</v>
          </cell>
          <cell r="AJ160">
            <v>0</v>
          </cell>
          <cell r="AQ160">
            <v>2</v>
          </cell>
          <cell r="AV160">
            <v>0</v>
          </cell>
          <cell r="AW160">
            <v>0</v>
          </cell>
          <cell r="AX160">
            <v>2</v>
          </cell>
          <cell r="AY160">
            <v>0</v>
          </cell>
          <cell r="BA160">
            <v>1</v>
          </cell>
          <cell r="BX160">
            <v>1</v>
          </cell>
          <cell r="BY160">
            <v>0</v>
          </cell>
          <cell r="CB160">
            <v>0</v>
          </cell>
          <cell r="CC160">
            <v>1</v>
          </cell>
          <cell r="CD160">
            <v>0</v>
          </cell>
          <cell r="CL160">
            <v>2</v>
          </cell>
          <cell r="CM160">
            <v>0</v>
          </cell>
          <cell r="CP160">
            <v>2</v>
          </cell>
          <cell r="CV160">
            <v>0</v>
          </cell>
          <cell r="CW160">
            <v>0</v>
          </cell>
          <cell r="CX160">
            <v>0</v>
          </cell>
          <cell r="DH160">
            <v>0.5</v>
          </cell>
          <cell r="DI160">
            <v>1</v>
          </cell>
          <cell r="DO160">
            <v>1</v>
          </cell>
        </row>
        <row r="161">
          <cell r="C161" t="str">
            <v>009</v>
          </cell>
          <cell r="D161">
            <v>1</v>
          </cell>
          <cell r="E161" t="str">
            <v>G</v>
          </cell>
          <cell r="H161">
            <v>40</v>
          </cell>
          <cell r="J161">
            <v>40</v>
          </cell>
          <cell r="O161">
            <v>40</v>
          </cell>
          <cell r="W161">
            <v>2</v>
          </cell>
          <cell r="AD161">
            <v>0</v>
          </cell>
          <cell r="AF161">
            <v>0</v>
          </cell>
          <cell r="AH161">
            <v>0</v>
          </cell>
          <cell r="AJ161">
            <v>1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BX161">
            <v>0</v>
          </cell>
          <cell r="BY161">
            <v>1</v>
          </cell>
          <cell r="CB161">
            <v>0</v>
          </cell>
          <cell r="CC161">
            <v>0</v>
          </cell>
          <cell r="CD161">
            <v>2</v>
          </cell>
          <cell r="CL161">
            <v>0</v>
          </cell>
          <cell r="CM161">
            <v>1</v>
          </cell>
          <cell r="CP161">
            <v>0</v>
          </cell>
          <cell r="CV161">
            <v>0</v>
          </cell>
          <cell r="CW161">
            <v>0</v>
          </cell>
          <cell r="CX161">
            <v>0</v>
          </cell>
        </row>
        <row r="162">
          <cell r="C162" t="str">
            <v>010</v>
          </cell>
          <cell r="D162">
            <v>1</v>
          </cell>
          <cell r="E162" t="str">
            <v>G</v>
          </cell>
          <cell r="H162">
            <v>45</v>
          </cell>
          <cell r="J162">
            <v>45</v>
          </cell>
          <cell r="O162">
            <v>45</v>
          </cell>
          <cell r="W162">
            <v>2</v>
          </cell>
          <cell r="AD162">
            <v>0</v>
          </cell>
          <cell r="AF162">
            <v>0</v>
          </cell>
          <cell r="AH162">
            <v>0</v>
          </cell>
          <cell r="AJ162">
            <v>1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BX162">
            <v>0</v>
          </cell>
          <cell r="BY162">
            <v>1</v>
          </cell>
          <cell r="CB162">
            <v>0</v>
          </cell>
          <cell r="CC162">
            <v>0</v>
          </cell>
          <cell r="CD162">
            <v>2</v>
          </cell>
          <cell r="CL162">
            <v>0</v>
          </cell>
          <cell r="CM162">
            <v>1</v>
          </cell>
          <cell r="CP162">
            <v>0</v>
          </cell>
          <cell r="CV162">
            <v>0</v>
          </cell>
          <cell r="CW162">
            <v>0</v>
          </cell>
          <cell r="CX162">
            <v>0</v>
          </cell>
        </row>
        <row r="163">
          <cell r="C163" t="str">
            <v>011</v>
          </cell>
          <cell r="D163">
            <v>1</v>
          </cell>
          <cell r="E163" t="str">
            <v>DT</v>
          </cell>
          <cell r="H163">
            <v>40</v>
          </cell>
          <cell r="J163">
            <v>40</v>
          </cell>
          <cell r="O163">
            <v>40</v>
          </cell>
          <cell r="W163">
            <v>1</v>
          </cell>
          <cell r="AD163">
            <v>0</v>
          </cell>
          <cell r="AH163">
            <v>0</v>
          </cell>
          <cell r="AI163">
            <v>1</v>
          </cell>
          <cell r="AJ163">
            <v>0</v>
          </cell>
          <cell r="AQ163">
            <v>1</v>
          </cell>
          <cell r="AV163">
            <v>0</v>
          </cell>
          <cell r="AW163">
            <v>0</v>
          </cell>
          <cell r="AX163">
            <v>1</v>
          </cell>
          <cell r="AY163">
            <v>0</v>
          </cell>
          <cell r="BX163">
            <v>0</v>
          </cell>
          <cell r="BY163">
            <v>0</v>
          </cell>
          <cell r="CB163">
            <v>0</v>
          </cell>
          <cell r="CC163">
            <v>0</v>
          </cell>
          <cell r="CD163">
            <v>0</v>
          </cell>
          <cell r="CL163">
            <v>1</v>
          </cell>
          <cell r="CM163">
            <v>0</v>
          </cell>
          <cell r="CP163">
            <v>1</v>
          </cell>
          <cell r="CV163">
            <v>0</v>
          </cell>
          <cell r="CW163">
            <v>0</v>
          </cell>
          <cell r="CX163">
            <v>0</v>
          </cell>
        </row>
        <row r="164">
          <cell r="C164" t="str">
            <v>Cộng 17:</v>
          </cell>
          <cell r="E164">
            <v>0</v>
          </cell>
          <cell r="F164">
            <v>0</v>
          </cell>
          <cell r="G164">
            <v>0</v>
          </cell>
          <cell r="H164">
            <v>475</v>
          </cell>
          <cell r="I164">
            <v>0</v>
          </cell>
          <cell r="J164">
            <v>475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475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13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6</v>
          </cell>
          <cell r="AE164">
            <v>0</v>
          </cell>
          <cell r="AF164">
            <v>2</v>
          </cell>
          <cell r="AG164">
            <v>0</v>
          </cell>
          <cell r="AH164">
            <v>0</v>
          </cell>
          <cell r="AI164">
            <v>1</v>
          </cell>
          <cell r="AJ164">
            <v>2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4</v>
          </cell>
          <cell r="AR164">
            <v>3</v>
          </cell>
          <cell r="AS164">
            <v>0</v>
          </cell>
          <cell r="AT164">
            <v>0</v>
          </cell>
          <cell r="AU164">
            <v>0</v>
          </cell>
          <cell r="AV164">
            <v>1</v>
          </cell>
          <cell r="AW164">
            <v>2</v>
          </cell>
          <cell r="AX164">
            <v>3</v>
          </cell>
          <cell r="AY164">
            <v>1</v>
          </cell>
          <cell r="AZ164">
            <v>0</v>
          </cell>
          <cell r="BA164">
            <v>2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1</v>
          </cell>
          <cell r="BX164">
            <v>5</v>
          </cell>
          <cell r="BY164">
            <v>5</v>
          </cell>
          <cell r="BZ164">
            <v>0</v>
          </cell>
          <cell r="CA164">
            <v>0</v>
          </cell>
          <cell r="CB164">
            <v>0</v>
          </cell>
          <cell r="CC164">
            <v>5</v>
          </cell>
          <cell r="CD164">
            <v>10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6</v>
          </cell>
          <cell r="CM164">
            <v>8</v>
          </cell>
          <cell r="CN164">
            <v>0</v>
          </cell>
          <cell r="CO164">
            <v>0</v>
          </cell>
          <cell r="CP164">
            <v>6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2</v>
          </cell>
          <cell r="CV164">
            <v>2</v>
          </cell>
          <cell r="CW164">
            <v>0</v>
          </cell>
          <cell r="CX164">
            <v>1</v>
          </cell>
          <cell r="CY164">
            <v>2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1</v>
          </cell>
          <cell r="DG164">
            <v>0</v>
          </cell>
          <cell r="DH164">
            <v>1</v>
          </cell>
          <cell r="DI164">
            <v>2.5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2.5</v>
          </cell>
          <cell r="DP164">
            <v>0</v>
          </cell>
          <cell r="DQ164">
            <v>2</v>
          </cell>
          <cell r="DR164">
            <v>1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</row>
        <row r="166">
          <cell r="B166" t="str">
            <v>TT3P</v>
          </cell>
          <cell r="C166" t="str">
            <v>19. Tuyến 1 pha Tân Hạnh 9B; 9C ( xây dựng mới 2 TBA 75kVA)</v>
          </cell>
          <cell r="AR166" t="str">
            <v/>
          </cell>
        </row>
        <row r="167">
          <cell r="C167" t="str">
            <v>078</v>
          </cell>
          <cell r="E167" t="str">
            <v>2DT</v>
          </cell>
          <cell r="AD167">
            <v>0</v>
          </cell>
          <cell r="AF167">
            <v>0</v>
          </cell>
          <cell r="AH167">
            <v>0</v>
          </cell>
          <cell r="AJ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BX167">
            <v>0</v>
          </cell>
          <cell r="BY167">
            <v>0</v>
          </cell>
          <cell r="CB167">
            <v>0</v>
          </cell>
          <cell r="CC167">
            <v>0</v>
          </cell>
          <cell r="CD167">
            <v>0</v>
          </cell>
          <cell r="CL167">
            <v>1</v>
          </cell>
          <cell r="CM167">
            <v>0</v>
          </cell>
          <cell r="CP167">
            <v>1</v>
          </cell>
          <cell r="CV167">
            <v>0</v>
          </cell>
          <cell r="CW167">
            <v>0</v>
          </cell>
          <cell r="CX167">
            <v>0</v>
          </cell>
          <cell r="DH167">
            <v>0.5</v>
          </cell>
          <cell r="DI167">
            <v>0.5</v>
          </cell>
          <cell r="DO167">
            <v>0.5</v>
          </cell>
          <cell r="DR167">
            <v>1</v>
          </cell>
        </row>
        <row r="168">
          <cell r="C168" t="str">
            <v>079</v>
          </cell>
          <cell r="E168" t="str">
            <v>I</v>
          </cell>
          <cell r="H168">
            <v>43</v>
          </cell>
          <cell r="J168">
            <v>43</v>
          </cell>
          <cell r="O168">
            <v>43</v>
          </cell>
          <cell r="W168">
            <v>1</v>
          </cell>
          <cell r="AD168">
            <v>1</v>
          </cell>
          <cell r="AF168">
            <v>0</v>
          </cell>
          <cell r="AH168">
            <v>0</v>
          </cell>
          <cell r="AJ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BX168">
            <v>1</v>
          </cell>
          <cell r="BY168">
            <v>0</v>
          </cell>
          <cell r="CB168">
            <v>0</v>
          </cell>
          <cell r="CC168">
            <v>1</v>
          </cell>
          <cell r="CD168">
            <v>0</v>
          </cell>
          <cell r="CL168">
            <v>0</v>
          </cell>
          <cell r="CM168">
            <v>1</v>
          </cell>
          <cell r="CP168">
            <v>0</v>
          </cell>
          <cell r="CV168">
            <v>0</v>
          </cell>
          <cell r="CW168">
            <v>0</v>
          </cell>
          <cell r="CX168">
            <v>0</v>
          </cell>
        </row>
        <row r="169">
          <cell r="C169" t="str">
            <v>080</v>
          </cell>
          <cell r="E169" t="str">
            <v>I-DT</v>
          </cell>
          <cell r="H169">
            <v>31.5</v>
          </cell>
          <cell r="J169">
            <v>31.5</v>
          </cell>
          <cell r="O169">
            <v>31.5</v>
          </cell>
          <cell r="W169">
            <v>2</v>
          </cell>
          <cell r="AD169">
            <v>0</v>
          </cell>
          <cell r="AF169">
            <v>0</v>
          </cell>
          <cell r="AH169">
            <v>1</v>
          </cell>
          <cell r="AJ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BX169">
            <v>1</v>
          </cell>
          <cell r="BY169">
            <v>0</v>
          </cell>
          <cell r="CB169">
            <v>0</v>
          </cell>
          <cell r="CC169">
            <v>1</v>
          </cell>
          <cell r="CD169">
            <v>0</v>
          </cell>
          <cell r="CL169">
            <v>1</v>
          </cell>
          <cell r="CM169">
            <v>1</v>
          </cell>
          <cell r="CP169">
            <v>1</v>
          </cell>
          <cell r="CU169">
            <v>1</v>
          </cell>
          <cell r="CV169">
            <v>1</v>
          </cell>
          <cell r="CW169">
            <v>0</v>
          </cell>
          <cell r="CX169">
            <v>1</v>
          </cell>
          <cell r="CY169">
            <v>2</v>
          </cell>
          <cell r="DI169">
            <v>1</v>
          </cell>
          <cell r="DO169">
            <v>1</v>
          </cell>
          <cell r="DQ169">
            <v>1</v>
          </cell>
        </row>
        <row r="170">
          <cell r="C170" t="str">
            <v>081</v>
          </cell>
          <cell r="E170" t="str">
            <v>2DT</v>
          </cell>
          <cell r="H170">
            <v>40</v>
          </cell>
          <cell r="J170">
            <v>40</v>
          </cell>
          <cell r="O170">
            <v>40</v>
          </cell>
          <cell r="W170">
            <v>2</v>
          </cell>
          <cell r="AD170">
            <v>0</v>
          </cell>
          <cell r="AF170">
            <v>0</v>
          </cell>
          <cell r="AH170">
            <v>1</v>
          </cell>
          <cell r="AJ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BW170">
            <v>1</v>
          </cell>
          <cell r="BY170">
            <v>0</v>
          </cell>
          <cell r="CB170">
            <v>0</v>
          </cell>
          <cell r="CC170">
            <v>0</v>
          </cell>
          <cell r="CD170">
            <v>0</v>
          </cell>
          <cell r="CL170">
            <v>2</v>
          </cell>
          <cell r="CM170">
            <v>0</v>
          </cell>
          <cell r="CP170">
            <v>2</v>
          </cell>
          <cell r="CV170">
            <v>0</v>
          </cell>
          <cell r="CW170">
            <v>0</v>
          </cell>
          <cell r="CX170">
            <v>0</v>
          </cell>
          <cell r="DF170">
            <v>1</v>
          </cell>
          <cell r="DH170">
            <v>0.5</v>
          </cell>
          <cell r="DI170">
            <v>1</v>
          </cell>
          <cell r="DO170">
            <v>1</v>
          </cell>
          <cell r="DQ170">
            <v>1</v>
          </cell>
        </row>
        <row r="171">
          <cell r="C171" t="str">
            <v>082</v>
          </cell>
          <cell r="E171" t="str">
            <v>G</v>
          </cell>
          <cell r="H171">
            <v>50</v>
          </cell>
          <cell r="J171">
            <v>50</v>
          </cell>
          <cell r="O171">
            <v>50</v>
          </cell>
          <cell r="W171">
            <v>1</v>
          </cell>
          <cell r="AD171">
            <v>1</v>
          </cell>
          <cell r="AF171">
            <v>0</v>
          </cell>
          <cell r="AH171">
            <v>0</v>
          </cell>
          <cell r="AJ171">
            <v>0</v>
          </cell>
          <cell r="AQ171">
            <v>1</v>
          </cell>
          <cell r="AV171">
            <v>1</v>
          </cell>
          <cell r="AW171">
            <v>0</v>
          </cell>
          <cell r="AX171">
            <v>0</v>
          </cell>
          <cell r="AY171">
            <v>0</v>
          </cell>
          <cell r="BA171">
            <v>1</v>
          </cell>
          <cell r="BX171">
            <v>0</v>
          </cell>
          <cell r="BY171">
            <v>1</v>
          </cell>
          <cell r="CB171">
            <v>0</v>
          </cell>
          <cell r="CC171">
            <v>0</v>
          </cell>
          <cell r="CD171">
            <v>2</v>
          </cell>
          <cell r="CL171">
            <v>0</v>
          </cell>
          <cell r="CM171">
            <v>1</v>
          </cell>
          <cell r="CP171">
            <v>0</v>
          </cell>
          <cell r="CU171">
            <v>1</v>
          </cell>
          <cell r="CV171">
            <v>1</v>
          </cell>
          <cell r="CW171">
            <v>0</v>
          </cell>
        </row>
        <row r="172">
          <cell r="C172" t="str">
            <v>083</v>
          </cell>
          <cell r="E172" t="str">
            <v>G</v>
          </cell>
          <cell r="H172">
            <v>45</v>
          </cell>
          <cell r="J172">
            <v>45</v>
          </cell>
          <cell r="O172">
            <v>45</v>
          </cell>
          <cell r="W172">
            <v>1</v>
          </cell>
          <cell r="AD172">
            <v>1</v>
          </cell>
          <cell r="AF172">
            <v>0</v>
          </cell>
          <cell r="AH172">
            <v>0</v>
          </cell>
          <cell r="AJ172">
            <v>0</v>
          </cell>
          <cell r="AQ172">
            <v>1</v>
          </cell>
          <cell r="AV172">
            <v>1</v>
          </cell>
          <cell r="AW172">
            <v>0</v>
          </cell>
          <cell r="AX172">
            <v>0</v>
          </cell>
          <cell r="AY172">
            <v>0</v>
          </cell>
          <cell r="BX172">
            <v>0</v>
          </cell>
          <cell r="BY172">
            <v>1</v>
          </cell>
          <cell r="CB172">
            <v>0</v>
          </cell>
          <cell r="CC172">
            <v>0</v>
          </cell>
          <cell r="CD172">
            <v>2</v>
          </cell>
          <cell r="CL172">
            <v>0</v>
          </cell>
          <cell r="CM172">
            <v>1</v>
          </cell>
          <cell r="CP172">
            <v>0</v>
          </cell>
          <cell r="CV172">
            <v>0</v>
          </cell>
          <cell r="CW172">
            <v>0</v>
          </cell>
          <cell r="CX172">
            <v>0</v>
          </cell>
        </row>
        <row r="173">
          <cell r="C173" t="str">
            <v>084</v>
          </cell>
          <cell r="E173" t="str">
            <v>G</v>
          </cell>
          <cell r="H173">
            <v>45</v>
          </cell>
          <cell r="J173">
            <v>45</v>
          </cell>
          <cell r="O173">
            <v>45</v>
          </cell>
          <cell r="W173">
            <v>1</v>
          </cell>
          <cell r="AD173">
            <v>1</v>
          </cell>
          <cell r="AF173">
            <v>0</v>
          </cell>
          <cell r="AH173">
            <v>0</v>
          </cell>
          <cell r="AJ173">
            <v>0</v>
          </cell>
          <cell r="AQ173">
            <v>1</v>
          </cell>
          <cell r="AV173">
            <v>1</v>
          </cell>
          <cell r="AW173">
            <v>0</v>
          </cell>
          <cell r="AX173">
            <v>0</v>
          </cell>
          <cell r="AY173">
            <v>0</v>
          </cell>
          <cell r="BX173">
            <v>0</v>
          </cell>
          <cell r="BY173">
            <v>1</v>
          </cell>
          <cell r="CB173">
            <v>0</v>
          </cell>
          <cell r="CC173">
            <v>0</v>
          </cell>
          <cell r="CD173">
            <v>2</v>
          </cell>
          <cell r="CL173">
            <v>0</v>
          </cell>
          <cell r="CM173">
            <v>1</v>
          </cell>
          <cell r="CP173">
            <v>0</v>
          </cell>
          <cell r="CV173">
            <v>0</v>
          </cell>
          <cell r="CW173">
            <v>0</v>
          </cell>
          <cell r="CX173">
            <v>0</v>
          </cell>
        </row>
        <row r="174">
          <cell r="C174" t="str">
            <v>085</v>
          </cell>
          <cell r="E174" t="str">
            <v>G</v>
          </cell>
          <cell r="H174">
            <v>45</v>
          </cell>
          <cell r="J174">
            <v>45</v>
          </cell>
          <cell r="O174">
            <v>45</v>
          </cell>
          <cell r="W174">
            <v>2</v>
          </cell>
          <cell r="AD174">
            <v>0</v>
          </cell>
          <cell r="AF174">
            <v>0</v>
          </cell>
          <cell r="AH174">
            <v>1</v>
          </cell>
          <cell r="AJ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BX174">
            <v>0</v>
          </cell>
          <cell r="BY174">
            <v>1</v>
          </cell>
          <cell r="CB174">
            <v>0</v>
          </cell>
          <cell r="CC174">
            <v>0</v>
          </cell>
          <cell r="CD174">
            <v>2</v>
          </cell>
          <cell r="CL174">
            <v>0</v>
          </cell>
          <cell r="CM174">
            <v>1</v>
          </cell>
          <cell r="CP174">
            <v>0</v>
          </cell>
          <cell r="CV174">
            <v>0</v>
          </cell>
          <cell r="CW174">
            <v>0</v>
          </cell>
          <cell r="CX174">
            <v>0</v>
          </cell>
        </row>
        <row r="175">
          <cell r="C175" t="str">
            <v>086</v>
          </cell>
          <cell r="E175" t="str">
            <v>G</v>
          </cell>
          <cell r="H175">
            <v>40</v>
          </cell>
          <cell r="J175">
            <v>40</v>
          </cell>
          <cell r="O175">
            <v>40</v>
          </cell>
          <cell r="W175">
            <v>2</v>
          </cell>
          <cell r="AD175">
            <v>0</v>
          </cell>
          <cell r="AF175">
            <v>0</v>
          </cell>
          <cell r="AH175">
            <v>1</v>
          </cell>
          <cell r="AJ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BX175">
            <v>0</v>
          </cell>
          <cell r="BY175">
            <v>1</v>
          </cell>
          <cell r="CB175">
            <v>0</v>
          </cell>
          <cell r="CC175">
            <v>0</v>
          </cell>
          <cell r="CD175">
            <v>2</v>
          </cell>
          <cell r="CL175">
            <v>0</v>
          </cell>
          <cell r="CM175">
            <v>1</v>
          </cell>
          <cell r="CP175">
            <v>0</v>
          </cell>
          <cell r="CV175">
            <v>0</v>
          </cell>
          <cell r="CW175">
            <v>0</v>
          </cell>
          <cell r="CX175">
            <v>0</v>
          </cell>
        </row>
        <row r="176">
          <cell r="C176" t="str">
            <v>087</v>
          </cell>
          <cell r="E176" t="str">
            <v>G</v>
          </cell>
          <cell r="H176">
            <v>43</v>
          </cell>
          <cell r="J176">
            <v>43</v>
          </cell>
          <cell r="O176">
            <v>43</v>
          </cell>
          <cell r="W176">
            <v>1</v>
          </cell>
          <cell r="AD176">
            <v>1</v>
          </cell>
          <cell r="AF176">
            <v>0</v>
          </cell>
          <cell r="AH176">
            <v>0</v>
          </cell>
          <cell r="AJ176">
            <v>0</v>
          </cell>
          <cell r="AQ176">
            <v>1</v>
          </cell>
          <cell r="AV176">
            <v>1</v>
          </cell>
          <cell r="AW176">
            <v>0</v>
          </cell>
          <cell r="AX176">
            <v>0</v>
          </cell>
          <cell r="AY176">
            <v>0</v>
          </cell>
          <cell r="BA176">
            <v>1</v>
          </cell>
          <cell r="BX176">
            <v>0</v>
          </cell>
          <cell r="BY176">
            <v>1</v>
          </cell>
          <cell r="CB176">
            <v>0</v>
          </cell>
          <cell r="CC176">
            <v>0</v>
          </cell>
          <cell r="CD176">
            <v>2</v>
          </cell>
          <cell r="CL176">
            <v>0</v>
          </cell>
          <cell r="CM176">
            <v>1</v>
          </cell>
          <cell r="CP176">
            <v>0</v>
          </cell>
          <cell r="CV176">
            <v>0</v>
          </cell>
          <cell r="CW176">
            <v>0</v>
          </cell>
          <cell r="CX176">
            <v>0</v>
          </cell>
        </row>
        <row r="177">
          <cell r="C177" t="str">
            <v>088</v>
          </cell>
          <cell r="E177" t="str">
            <v>G</v>
          </cell>
          <cell r="H177">
            <v>50</v>
          </cell>
          <cell r="J177">
            <v>50</v>
          </cell>
          <cell r="O177">
            <v>50</v>
          </cell>
          <cell r="W177">
            <v>1</v>
          </cell>
          <cell r="AD177">
            <v>1</v>
          </cell>
          <cell r="AF177">
            <v>0</v>
          </cell>
          <cell r="AH177">
            <v>0</v>
          </cell>
          <cell r="AJ177">
            <v>0</v>
          </cell>
          <cell r="AQ177">
            <v>1</v>
          </cell>
          <cell r="AV177">
            <v>1</v>
          </cell>
          <cell r="AW177">
            <v>0</v>
          </cell>
          <cell r="AX177">
            <v>0</v>
          </cell>
          <cell r="AY177">
            <v>0</v>
          </cell>
          <cell r="BX177">
            <v>0</v>
          </cell>
          <cell r="BY177">
            <v>1</v>
          </cell>
          <cell r="CB177">
            <v>0</v>
          </cell>
          <cell r="CC177">
            <v>0</v>
          </cell>
          <cell r="CD177">
            <v>2</v>
          </cell>
          <cell r="CL177">
            <v>0</v>
          </cell>
          <cell r="CM177">
            <v>1</v>
          </cell>
          <cell r="CP177">
            <v>0</v>
          </cell>
          <cell r="CV177">
            <v>0</v>
          </cell>
          <cell r="CW177">
            <v>0</v>
          </cell>
          <cell r="CX177">
            <v>0</v>
          </cell>
        </row>
        <row r="178">
          <cell r="C178" t="str">
            <v>089</v>
          </cell>
          <cell r="E178" t="str">
            <v>I</v>
          </cell>
          <cell r="H178">
            <v>50</v>
          </cell>
          <cell r="J178">
            <v>50</v>
          </cell>
          <cell r="O178">
            <v>50</v>
          </cell>
          <cell r="W178">
            <v>1</v>
          </cell>
          <cell r="AD178">
            <v>1</v>
          </cell>
          <cell r="AF178">
            <v>0</v>
          </cell>
          <cell r="AH178">
            <v>0</v>
          </cell>
          <cell r="AJ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BX178">
            <v>1</v>
          </cell>
          <cell r="BY178">
            <v>0</v>
          </cell>
          <cell r="CB178">
            <v>0</v>
          </cell>
          <cell r="CC178">
            <v>1</v>
          </cell>
          <cell r="CD178">
            <v>0</v>
          </cell>
          <cell r="CL178">
            <v>0</v>
          </cell>
          <cell r="CM178">
            <v>1</v>
          </cell>
          <cell r="CP178">
            <v>0</v>
          </cell>
          <cell r="CV178">
            <v>0</v>
          </cell>
          <cell r="CW178">
            <v>0</v>
          </cell>
          <cell r="CX178">
            <v>0</v>
          </cell>
        </row>
        <row r="179">
          <cell r="C179" t="str">
            <v>090</v>
          </cell>
          <cell r="E179" t="str">
            <v>I</v>
          </cell>
          <cell r="H179">
            <v>50</v>
          </cell>
          <cell r="J179">
            <v>50</v>
          </cell>
          <cell r="O179">
            <v>50</v>
          </cell>
          <cell r="W179">
            <v>1</v>
          </cell>
          <cell r="AD179">
            <v>1</v>
          </cell>
          <cell r="AF179">
            <v>0</v>
          </cell>
          <cell r="AH179">
            <v>0</v>
          </cell>
          <cell r="AJ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BX179">
            <v>1</v>
          </cell>
          <cell r="BY179">
            <v>0</v>
          </cell>
          <cell r="CB179">
            <v>0</v>
          </cell>
          <cell r="CC179">
            <v>1</v>
          </cell>
          <cell r="CD179">
            <v>0</v>
          </cell>
          <cell r="CL179">
            <v>0</v>
          </cell>
          <cell r="CM179">
            <v>1</v>
          </cell>
          <cell r="CP179">
            <v>0</v>
          </cell>
          <cell r="CV179">
            <v>0</v>
          </cell>
          <cell r="CW179">
            <v>0</v>
          </cell>
          <cell r="CX179">
            <v>0</v>
          </cell>
        </row>
        <row r="180">
          <cell r="C180" t="str">
            <v>091</v>
          </cell>
          <cell r="E180" t="str">
            <v>DT</v>
          </cell>
          <cell r="H180">
            <v>50</v>
          </cell>
          <cell r="J180">
            <v>50</v>
          </cell>
          <cell r="O180">
            <v>50</v>
          </cell>
          <cell r="W180">
            <v>1</v>
          </cell>
          <cell r="AF180">
            <v>0</v>
          </cell>
          <cell r="AG180">
            <v>1</v>
          </cell>
          <cell r="AH180">
            <v>0</v>
          </cell>
          <cell r="AJ180">
            <v>0</v>
          </cell>
          <cell r="AQ180">
            <v>1</v>
          </cell>
          <cell r="AV180">
            <v>1</v>
          </cell>
          <cell r="AW180">
            <v>0</v>
          </cell>
          <cell r="AX180">
            <v>0</v>
          </cell>
          <cell r="AY180">
            <v>0</v>
          </cell>
          <cell r="BX180">
            <v>0</v>
          </cell>
          <cell r="BY180">
            <v>0</v>
          </cell>
          <cell r="CB180">
            <v>0</v>
          </cell>
          <cell r="CC180">
            <v>0</v>
          </cell>
          <cell r="CD180">
            <v>0</v>
          </cell>
          <cell r="CL180">
            <v>1</v>
          </cell>
          <cell r="CM180">
            <v>0</v>
          </cell>
          <cell r="CP180">
            <v>1</v>
          </cell>
          <cell r="CV180">
            <v>0</v>
          </cell>
          <cell r="CW180">
            <v>0</v>
          </cell>
          <cell r="CX180">
            <v>0</v>
          </cell>
        </row>
        <row r="181">
          <cell r="C181" t="str">
            <v>001/080</v>
          </cell>
          <cell r="D181">
            <v>1</v>
          </cell>
          <cell r="E181" t="str">
            <v>2DT</v>
          </cell>
          <cell r="H181">
            <v>38</v>
          </cell>
          <cell r="J181">
            <v>38</v>
          </cell>
          <cell r="O181">
            <v>38</v>
          </cell>
          <cell r="W181">
            <v>2</v>
          </cell>
          <cell r="AD181">
            <v>0</v>
          </cell>
          <cell r="AF181">
            <v>0</v>
          </cell>
          <cell r="AH181">
            <v>0</v>
          </cell>
          <cell r="AJ181">
            <v>1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BW181">
            <v>1</v>
          </cell>
          <cell r="BY181">
            <v>0</v>
          </cell>
          <cell r="CB181">
            <v>0</v>
          </cell>
          <cell r="CC181">
            <v>0</v>
          </cell>
          <cell r="CD181">
            <v>0</v>
          </cell>
          <cell r="CL181">
            <v>2</v>
          </cell>
          <cell r="CM181">
            <v>0</v>
          </cell>
          <cell r="CP181">
            <v>2</v>
          </cell>
          <cell r="CV181">
            <v>0</v>
          </cell>
          <cell r="CW181">
            <v>0</v>
          </cell>
          <cell r="CX181">
            <v>0</v>
          </cell>
          <cell r="DF181">
            <v>1</v>
          </cell>
          <cell r="DH181">
            <v>0.5</v>
          </cell>
          <cell r="DI181">
            <v>1</v>
          </cell>
          <cell r="DO181">
            <v>1</v>
          </cell>
          <cell r="DQ181">
            <v>1</v>
          </cell>
        </row>
        <row r="182">
          <cell r="C182" t="str">
            <v>002/080</v>
          </cell>
          <cell r="D182">
            <v>1</v>
          </cell>
          <cell r="E182" t="str">
            <v>G</v>
          </cell>
          <cell r="H182">
            <v>42</v>
          </cell>
          <cell r="J182">
            <v>42</v>
          </cell>
          <cell r="O182">
            <v>42</v>
          </cell>
          <cell r="W182">
            <v>2</v>
          </cell>
          <cell r="AD182">
            <v>0</v>
          </cell>
          <cell r="AF182">
            <v>0</v>
          </cell>
          <cell r="AH182">
            <v>0</v>
          </cell>
          <cell r="AJ182">
            <v>1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BX182">
            <v>0</v>
          </cell>
          <cell r="BY182">
            <v>1</v>
          </cell>
          <cell r="CB182">
            <v>0</v>
          </cell>
          <cell r="CC182">
            <v>0</v>
          </cell>
          <cell r="CD182">
            <v>2</v>
          </cell>
          <cell r="CL182">
            <v>0</v>
          </cell>
          <cell r="CM182">
            <v>1</v>
          </cell>
          <cell r="CP182">
            <v>0</v>
          </cell>
          <cell r="CU182">
            <v>1</v>
          </cell>
          <cell r="CV182">
            <v>1</v>
          </cell>
          <cell r="CW182">
            <v>0</v>
          </cell>
        </row>
        <row r="183">
          <cell r="C183" t="str">
            <v>003/080</v>
          </cell>
          <cell r="D183">
            <v>1</v>
          </cell>
          <cell r="E183" t="str">
            <v>2DT</v>
          </cell>
          <cell r="H183">
            <v>36</v>
          </cell>
          <cell r="J183">
            <v>36</v>
          </cell>
          <cell r="O183">
            <v>36</v>
          </cell>
          <cell r="W183">
            <v>1</v>
          </cell>
          <cell r="AD183">
            <v>0</v>
          </cell>
          <cell r="AF183">
            <v>1</v>
          </cell>
          <cell r="AH183">
            <v>0</v>
          </cell>
          <cell r="AJ183">
            <v>0</v>
          </cell>
          <cell r="AQ183">
            <v>2</v>
          </cell>
          <cell r="AV183">
            <v>0</v>
          </cell>
          <cell r="AW183">
            <v>0</v>
          </cell>
          <cell r="AX183">
            <v>2</v>
          </cell>
          <cell r="AY183">
            <v>0</v>
          </cell>
          <cell r="BX183">
            <v>1</v>
          </cell>
          <cell r="BY183">
            <v>0</v>
          </cell>
          <cell r="CB183">
            <v>0</v>
          </cell>
          <cell r="CC183">
            <v>1</v>
          </cell>
          <cell r="CD183">
            <v>0</v>
          </cell>
          <cell r="CL183">
            <v>2</v>
          </cell>
          <cell r="CM183">
            <v>0</v>
          </cell>
          <cell r="CP183">
            <v>2</v>
          </cell>
          <cell r="CV183">
            <v>0</v>
          </cell>
          <cell r="CW183">
            <v>0</v>
          </cell>
          <cell r="CX183">
            <v>0</v>
          </cell>
          <cell r="DH183">
            <v>0.5</v>
          </cell>
          <cell r="DI183">
            <v>1</v>
          </cell>
          <cell r="DO183">
            <v>1</v>
          </cell>
          <cell r="DQ183">
            <v>1</v>
          </cell>
        </row>
        <row r="184">
          <cell r="C184" t="str">
            <v>004/080</v>
          </cell>
          <cell r="D184">
            <v>1</v>
          </cell>
          <cell r="E184" t="str">
            <v>G</v>
          </cell>
          <cell r="H184">
            <v>45</v>
          </cell>
          <cell r="J184">
            <v>45</v>
          </cell>
          <cell r="O184">
            <v>45</v>
          </cell>
          <cell r="W184">
            <v>1</v>
          </cell>
          <cell r="AD184">
            <v>0</v>
          </cell>
          <cell r="AF184">
            <v>1</v>
          </cell>
          <cell r="AH184">
            <v>0</v>
          </cell>
          <cell r="AJ184">
            <v>0</v>
          </cell>
          <cell r="AQ184">
            <v>1</v>
          </cell>
          <cell r="AV184">
            <v>0</v>
          </cell>
          <cell r="AW184">
            <v>0</v>
          </cell>
          <cell r="AX184">
            <v>1</v>
          </cell>
          <cell r="AY184">
            <v>0</v>
          </cell>
          <cell r="BA184">
            <v>1</v>
          </cell>
          <cell r="BX184">
            <v>0</v>
          </cell>
          <cell r="BY184">
            <v>1</v>
          </cell>
          <cell r="CB184">
            <v>0</v>
          </cell>
          <cell r="CC184">
            <v>0</v>
          </cell>
          <cell r="CD184">
            <v>2</v>
          </cell>
          <cell r="CL184">
            <v>0</v>
          </cell>
          <cell r="CM184">
            <v>1</v>
          </cell>
          <cell r="CP184">
            <v>0</v>
          </cell>
          <cell r="CV184">
            <v>0</v>
          </cell>
          <cell r="CW184">
            <v>0</v>
          </cell>
          <cell r="CX184">
            <v>0</v>
          </cell>
        </row>
        <row r="185">
          <cell r="C185" t="str">
            <v>005/080</v>
          </cell>
          <cell r="D185">
            <v>1</v>
          </cell>
          <cell r="E185" t="str">
            <v>G</v>
          </cell>
          <cell r="H185">
            <v>36</v>
          </cell>
          <cell r="J185">
            <v>36</v>
          </cell>
          <cell r="O185">
            <v>36</v>
          </cell>
          <cell r="W185">
            <v>2</v>
          </cell>
          <cell r="AD185">
            <v>0</v>
          </cell>
          <cell r="AF185">
            <v>0</v>
          </cell>
          <cell r="AH185">
            <v>0</v>
          </cell>
          <cell r="AJ185">
            <v>1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BX185">
            <v>0</v>
          </cell>
          <cell r="BY185">
            <v>1</v>
          </cell>
          <cell r="CB185">
            <v>0</v>
          </cell>
          <cell r="CC185">
            <v>0</v>
          </cell>
          <cell r="CD185">
            <v>2</v>
          </cell>
          <cell r="CL185">
            <v>0</v>
          </cell>
          <cell r="CM185">
            <v>1</v>
          </cell>
          <cell r="CP185">
            <v>0</v>
          </cell>
          <cell r="CV185">
            <v>0</v>
          </cell>
          <cell r="CW185">
            <v>0</v>
          </cell>
          <cell r="CX185">
            <v>0</v>
          </cell>
        </row>
        <row r="186">
          <cell r="C186" t="str">
            <v>006/080</v>
          </cell>
          <cell r="D186">
            <v>1</v>
          </cell>
          <cell r="E186" t="str">
            <v>G</v>
          </cell>
          <cell r="H186">
            <v>48</v>
          </cell>
          <cell r="J186">
            <v>48</v>
          </cell>
          <cell r="O186">
            <v>48</v>
          </cell>
          <cell r="W186">
            <v>2</v>
          </cell>
          <cell r="AD186">
            <v>0</v>
          </cell>
          <cell r="AF186">
            <v>0</v>
          </cell>
          <cell r="AH186">
            <v>0</v>
          </cell>
          <cell r="AJ186">
            <v>1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BX186">
            <v>0</v>
          </cell>
          <cell r="BY186">
            <v>1</v>
          </cell>
          <cell r="CB186">
            <v>0</v>
          </cell>
          <cell r="CC186">
            <v>0</v>
          </cell>
          <cell r="CD186">
            <v>2</v>
          </cell>
          <cell r="CL186">
            <v>0</v>
          </cell>
          <cell r="CM186">
            <v>1</v>
          </cell>
          <cell r="CP186">
            <v>0</v>
          </cell>
          <cell r="CV186">
            <v>0</v>
          </cell>
          <cell r="CW186">
            <v>0</v>
          </cell>
          <cell r="CX186">
            <v>0</v>
          </cell>
        </row>
        <row r="187">
          <cell r="C187" t="str">
            <v>007/080</v>
          </cell>
          <cell r="D187">
            <v>1</v>
          </cell>
          <cell r="E187" t="str">
            <v>I</v>
          </cell>
          <cell r="H187">
            <v>50</v>
          </cell>
          <cell r="J187">
            <v>50</v>
          </cell>
          <cell r="O187">
            <v>50</v>
          </cell>
          <cell r="W187">
            <v>1</v>
          </cell>
          <cell r="AD187">
            <v>0</v>
          </cell>
          <cell r="AF187">
            <v>1</v>
          </cell>
          <cell r="AH187">
            <v>0</v>
          </cell>
          <cell r="AJ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BX187">
            <v>1</v>
          </cell>
          <cell r="BY187">
            <v>0</v>
          </cell>
          <cell r="CB187">
            <v>0</v>
          </cell>
          <cell r="CC187">
            <v>1</v>
          </cell>
          <cell r="CD187">
            <v>0</v>
          </cell>
          <cell r="CL187">
            <v>0</v>
          </cell>
          <cell r="CM187">
            <v>1</v>
          </cell>
          <cell r="CP187">
            <v>0</v>
          </cell>
          <cell r="CV187">
            <v>0</v>
          </cell>
          <cell r="CW187">
            <v>0</v>
          </cell>
          <cell r="CX187">
            <v>0</v>
          </cell>
        </row>
        <row r="188">
          <cell r="C188" t="str">
            <v>008/080</v>
          </cell>
          <cell r="D188">
            <v>1</v>
          </cell>
          <cell r="E188" t="str">
            <v>G</v>
          </cell>
          <cell r="H188">
            <v>45</v>
          </cell>
          <cell r="J188">
            <v>45</v>
          </cell>
          <cell r="O188">
            <v>45</v>
          </cell>
          <cell r="W188">
            <v>1</v>
          </cell>
          <cell r="AD188">
            <v>0</v>
          </cell>
          <cell r="AF188">
            <v>1</v>
          </cell>
          <cell r="AH188">
            <v>0</v>
          </cell>
          <cell r="AJ188">
            <v>0</v>
          </cell>
          <cell r="AQ188">
            <v>1</v>
          </cell>
          <cell r="AV188">
            <v>0</v>
          </cell>
          <cell r="AW188">
            <v>0</v>
          </cell>
          <cell r="AX188">
            <v>1</v>
          </cell>
          <cell r="AY188">
            <v>0</v>
          </cell>
          <cell r="BX188">
            <v>0</v>
          </cell>
          <cell r="BY188">
            <v>1</v>
          </cell>
          <cell r="CB188">
            <v>0</v>
          </cell>
          <cell r="CC188">
            <v>0</v>
          </cell>
          <cell r="CD188">
            <v>2</v>
          </cell>
          <cell r="CL188">
            <v>0</v>
          </cell>
          <cell r="CM188">
            <v>1</v>
          </cell>
          <cell r="CP188">
            <v>0</v>
          </cell>
          <cell r="CV188">
            <v>0</v>
          </cell>
          <cell r="CW188">
            <v>0</v>
          </cell>
          <cell r="CX188">
            <v>0</v>
          </cell>
        </row>
        <row r="189">
          <cell r="C189" t="str">
            <v>009/080</v>
          </cell>
          <cell r="D189">
            <v>1</v>
          </cell>
          <cell r="E189" t="str">
            <v>I</v>
          </cell>
          <cell r="H189">
            <v>45</v>
          </cell>
          <cell r="J189">
            <v>45</v>
          </cell>
          <cell r="O189">
            <v>45</v>
          </cell>
          <cell r="W189">
            <v>1</v>
          </cell>
          <cell r="AD189">
            <v>0</v>
          </cell>
          <cell r="AF189">
            <v>1</v>
          </cell>
          <cell r="AH189">
            <v>0</v>
          </cell>
          <cell r="AJ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BA189">
            <v>1</v>
          </cell>
          <cell r="BX189">
            <v>1</v>
          </cell>
          <cell r="BY189">
            <v>0</v>
          </cell>
          <cell r="CB189">
            <v>0</v>
          </cell>
          <cell r="CC189">
            <v>1</v>
          </cell>
          <cell r="CD189">
            <v>0</v>
          </cell>
          <cell r="CL189">
            <v>0</v>
          </cell>
          <cell r="CM189">
            <v>1</v>
          </cell>
          <cell r="CP189">
            <v>0</v>
          </cell>
          <cell r="CV189">
            <v>0</v>
          </cell>
          <cell r="CW189">
            <v>0</v>
          </cell>
          <cell r="CX189">
            <v>0</v>
          </cell>
        </row>
        <row r="190">
          <cell r="C190" t="str">
            <v>010/080</v>
          </cell>
          <cell r="D190">
            <v>1</v>
          </cell>
          <cell r="E190" t="str">
            <v>G</v>
          </cell>
          <cell r="H190">
            <v>40</v>
          </cell>
          <cell r="J190">
            <v>40</v>
          </cell>
          <cell r="O190">
            <v>40</v>
          </cell>
          <cell r="W190">
            <v>1</v>
          </cell>
          <cell r="AD190">
            <v>0</v>
          </cell>
          <cell r="AF190">
            <v>1</v>
          </cell>
          <cell r="AH190">
            <v>0</v>
          </cell>
          <cell r="AJ190">
            <v>0</v>
          </cell>
          <cell r="AR190">
            <v>1</v>
          </cell>
          <cell r="AV190">
            <v>0</v>
          </cell>
          <cell r="AW190">
            <v>0</v>
          </cell>
          <cell r="AX190">
            <v>0</v>
          </cell>
          <cell r="AY190">
            <v>1</v>
          </cell>
          <cell r="BX190">
            <v>0</v>
          </cell>
          <cell r="BY190">
            <v>1</v>
          </cell>
          <cell r="CB190">
            <v>0</v>
          </cell>
          <cell r="CC190">
            <v>0</v>
          </cell>
          <cell r="CD190">
            <v>2</v>
          </cell>
          <cell r="CL190">
            <v>0</v>
          </cell>
          <cell r="CM190">
            <v>1</v>
          </cell>
          <cell r="CP190">
            <v>0</v>
          </cell>
          <cell r="CV190">
            <v>0</v>
          </cell>
          <cell r="CW190">
            <v>0</v>
          </cell>
          <cell r="CX190">
            <v>0</v>
          </cell>
        </row>
        <row r="191">
          <cell r="C191" t="str">
            <v>011/080</v>
          </cell>
          <cell r="D191">
            <v>1</v>
          </cell>
          <cell r="E191" t="str">
            <v>G</v>
          </cell>
          <cell r="H191">
            <v>45</v>
          </cell>
          <cell r="J191">
            <v>45</v>
          </cell>
          <cell r="O191">
            <v>45</v>
          </cell>
          <cell r="W191">
            <v>1</v>
          </cell>
          <cell r="AD191">
            <v>0</v>
          </cell>
          <cell r="AF191">
            <v>1</v>
          </cell>
          <cell r="AH191">
            <v>0</v>
          </cell>
          <cell r="AJ191">
            <v>0</v>
          </cell>
          <cell r="AQ191">
            <v>1</v>
          </cell>
          <cell r="AV191">
            <v>0</v>
          </cell>
          <cell r="AW191">
            <v>0</v>
          </cell>
          <cell r="AX191">
            <v>1</v>
          </cell>
          <cell r="AY191">
            <v>0</v>
          </cell>
          <cell r="BX191">
            <v>0</v>
          </cell>
          <cell r="BY191">
            <v>1</v>
          </cell>
          <cell r="CB191">
            <v>0</v>
          </cell>
          <cell r="CC191">
            <v>0</v>
          </cell>
          <cell r="CD191">
            <v>2</v>
          </cell>
          <cell r="CL191">
            <v>0</v>
          </cell>
          <cell r="CM191">
            <v>1</v>
          </cell>
          <cell r="CP191">
            <v>0</v>
          </cell>
          <cell r="CV191">
            <v>0</v>
          </cell>
          <cell r="CW191">
            <v>0</v>
          </cell>
          <cell r="CX191">
            <v>0</v>
          </cell>
        </row>
        <row r="192">
          <cell r="C192" t="str">
            <v>012/080</v>
          </cell>
          <cell r="D192">
            <v>1</v>
          </cell>
          <cell r="E192" t="str">
            <v>G</v>
          </cell>
          <cell r="H192">
            <v>45</v>
          </cell>
          <cell r="J192">
            <v>45</v>
          </cell>
          <cell r="O192">
            <v>45</v>
          </cell>
          <cell r="W192">
            <v>1</v>
          </cell>
          <cell r="AD192">
            <v>0</v>
          </cell>
          <cell r="AF192">
            <v>1</v>
          </cell>
          <cell r="AH192">
            <v>0</v>
          </cell>
          <cell r="AJ192">
            <v>0</v>
          </cell>
          <cell r="AQ192">
            <v>1</v>
          </cell>
          <cell r="AV192">
            <v>0</v>
          </cell>
          <cell r="AW192">
            <v>0</v>
          </cell>
          <cell r="AX192">
            <v>1</v>
          </cell>
          <cell r="AY192">
            <v>0</v>
          </cell>
          <cell r="BX192">
            <v>0</v>
          </cell>
          <cell r="BY192">
            <v>1</v>
          </cell>
          <cell r="CB192">
            <v>0</v>
          </cell>
          <cell r="CC192">
            <v>0</v>
          </cell>
          <cell r="CD192">
            <v>2</v>
          </cell>
          <cell r="CL192">
            <v>0</v>
          </cell>
          <cell r="CM192">
            <v>1</v>
          </cell>
          <cell r="CP192">
            <v>0</v>
          </cell>
          <cell r="CV192">
            <v>0</v>
          </cell>
          <cell r="CW192">
            <v>0</v>
          </cell>
          <cell r="CX192">
            <v>0</v>
          </cell>
        </row>
        <row r="193">
          <cell r="C193" t="str">
            <v>013/080</v>
          </cell>
          <cell r="D193">
            <v>1</v>
          </cell>
          <cell r="E193" t="str">
            <v>DT</v>
          </cell>
          <cell r="H193">
            <v>50</v>
          </cell>
          <cell r="J193">
            <v>50</v>
          </cell>
          <cell r="O193">
            <v>50</v>
          </cell>
          <cell r="W193">
            <v>1</v>
          </cell>
          <cell r="AD193">
            <v>0</v>
          </cell>
          <cell r="AH193">
            <v>0</v>
          </cell>
          <cell r="AI193">
            <v>1</v>
          </cell>
          <cell r="AJ193">
            <v>0</v>
          </cell>
          <cell r="AQ193">
            <v>1</v>
          </cell>
          <cell r="AV193">
            <v>0</v>
          </cell>
          <cell r="AW193">
            <v>0</v>
          </cell>
          <cell r="AX193">
            <v>1</v>
          </cell>
          <cell r="AY193">
            <v>0</v>
          </cell>
          <cell r="BX193">
            <v>0</v>
          </cell>
          <cell r="BY193">
            <v>0</v>
          </cell>
          <cell r="CB193">
            <v>0</v>
          </cell>
          <cell r="CC193">
            <v>0</v>
          </cell>
          <cell r="CD193">
            <v>0</v>
          </cell>
          <cell r="CL193">
            <v>1</v>
          </cell>
          <cell r="CM193">
            <v>0</v>
          </cell>
          <cell r="CP193">
            <v>1</v>
          </cell>
          <cell r="CV193">
            <v>0</v>
          </cell>
          <cell r="CW193">
            <v>0</v>
          </cell>
          <cell r="CX193">
            <v>0</v>
          </cell>
        </row>
        <row r="194">
          <cell r="C194" t="str">
            <v>Cộng 19:</v>
          </cell>
          <cell r="E194">
            <v>0</v>
          </cell>
          <cell r="F194">
            <v>0</v>
          </cell>
          <cell r="G194">
            <v>0</v>
          </cell>
          <cell r="H194">
            <v>1147.5</v>
          </cell>
          <cell r="I194">
            <v>0</v>
          </cell>
          <cell r="J194">
            <v>1147.5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1147.5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34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8</v>
          </cell>
          <cell r="AE194">
            <v>0</v>
          </cell>
          <cell r="AF194">
            <v>8</v>
          </cell>
          <cell r="AG194">
            <v>1</v>
          </cell>
          <cell r="AH194">
            <v>4</v>
          </cell>
          <cell r="AI194">
            <v>1</v>
          </cell>
          <cell r="AJ194">
            <v>4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13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6</v>
          </cell>
          <cell r="AW194">
            <v>0</v>
          </cell>
          <cell r="AX194">
            <v>7</v>
          </cell>
          <cell r="AY194">
            <v>1</v>
          </cell>
          <cell r="AZ194">
            <v>0</v>
          </cell>
          <cell r="BA194">
            <v>4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2</v>
          </cell>
          <cell r="BX194">
            <v>7</v>
          </cell>
          <cell r="BY194">
            <v>15</v>
          </cell>
          <cell r="BZ194">
            <v>0</v>
          </cell>
          <cell r="CA194">
            <v>0</v>
          </cell>
          <cell r="CB194">
            <v>0</v>
          </cell>
          <cell r="CC194">
            <v>7</v>
          </cell>
          <cell r="CD194">
            <v>30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10</v>
          </cell>
          <cell r="CM194">
            <v>21</v>
          </cell>
          <cell r="CN194">
            <v>0</v>
          </cell>
          <cell r="CO194">
            <v>0</v>
          </cell>
          <cell r="CP194">
            <v>10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3</v>
          </cell>
          <cell r="CV194">
            <v>3</v>
          </cell>
          <cell r="CW194">
            <v>0</v>
          </cell>
          <cell r="CX194">
            <v>1</v>
          </cell>
          <cell r="CY194">
            <v>2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2</v>
          </cell>
          <cell r="DG194">
            <v>0</v>
          </cell>
          <cell r="DH194">
            <v>2</v>
          </cell>
          <cell r="DI194">
            <v>4.5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4.5</v>
          </cell>
          <cell r="DP194">
            <v>0</v>
          </cell>
          <cell r="DQ194">
            <v>4</v>
          </cell>
          <cell r="DR194">
            <v>1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</row>
        <row r="196">
          <cell r="B196" t="str">
            <v>TT3P</v>
          </cell>
          <cell r="C196" t="str">
            <v>20. Tuyến 3 pha Xuân Mỹ 2A (xây dựng mới TBA Xuân Mỹ 2A- 3x50kVA)</v>
          </cell>
          <cell r="AR196" t="str">
            <v/>
          </cell>
        </row>
        <row r="197">
          <cell r="C197" t="str">
            <v>002</v>
          </cell>
          <cell r="E197" t="str">
            <v>I-DT</v>
          </cell>
          <cell r="W197">
            <v>1</v>
          </cell>
          <cell r="AD197">
            <v>1</v>
          </cell>
          <cell r="AF197">
            <v>0</v>
          </cell>
          <cell r="AH197">
            <v>0</v>
          </cell>
          <cell r="AJ197">
            <v>0</v>
          </cell>
          <cell r="AQ197">
            <v>1</v>
          </cell>
          <cell r="AV197">
            <v>1</v>
          </cell>
          <cell r="AW197">
            <v>0</v>
          </cell>
          <cell r="AX197">
            <v>0</v>
          </cell>
          <cell r="AY197">
            <v>0</v>
          </cell>
          <cell r="BG197">
            <v>1</v>
          </cell>
          <cell r="BM197">
            <v>0</v>
          </cell>
          <cell r="BN197">
            <v>0</v>
          </cell>
          <cell r="BR197">
            <v>1</v>
          </cell>
          <cell r="BX197">
            <v>1</v>
          </cell>
          <cell r="BZ197">
            <v>6</v>
          </cell>
          <cell r="CB197">
            <v>4</v>
          </cell>
          <cell r="CC197">
            <v>3</v>
          </cell>
          <cell r="CD197">
            <v>0</v>
          </cell>
          <cell r="CF197">
            <v>3</v>
          </cell>
          <cell r="CM197">
            <v>1</v>
          </cell>
          <cell r="CQ197">
            <v>1</v>
          </cell>
          <cell r="CU197">
            <v>3</v>
          </cell>
          <cell r="CV197">
            <v>3</v>
          </cell>
          <cell r="CW197">
            <v>0</v>
          </cell>
          <cell r="CX197">
            <v>3</v>
          </cell>
          <cell r="CZ197">
            <v>2</v>
          </cell>
          <cell r="DA197">
            <v>6</v>
          </cell>
          <cell r="DJ197">
            <v>3</v>
          </cell>
          <cell r="DO197">
            <v>3</v>
          </cell>
          <cell r="DQ197">
            <v>3</v>
          </cell>
          <cell r="DS197">
            <v>1</v>
          </cell>
        </row>
        <row r="198">
          <cell r="C198" t="str">
            <v>003</v>
          </cell>
          <cell r="E198" t="str">
            <v>2DT</v>
          </cell>
          <cell r="H198">
            <v>20</v>
          </cell>
          <cell r="K198">
            <v>60</v>
          </cell>
          <cell r="O198">
            <v>20</v>
          </cell>
          <cell r="W198">
            <v>2</v>
          </cell>
          <cell r="AD198">
            <v>0</v>
          </cell>
          <cell r="AF198">
            <v>0</v>
          </cell>
          <cell r="AH198">
            <v>1</v>
          </cell>
          <cell r="AJ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BM198">
            <v>0</v>
          </cell>
          <cell r="BN198">
            <v>0</v>
          </cell>
          <cell r="BR198">
            <v>1</v>
          </cell>
          <cell r="BS198">
            <v>1</v>
          </cell>
          <cell r="BZ198">
            <v>4</v>
          </cell>
          <cell r="CB198">
            <v>4</v>
          </cell>
          <cell r="CC198">
            <v>0</v>
          </cell>
          <cell r="CD198">
            <v>0</v>
          </cell>
          <cell r="CF198">
            <v>6</v>
          </cell>
          <cell r="CM198">
            <v>0</v>
          </cell>
          <cell r="CQ198">
            <v>2</v>
          </cell>
          <cell r="CV198">
            <v>0</v>
          </cell>
          <cell r="CW198">
            <v>0</v>
          </cell>
          <cell r="CX198">
            <v>0</v>
          </cell>
          <cell r="DO198">
            <v>0</v>
          </cell>
        </row>
        <row r="199">
          <cell r="C199" t="str">
            <v>004</v>
          </cell>
          <cell r="E199" t="str">
            <v>2DT</v>
          </cell>
          <cell r="H199">
            <v>50</v>
          </cell>
          <cell r="K199">
            <v>150</v>
          </cell>
          <cell r="O199">
            <v>50</v>
          </cell>
          <cell r="W199">
            <v>2</v>
          </cell>
          <cell r="AD199">
            <v>0</v>
          </cell>
          <cell r="AF199">
            <v>0</v>
          </cell>
          <cell r="AH199">
            <v>1</v>
          </cell>
          <cell r="AJ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BM199">
            <v>0</v>
          </cell>
          <cell r="BN199">
            <v>0</v>
          </cell>
          <cell r="BS199">
            <v>1</v>
          </cell>
          <cell r="BV199">
            <v>1</v>
          </cell>
          <cell r="BZ199">
            <v>0</v>
          </cell>
          <cell r="CB199">
            <v>0</v>
          </cell>
          <cell r="CC199">
            <v>0</v>
          </cell>
          <cell r="CD199">
            <v>0</v>
          </cell>
          <cell r="CF199">
            <v>6</v>
          </cell>
          <cell r="CM199">
            <v>0</v>
          </cell>
          <cell r="CQ199">
            <v>2</v>
          </cell>
          <cell r="CV199">
            <v>0</v>
          </cell>
          <cell r="CW199">
            <v>0</v>
          </cell>
          <cell r="CX199">
            <v>0</v>
          </cell>
          <cell r="DF199">
            <v>3</v>
          </cell>
          <cell r="DI199">
            <v>0.5</v>
          </cell>
          <cell r="DJ199">
            <v>3</v>
          </cell>
          <cell r="DO199">
            <v>3</v>
          </cell>
          <cell r="DQ199">
            <v>3</v>
          </cell>
        </row>
        <row r="200">
          <cell r="C200" t="str">
            <v>005</v>
          </cell>
          <cell r="E200" t="str">
            <v>I</v>
          </cell>
          <cell r="H200">
            <v>43</v>
          </cell>
          <cell r="K200">
            <v>129</v>
          </cell>
          <cell r="O200">
            <v>43</v>
          </cell>
          <cell r="Y200">
            <v>1</v>
          </cell>
          <cell r="AF200">
            <v>0</v>
          </cell>
          <cell r="AH200">
            <v>0</v>
          </cell>
          <cell r="AJ200">
            <v>0</v>
          </cell>
          <cell r="AK200">
            <v>1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BA200">
            <v>1</v>
          </cell>
          <cell r="BM200">
            <v>1</v>
          </cell>
          <cell r="BN200">
            <v>0</v>
          </cell>
          <cell r="BZ200">
            <v>3</v>
          </cell>
          <cell r="CB200">
            <v>0</v>
          </cell>
          <cell r="CC200">
            <v>3</v>
          </cell>
          <cell r="CD200">
            <v>0</v>
          </cell>
          <cell r="CF200">
            <v>0</v>
          </cell>
          <cell r="CM200">
            <v>1</v>
          </cell>
          <cell r="CQ200">
            <v>0</v>
          </cell>
          <cell r="CU200">
            <v>3</v>
          </cell>
          <cell r="CV200">
            <v>3</v>
          </cell>
          <cell r="CW200">
            <v>0</v>
          </cell>
          <cell r="DO200">
            <v>0</v>
          </cell>
        </row>
        <row r="201">
          <cell r="C201" t="str">
            <v>006</v>
          </cell>
          <cell r="E201" t="str">
            <v>I</v>
          </cell>
          <cell r="H201">
            <v>48</v>
          </cell>
          <cell r="K201">
            <v>144</v>
          </cell>
          <cell r="O201">
            <v>48</v>
          </cell>
          <cell r="Y201">
            <v>1</v>
          </cell>
          <cell r="AF201">
            <v>0</v>
          </cell>
          <cell r="AH201">
            <v>0</v>
          </cell>
          <cell r="AJ201">
            <v>0</v>
          </cell>
          <cell r="AK201">
            <v>1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BM201">
            <v>1</v>
          </cell>
          <cell r="BN201">
            <v>0</v>
          </cell>
          <cell r="BZ201">
            <v>3</v>
          </cell>
          <cell r="CB201">
            <v>0</v>
          </cell>
          <cell r="CC201">
            <v>3</v>
          </cell>
          <cell r="CD201">
            <v>0</v>
          </cell>
          <cell r="CF201">
            <v>0</v>
          </cell>
          <cell r="CM201">
            <v>1</v>
          </cell>
          <cell r="CQ201">
            <v>0</v>
          </cell>
          <cell r="CV201">
            <v>0</v>
          </cell>
          <cell r="CW201">
            <v>0</v>
          </cell>
          <cell r="CX201">
            <v>0</v>
          </cell>
          <cell r="DO201">
            <v>0</v>
          </cell>
        </row>
        <row r="202">
          <cell r="C202" t="str">
            <v>007</v>
          </cell>
          <cell r="E202" t="str">
            <v>I</v>
          </cell>
          <cell r="H202">
            <v>45</v>
          </cell>
          <cell r="K202">
            <v>135</v>
          </cell>
          <cell r="O202">
            <v>45</v>
          </cell>
          <cell r="Y202">
            <v>1</v>
          </cell>
          <cell r="AF202">
            <v>0</v>
          </cell>
          <cell r="AH202">
            <v>0</v>
          </cell>
          <cell r="AJ202">
            <v>0</v>
          </cell>
          <cell r="AK202">
            <v>1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BM202">
            <v>1</v>
          </cell>
          <cell r="BN202">
            <v>0</v>
          </cell>
          <cell r="BZ202">
            <v>3</v>
          </cell>
          <cell r="CB202">
            <v>0</v>
          </cell>
          <cell r="CC202">
            <v>3</v>
          </cell>
          <cell r="CD202">
            <v>0</v>
          </cell>
          <cell r="CF202">
            <v>0</v>
          </cell>
          <cell r="CM202">
            <v>1</v>
          </cell>
          <cell r="CQ202">
            <v>0</v>
          </cell>
          <cell r="CV202">
            <v>0</v>
          </cell>
          <cell r="CW202">
            <v>0</v>
          </cell>
          <cell r="CX202">
            <v>0</v>
          </cell>
          <cell r="DO202">
            <v>0</v>
          </cell>
        </row>
        <row r="203">
          <cell r="C203" t="str">
            <v>008</v>
          </cell>
          <cell r="E203" t="str">
            <v>I</v>
          </cell>
          <cell r="H203">
            <v>45</v>
          </cell>
          <cell r="K203">
            <v>135</v>
          </cell>
          <cell r="O203">
            <v>45</v>
          </cell>
          <cell r="W203">
            <v>1</v>
          </cell>
          <cell r="AD203">
            <v>1</v>
          </cell>
          <cell r="AF203">
            <v>0</v>
          </cell>
          <cell r="AH203">
            <v>0</v>
          </cell>
          <cell r="AJ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BM203">
            <v>1</v>
          </cell>
          <cell r="BN203">
            <v>0</v>
          </cell>
          <cell r="BZ203">
            <v>3</v>
          </cell>
          <cell r="CB203">
            <v>0</v>
          </cell>
          <cell r="CC203">
            <v>3</v>
          </cell>
          <cell r="CD203">
            <v>0</v>
          </cell>
          <cell r="CF203">
            <v>0</v>
          </cell>
          <cell r="CM203">
            <v>1</v>
          </cell>
          <cell r="CQ203">
            <v>0</v>
          </cell>
          <cell r="CV203">
            <v>0</v>
          </cell>
          <cell r="CW203">
            <v>0</v>
          </cell>
          <cell r="CX203">
            <v>0</v>
          </cell>
          <cell r="DO203">
            <v>0</v>
          </cell>
        </row>
        <row r="204">
          <cell r="C204" t="str">
            <v>009</v>
          </cell>
          <cell r="E204" t="str">
            <v>I</v>
          </cell>
          <cell r="H204">
            <v>52</v>
          </cell>
          <cell r="K204">
            <v>156</v>
          </cell>
          <cell r="O204">
            <v>52</v>
          </cell>
          <cell r="W204">
            <v>1</v>
          </cell>
          <cell r="AD204">
            <v>1</v>
          </cell>
          <cell r="AF204">
            <v>0</v>
          </cell>
          <cell r="AH204">
            <v>0</v>
          </cell>
          <cell r="AJ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BM204">
            <v>1</v>
          </cell>
          <cell r="BN204">
            <v>0</v>
          </cell>
          <cell r="BZ204">
            <v>3</v>
          </cell>
          <cell r="CB204">
            <v>0</v>
          </cell>
          <cell r="CC204">
            <v>3</v>
          </cell>
          <cell r="CD204">
            <v>0</v>
          </cell>
          <cell r="CF204">
            <v>0</v>
          </cell>
          <cell r="CM204">
            <v>1</v>
          </cell>
          <cell r="CQ204">
            <v>0</v>
          </cell>
          <cell r="CV204">
            <v>0</v>
          </cell>
          <cell r="CW204">
            <v>0</v>
          </cell>
          <cell r="CX204">
            <v>0</v>
          </cell>
          <cell r="DO204">
            <v>0</v>
          </cell>
        </row>
        <row r="205">
          <cell r="C205" t="str">
            <v>010</v>
          </cell>
          <cell r="E205" t="str">
            <v>I</v>
          </cell>
          <cell r="H205">
            <v>52</v>
          </cell>
          <cell r="K205">
            <v>156</v>
          </cell>
          <cell r="O205">
            <v>52</v>
          </cell>
          <cell r="W205">
            <v>1</v>
          </cell>
          <cell r="AD205">
            <v>1</v>
          </cell>
          <cell r="AF205">
            <v>0</v>
          </cell>
          <cell r="AH205">
            <v>0</v>
          </cell>
          <cell r="AJ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BA205">
            <v>1</v>
          </cell>
          <cell r="BM205">
            <v>1</v>
          </cell>
          <cell r="BN205">
            <v>0</v>
          </cell>
          <cell r="BZ205">
            <v>3</v>
          </cell>
          <cell r="CB205">
            <v>0</v>
          </cell>
          <cell r="CC205">
            <v>3</v>
          </cell>
          <cell r="CD205">
            <v>0</v>
          </cell>
          <cell r="CF205">
            <v>0</v>
          </cell>
          <cell r="CM205">
            <v>1</v>
          </cell>
          <cell r="CQ205">
            <v>0</v>
          </cell>
          <cell r="CV205">
            <v>0</v>
          </cell>
          <cell r="CW205">
            <v>0</v>
          </cell>
          <cell r="CX205">
            <v>0</v>
          </cell>
          <cell r="DO205">
            <v>0</v>
          </cell>
        </row>
        <row r="206">
          <cell r="C206" t="str">
            <v>011</v>
          </cell>
          <cell r="E206" t="str">
            <v>2DT</v>
          </cell>
          <cell r="H206">
            <v>53</v>
          </cell>
          <cell r="K206">
            <v>159</v>
          </cell>
          <cell r="O206">
            <v>53</v>
          </cell>
          <cell r="W206">
            <v>2</v>
          </cell>
          <cell r="AD206">
            <v>0</v>
          </cell>
          <cell r="AF206">
            <v>0</v>
          </cell>
          <cell r="AH206">
            <v>1</v>
          </cell>
          <cell r="AJ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BM206">
            <v>0</v>
          </cell>
          <cell r="BN206">
            <v>0</v>
          </cell>
          <cell r="BS206">
            <v>1</v>
          </cell>
          <cell r="BZ206">
            <v>0</v>
          </cell>
          <cell r="CB206">
            <v>0</v>
          </cell>
          <cell r="CC206">
            <v>0</v>
          </cell>
          <cell r="CD206">
            <v>0</v>
          </cell>
          <cell r="CF206">
            <v>6</v>
          </cell>
          <cell r="CM206">
            <v>0</v>
          </cell>
          <cell r="CQ206">
            <v>2</v>
          </cell>
          <cell r="CV206">
            <v>0</v>
          </cell>
          <cell r="CW206">
            <v>0</v>
          </cell>
          <cell r="CX206">
            <v>0</v>
          </cell>
          <cell r="DO206">
            <v>0</v>
          </cell>
        </row>
        <row r="207">
          <cell r="C207" t="str">
            <v>012</v>
          </cell>
          <cell r="E207" t="str">
            <v>2DT</v>
          </cell>
          <cell r="H207">
            <v>51</v>
          </cell>
          <cell r="K207">
            <v>153</v>
          </cell>
          <cell r="O207">
            <v>51</v>
          </cell>
          <cell r="W207">
            <v>2</v>
          </cell>
          <cell r="AD207">
            <v>0</v>
          </cell>
          <cell r="AF207">
            <v>0</v>
          </cell>
          <cell r="AH207">
            <v>1</v>
          </cell>
          <cell r="AJ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BM207">
            <v>0</v>
          </cell>
          <cell r="BN207">
            <v>0</v>
          </cell>
          <cell r="BS207">
            <v>1</v>
          </cell>
          <cell r="BZ207">
            <v>6</v>
          </cell>
          <cell r="CB207">
            <v>6</v>
          </cell>
          <cell r="CC207">
            <v>0</v>
          </cell>
          <cell r="CD207">
            <v>0</v>
          </cell>
          <cell r="CF207">
            <v>6</v>
          </cell>
          <cell r="CM207">
            <v>0</v>
          </cell>
          <cell r="CQ207">
            <v>2</v>
          </cell>
          <cell r="CV207">
            <v>0</v>
          </cell>
          <cell r="CW207">
            <v>0</v>
          </cell>
          <cell r="CX207">
            <v>0</v>
          </cell>
          <cell r="DI207">
            <v>0.5</v>
          </cell>
          <cell r="DJ207">
            <v>1.5</v>
          </cell>
          <cell r="DO207">
            <v>1.5</v>
          </cell>
        </row>
        <row r="208">
          <cell r="C208" t="str">
            <v>013</v>
          </cell>
          <cell r="E208" t="str">
            <v>2DT</v>
          </cell>
          <cell r="H208">
            <v>43</v>
          </cell>
          <cell r="K208">
            <v>129</v>
          </cell>
          <cell r="O208">
            <v>43</v>
          </cell>
          <cell r="W208">
            <v>2</v>
          </cell>
          <cell r="AD208">
            <v>0</v>
          </cell>
          <cell r="AF208">
            <v>0</v>
          </cell>
          <cell r="AH208">
            <v>1</v>
          </cell>
          <cell r="AJ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BM208">
            <v>0</v>
          </cell>
          <cell r="BN208">
            <v>0</v>
          </cell>
          <cell r="BS208">
            <v>1</v>
          </cell>
          <cell r="BZ208">
            <v>0</v>
          </cell>
          <cell r="CB208">
            <v>0</v>
          </cell>
          <cell r="CC208">
            <v>0</v>
          </cell>
          <cell r="CD208">
            <v>0</v>
          </cell>
          <cell r="CF208">
            <v>6</v>
          </cell>
          <cell r="CM208">
            <v>0</v>
          </cell>
          <cell r="CQ208">
            <v>2</v>
          </cell>
          <cell r="CV208">
            <v>0</v>
          </cell>
          <cell r="CW208">
            <v>0</v>
          </cell>
          <cell r="CX208">
            <v>0</v>
          </cell>
          <cell r="DO208">
            <v>0</v>
          </cell>
        </row>
        <row r="209">
          <cell r="C209" t="str">
            <v>014</v>
          </cell>
          <cell r="E209" t="str">
            <v>G</v>
          </cell>
          <cell r="H209">
            <v>43</v>
          </cell>
          <cell r="K209">
            <v>129</v>
          </cell>
          <cell r="O209">
            <v>43</v>
          </cell>
          <cell r="W209">
            <v>2</v>
          </cell>
          <cell r="AD209">
            <v>0</v>
          </cell>
          <cell r="AF209">
            <v>0</v>
          </cell>
          <cell r="AH209">
            <v>1</v>
          </cell>
          <cell r="AJ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BM209">
            <v>0</v>
          </cell>
          <cell r="BN209">
            <v>1</v>
          </cell>
          <cell r="BZ209">
            <v>6</v>
          </cell>
          <cell r="CB209">
            <v>0</v>
          </cell>
          <cell r="CC209">
            <v>0</v>
          </cell>
          <cell r="CD209">
            <v>6</v>
          </cell>
          <cell r="CF209">
            <v>0</v>
          </cell>
          <cell r="CM209">
            <v>1</v>
          </cell>
          <cell r="CQ209">
            <v>0</v>
          </cell>
          <cell r="CV209">
            <v>0</v>
          </cell>
          <cell r="CW209">
            <v>0</v>
          </cell>
          <cell r="CX209">
            <v>0</v>
          </cell>
          <cell r="DO209">
            <v>0</v>
          </cell>
        </row>
        <row r="210">
          <cell r="C210" t="str">
            <v>015</v>
          </cell>
          <cell r="E210" t="str">
            <v>G</v>
          </cell>
          <cell r="H210">
            <v>50</v>
          </cell>
          <cell r="K210">
            <v>150</v>
          </cell>
          <cell r="O210">
            <v>50</v>
          </cell>
          <cell r="W210">
            <v>2</v>
          </cell>
          <cell r="AD210">
            <v>0</v>
          </cell>
          <cell r="AF210">
            <v>0</v>
          </cell>
          <cell r="AH210">
            <v>1</v>
          </cell>
          <cell r="AJ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BM210">
            <v>0</v>
          </cell>
          <cell r="BN210">
            <v>1</v>
          </cell>
          <cell r="BZ210">
            <v>6</v>
          </cell>
          <cell r="CB210">
            <v>0</v>
          </cell>
          <cell r="CC210">
            <v>0</v>
          </cell>
          <cell r="CD210">
            <v>6</v>
          </cell>
          <cell r="CF210">
            <v>0</v>
          </cell>
          <cell r="CM210">
            <v>1</v>
          </cell>
          <cell r="CQ210">
            <v>0</v>
          </cell>
          <cell r="CV210">
            <v>0</v>
          </cell>
          <cell r="CW210">
            <v>0</v>
          </cell>
          <cell r="CX210">
            <v>0</v>
          </cell>
          <cell r="DO210">
            <v>0</v>
          </cell>
        </row>
        <row r="211">
          <cell r="C211" t="str">
            <v>016</v>
          </cell>
          <cell r="E211" t="str">
            <v>I</v>
          </cell>
          <cell r="H211">
            <v>53</v>
          </cell>
          <cell r="K211">
            <v>159</v>
          </cell>
          <cell r="O211">
            <v>53</v>
          </cell>
          <cell r="W211">
            <v>1</v>
          </cell>
          <cell r="AD211">
            <v>1</v>
          </cell>
          <cell r="AF211">
            <v>0</v>
          </cell>
          <cell r="AH211">
            <v>0</v>
          </cell>
          <cell r="AJ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BA211">
            <v>1</v>
          </cell>
          <cell r="BM211">
            <v>1</v>
          </cell>
          <cell r="BN211">
            <v>0</v>
          </cell>
          <cell r="BZ211">
            <v>3</v>
          </cell>
          <cell r="CB211">
            <v>0</v>
          </cell>
          <cell r="CC211">
            <v>3</v>
          </cell>
          <cell r="CD211">
            <v>0</v>
          </cell>
          <cell r="CF211">
            <v>0</v>
          </cell>
          <cell r="CM211">
            <v>1</v>
          </cell>
          <cell r="CQ211">
            <v>0</v>
          </cell>
          <cell r="CV211">
            <v>0</v>
          </cell>
          <cell r="CW211">
            <v>0</v>
          </cell>
          <cell r="CX211">
            <v>0</v>
          </cell>
          <cell r="DO211">
            <v>0</v>
          </cell>
        </row>
        <row r="212">
          <cell r="C212" t="str">
            <v>017</v>
          </cell>
          <cell r="E212" t="str">
            <v>I</v>
          </cell>
          <cell r="H212">
            <v>50</v>
          </cell>
          <cell r="K212">
            <v>150</v>
          </cell>
          <cell r="O212">
            <v>50</v>
          </cell>
          <cell r="W212">
            <v>1</v>
          </cell>
          <cell r="AD212">
            <v>1</v>
          </cell>
          <cell r="AF212">
            <v>0</v>
          </cell>
          <cell r="AH212">
            <v>0</v>
          </cell>
          <cell r="AJ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BM212">
            <v>1</v>
          </cell>
          <cell r="BN212">
            <v>0</v>
          </cell>
          <cell r="BZ212">
            <v>3</v>
          </cell>
          <cell r="CB212">
            <v>0</v>
          </cell>
          <cell r="CC212">
            <v>3</v>
          </cell>
          <cell r="CD212">
            <v>0</v>
          </cell>
          <cell r="CF212">
            <v>0</v>
          </cell>
          <cell r="CM212">
            <v>1</v>
          </cell>
          <cell r="CQ212">
            <v>0</v>
          </cell>
          <cell r="CV212">
            <v>0</v>
          </cell>
          <cell r="CW212">
            <v>0</v>
          </cell>
          <cell r="CX212">
            <v>0</v>
          </cell>
          <cell r="DO212">
            <v>0</v>
          </cell>
        </row>
        <row r="213">
          <cell r="C213" t="str">
            <v>018</v>
          </cell>
          <cell r="E213" t="str">
            <v>DT</v>
          </cell>
          <cell r="H213">
            <v>45</v>
          </cell>
          <cell r="K213">
            <v>135</v>
          </cell>
          <cell r="O213">
            <v>45</v>
          </cell>
          <cell r="W213">
            <v>2</v>
          </cell>
          <cell r="AD213">
            <v>0</v>
          </cell>
          <cell r="AF213">
            <v>0</v>
          </cell>
          <cell r="AH213">
            <v>1</v>
          </cell>
          <cell r="AJ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BM213">
            <v>0</v>
          </cell>
          <cell r="BN213">
            <v>0</v>
          </cell>
          <cell r="BS213">
            <v>1</v>
          </cell>
          <cell r="BZ213">
            <v>0</v>
          </cell>
          <cell r="CB213">
            <v>0</v>
          </cell>
          <cell r="CC213">
            <v>0</v>
          </cell>
          <cell r="CD213">
            <v>0</v>
          </cell>
          <cell r="CF213">
            <v>3</v>
          </cell>
          <cell r="CM213">
            <v>0</v>
          </cell>
          <cell r="CQ213">
            <v>1</v>
          </cell>
          <cell r="CV213">
            <v>0</v>
          </cell>
          <cell r="CW213">
            <v>0</v>
          </cell>
          <cell r="CX213">
            <v>0</v>
          </cell>
          <cell r="DO213">
            <v>0</v>
          </cell>
        </row>
        <row r="214">
          <cell r="C214" t="str">
            <v>Cộng 20:</v>
          </cell>
          <cell r="E214">
            <v>0</v>
          </cell>
          <cell r="F214">
            <v>0</v>
          </cell>
          <cell r="G214">
            <v>0</v>
          </cell>
          <cell r="H214">
            <v>743</v>
          </cell>
          <cell r="I214">
            <v>0</v>
          </cell>
          <cell r="J214">
            <v>0</v>
          </cell>
          <cell r="K214">
            <v>2229</v>
          </cell>
          <cell r="L214">
            <v>0</v>
          </cell>
          <cell r="M214">
            <v>0</v>
          </cell>
          <cell r="N214">
            <v>0</v>
          </cell>
          <cell r="O214">
            <v>743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22</v>
          </cell>
          <cell r="X214">
            <v>0</v>
          </cell>
          <cell r="Y214">
            <v>3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6</v>
          </cell>
          <cell r="AE214">
            <v>0</v>
          </cell>
          <cell r="AF214">
            <v>0</v>
          </cell>
          <cell r="AG214">
            <v>0</v>
          </cell>
          <cell r="AH214">
            <v>8</v>
          </cell>
          <cell r="AI214">
            <v>0</v>
          </cell>
          <cell r="AJ214">
            <v>0</v>
          </cell>
          <cell r="AK214">
            <v>3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1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1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3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1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8</v>
          </cell>
          <cell r="BN214">
            <v>2</v>
          </cell>
          <cell r="BO214">
            <v>0</v>
          </cell>
          <cell r="BP214">
            <v>0</v>
          </cell>
          <cell r="BQ214">
            <v>0</v>
          </cell>
          <cell r="BR214">
            <v>2</v>
          </cell>
          <cell r="BS214">
            <v>6</v>
          </cell>
          <cell r="BT214">
            <v>0</v>
          </cell>
          <cell r="BU214">
            <v>0</v>
          </cell>
          <cell r="BV214">
            <v>1</v>
          </cell>
          <cell r="BW214">
            <v>0</v>
          </cell>
          <cell r="BX214">
            <v>1</v>
          </cell>
          <cell r="BY214">
            <v>0</v>
          </cell>
          <cell r="BZ214">
            <v>52</v>
          </cell>
          <cell r="CA214">
            <v>0</v>
          </cell>
          <cell r="CB214">
            <v>14</v>
          </cell>
          <cell r="CC214">
            <v>27</v>
          </cell>
          <cell r="CD214">
            <v>12</v>
          </cell>
          <cell r="CE214">
            <v>0</v>
          </cell>
          <cell r="CF214">
            <v>36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11</v>
          </cell>
          <cell r="CN214">
            <v>0</v>
          </cell>
          <cell r="CO214">
            <v>0</v>
          </cell>
          <cell r="CP214">
            <v>0</v>
          </cell>
          <cell r="CQ214">
            <v>12</v>
          </cell>
          <cell r="CR214">
            <v>0</v>
          </cell>
          <cell r="CS214">
            <v>0</v>
          </cell>
          <cell r="CT214">
            <v>0</v>
          </cell>
          <cell r="CU214">
            <v>6</v>
          </cell>
          <cell r="CV214">
            <v>6</v>
          </cell>
          <cell r="CW214">
            <v>0</v>
          </cell>
          <cell r="CX214">
            <v>3</v>
          </cell>
          <cell r="CY214">
            <v>0</v>
          </cell>
          <cell r="CZ214">
            <v>2</v>
          </cell>
          <cell r="DA214">
            <v>6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3</v>
          </cell>
          <cell r="DG214">
            <v>0</v>
          </cell>
          <cell r="DH214">
            <v>0</v>
          </cell>
          <cell r="DI214">
            <v>1</v>
          </cell>
          <cell r="DJ214">
            <v>7.5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7.5</v>
          </cell>
          <cell r="DP214">
            <v>0</v>
          </cell>
          <cell r="DQ214">
            <v>6</v>
          </cell>
          <cell r="DR214">
            <v>0</v>
          </cell>
          <cell r="DS214">
            <v>1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</row>
        <row r="216">
          <cell r="B216" t="str">
            <v>TT3P</v>
          </cell>
          <cell r="C216" t="str">
            <v>21. TBA Xuân Quế 1 - 100+2x50kVA</v>
          </cell>
          <cell r="AR216" t="str">
            <v/>
          </cell>
        </row>
        <row r="217">
          <cell r="C217" t="str">
            <v>106C</v>
          </cell>
          <cell r="E217" t="str">
            <v>I</v>
          </cell>
          <cell r="K217">
            <v>0</v>
          </cell>
          <cell r="Q217">
            <v>0</v>
          </cell>
          <cell r="W217">
            <v>1</v>
          </cell>
          <cell r="AD217">
            <v>1</v>
          </cell>
          <cell r="AF217">
            <v>0</v>
          </cell>
          <cell r="AH217">
            <v>0</v>
          </cell>
          <cell r="AJ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BG217">
            <v>1</v>
          </cell>
          <cell r="BN217">
            <v>0</v>
          </cell>
          <cell r="BX217">
            <v>1</v>
          </cell>
          <cell r="BZ217">
            <v>2</v>
          </cell>
          <cell r="CB217">
            <v>0</v>
          </cell>
          <cell r="CC217">
            <v>3</v>
          </cell>
          <cell r="CD217">
            <v>0</v>
          </cell>
          <cell r="CM217">
            <v>1</v>
          </cell>
          <cell r="CV217">
            <v>0</v>
          </cell>
          <cell r="CW217">
            <v>0</v>
          </cell>
          <cell r="CX217">
            <v>0</v>
          </cell>
          <cell r="DO217">
            <v>0</v>
          </cell>
        </row>
        <row r="218">
          <cell r="C218" t="str">
            <v>Cộng 21: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1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1</v>
          </cell>
          <cell r="BY218">
            <v>0</v>
          </cell>
          <cell r="BZ218">
            <v>2</v>
          </cell>
          <cell r="CA218">
            <v>0</v>
          </cell>
          <cell r="CB218">
            <v>0</v>
          </cell>
          <cell r="CC218">
            <v>3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</row>
        <row r="219">
          <cell r="B219" t="str">
            <v>TT3P</v>
          </cell>
          <cell r="C219" t="str">
            <v>22. TBA Nhân Nghĩa 13A</v>
          </cell>
          <cell r="AR219" t="str">
            <v/>
          </cell>
        </row>
        <row r="220">
          <cell r="C220">
            <v>314</v>
          </cell>
          <cell r="E220" t="str">
            <v>I-DT</v>
          </cell>
          <cell r="AD220">
            <v>0</v>
          </cell>
          <cell r="AF220">
            <v>0</v>
          </cell>
          <cell r="AH220">
            <v>0</v>
          </cell>
          <cell r="AJ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BN220">
            <v>0</v>
          </cell>
          <cell r="BR220">
            <v>1</v>
          </cell>
          <cell r="BZ220">
            <v>3</v>
          </cell>
          <cell r="CB220">
            <v>3</v>
          </cell>
          <cell r="CC220">
            <v>0</v>
          </cell>
          <cell r="CD220">
            <v>0</v>
          </cell>
          <cell r="CE220">
            <v>3</v>
          </cell>
          <cell r="CM220">
            <v>0</v>
          </cell>
          <cell r="CU220">
            <v>3</v>
          </cell>
          <cell r="CV220">
            <v>3</v>
          </cell>
          <cell r="CW220">
            <v>3</v>
          </cell>
          <cell r="CY220">
            <v>2</v>
          </cell>
          <cell r="DF220">
            <v>3</v>
          </cell>
          <cell r="DH220">
            <v>1.5</v>
          </cell>
          <cell r="DO220">
            <v>1.5</v>
          </cell>
          <cell r="DQ220">
            <v>1.5</v>
          </cell>
          <cell r="DS220">
            <v>1</v>
          </cell>
        </row>
        <row r="221">
          <cell r="C221" t="str">
            <v>001</v>
          </cell>
          <cell r="E221" t="str">
            <v>DT</v>
          </cell>
          <cell r="H221">
            <v>17</v>
          </cell>
          <cell r="J221">
            <v>51</v>
          </cell>
          <cell r="O221">
            <v>17</v>
          </cell>
          <cell r="W221">
            <v>2</v>
          </cell>
          <cell r="AD221">
            <v>0</v>
          </cell>
          <cell r="AF221">
            <v>0</v>
          </cell>
          <cell r="AH221">
            <v>1</v>
          </cell>
          <cell r="AJ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BN221">
            <v>0</v>
          </cell>
          <cell r="BS221">
            <v>1</v>
          </cell>
          <cell r="CB221">
            <v>0</v>
          </cell>
          <cell r="CC221">
            <v>0</v>
          </cell>
          <cell r="CD221">
            <v>0</v>
          </cell>
          <cell r="CE221">
            <v>3</v>
          </cell>
          <cell r="CM221">
            <v>0</v>
          </cell>
          <cell r="CV221">
            <v>0</v>
          </cell>
          <cell r="CW221">
            <v>0</v>
          </cell>
          <cell r="CX221">
            <v>0</v>
          </cell>
          <cell r="DO221">
            <v>0</v>
          </cell>
        </row>
        <row r="222">
          <cell r="C222" t="str">
            <v>Cộng 22:</v>
          </cell>
          <cell r="E222">
            <v>0</v>
          </cell>
          <cell r="F222">
            <v>0</v>
          </cell>
          <cell r="G222">
            <v>0</v>
          </cell>
          <cell r="H222">
            <v>17</v>
          </cell>
          <cell r="I222">
            <v>0</v>
          </cell>
          <cell r="J222">
            <v>51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17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2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1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1</v>
          </cell>
          <cell r="BS222">
            <v>1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3</v>
          </cell>
          <cell r="CA222">
            <v>0</v>
          </cell>
          <cell r="CB222">
            <v>3</v>
          </cell>
          <cell r="CC222">
            <v>0</v>
          </cell>
          <cell r="CD222">
            <v>0</v>
          </cell>
          <cell r="CE222">
            <v>6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3</v>
          </cell>
          <cell r="CV222">
            <v>3</v>
          </cell>
          <cell r="CW222">
            <v>3</v>
          </cell>
          <cell r="CX222">
            <v>0</v>
          </cell>
          <cell r="CY222">
            <v>2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3</v>
          </cell>
          <cell r="DG222">
            <v>0</v>
          </cell>
          <cell r="DH222">
            <v>1.5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1.5</v>
          </cell>
          <cell r="DP222">
            <v>0</v>
          </cell>
          <cell r="DQ222">
            <v>1.5</v>
          </cell>
          <cell r="DR222">
            <v>0</v>
          </cell>
          <cell r="DS222">
            <v>1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</row>
        <row r="223">
          <cell r="B223" t="str">
            <v>TT3P</v>
          </cell>
          <cell r="C223" t="str">
            <v>23. TBA Sông Nhạn 12A</v>
          </cell>
          <cell r="AR223" t="str">
            <v/>
          </cell>
        </row>
        <row r="224">
          <cell r="C224" t="str">
            <v>027</v>
          </cell>
          <cell r="E224" t="str">
            <v>G</v>
          </cell>
          <cell r="K224">
            <v>0</v>
          </cell>
          <cell r="Q224">
            <v>0</v>
          </cell>
          <cell r="W224">
            <v>1</v>
          </cell>
          <cell r="AD224">
            <v>1</v>
          </cell>
          <cell r="AF224">
            <v>0</v>
          </cell>
          <cell r="AH224">
            <v>0</v>
          </cell>
          <cell r="AJ224">
            <v>0</v>
          </cell>
          <cell r="AQ224">
            <v>1</v>
          </cell>
          <cell r="AV224">
            <v>1</v>
          </cell>
          <cell r="AW224">
            <v>0</v>
          </cell>
          <cell r="AX224">
            <v>0</v>
          </cell>
          <cell r="AY224">
            <v>0</v>
          </cell>
          <cell r="BY224">
            <v>1</v>
          </cell>
          <cell r="CB224">
            <v>0</v>
          </cell>
          <cell r="CC224">
            <v>0</v>
          </cell>
          <cell r="CD224">
            <v>2</v>
          </cell>
          <cell r="CM224">
            <v>1</v>
          </cell>
          <cell r="CZ224">
            <v>6</v>
          </cell>
          <cell r="DO224">
            <v>0</v>
          </cell>
          <cell r="DT224">
            <v>1</v>
          </cell>
          <cell r="DZ224">
            <v>1</v>
          </cell>
          <cell r="EI224">
            <v>2</v>
          </cell>
          <cell r="EK224">
            <v>2</v>
          </cell>
          <cell r="EP224">
            <v>1</v>
          </cell>
          <cell r="EQ224">
            <v>1</v>
          </cell>
        </row>
        <row r="225">
          <cell r="C225" t="str">
            <v>Cộng 23: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1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1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1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1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2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6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1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1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2</v>
          </cell>
          <cell r="EJ225">
            <v>0</v>
          </cell>
          <cell r="EK225">
            <v>2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1</v>
          </cell>
          <cell r="EQ225">
            <v>1</v>
          </cell>
          <cell r="ER225">
            <v>0</v>
          </cell>
        </row>
        <row r="226">
          <cell r="B226" t="str">
            <v>TT3P</v>
          </cell>
          <cell r="C226" t="str">
            <v>24. TBA Suối Râm 1 di dời</v>
          </cell>
          <cell r="AR226" t="str">
            <v/>
          </cell>
        </row>
        <row r="227">
          <cell r="C227" t="str">
            <v>009A</v>
          </cell>
          <cell r="E227" t="str">
            <v>I</v>
          </cell>
          <cell r="K227">
            <v>0</v>
          </cell>
          <cell r="Q227">
            <v>0</v>
          </cell>
          <cell r="W227">
            <v>1</v>
          </cell>
          <cell r="AD227">
            <v>1</v>
          </cell>
          <cell r="AF227">
            <v>0</v>
          </cell>
          <cell r="AH227">
            <v>0</v>
          </cell>
          <cell r="AJ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BG227">
            <v>1</v>
          </cell>
          <cell r="BN227">
            <v>0</v>
          </cell>
          <cell r="BX227">
            <v>1</v>
          </cell>
          <cell r="BZ227">
            <v>2</v>
          </cell>
          <cell r="CB227">
            <v>0</v>
          </cell>
          <cell r="CC227">
            <v>3</v>
          </cell>
          <cell r="CD227">
            <v>0</v>
          </cell>
          <cell r="CM227">
            <v>1</v>
          </cell>
          <cell r="CV227">
            <v>0</v>
          </cell>
          <cell r="CW227">
            <v>0</v>
          </cell>
          <cell r="CX227">
            <v>0</v>
          </cell>
          <cell r="DO227">
            <v>0</v>
          </cell>
        </row>
        <row r="228">
          <cell r="C228" t="str">
            <v>Cộng 24: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1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1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1</v>
          </cell>
          <cell r="BY228">
            <v>0</v>
          </cell>
          <cell r="BZ228">
            <v>2</v>
          </cell>
          <cell r="CA228">
            <v>0</v>
          </cell>
          <cell r="CB228">
            <v>0</v>
          </cell>
          <cell r="CC228">
            <v>3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</row>
        <row r="229">
          <cell r="B229" t="str">
            <v>TT3P</v>
          </cell>
          <cell r="C229" t="str">
            <v>25. TBA Long Giao 5A cấy mới</v>
          </cell>
          <cell r="AR229" t="str">
            <v/>
          </cell>
        </row>
        <row r="230">
          <cell r="C230" t="str">
            <v>100A</v>
          </cell>
          <cell r="E230" t="str">
            <v>I</v>
          </cell>
          <cell r="K230">
            <v>0</v>
          </cell>
          <cell r="Q230">
            <v>0</v>
          </cell>
          <cell r="W230">
            <v>2</v>
          </cell>
          <cell r="AD230">
            <v>0</v>
          </cell>
          <cell r="AF230">
            <v>0</v>
          </cell>
          <cell r="AH230">
            <v>1</v>
          </cell>
          <cell r="AJ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BG230">
            <v>1</v>
          </cell>
          <cell r="BN230">
            <v>0</v>
          </cell>
          <cell r="BX230">
            <v>1</v>
          </cell>
          <cell r="BZ230">
            <v>2</v>
          </cell>
          <cell r="CB230">
            <v>0</v>
          </cell>
          <cell r="CC230">
            <v>3</v>
          </cell>
          <cell r="CD230">
            <v>0</v>
          </cell>
          <cell r="CM230">
            <v>1</v>
          </cell>
          <cell r="CV230">
            <v>0</v>
          </cell>
          <cell r="CW230">
            <v>0</v>
          </cell>
          <cell r="CX230">
            <v>0</v>
          </cell>
          <cell r="DO230">
            <v>0</v>
          </cell>
        </row>
        <row r="231">
          <cell r="C231" t="str">
            <v>Cộng 25: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1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1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1</v>
          </cell>
          <cell r="BY231">
            <v>0</v>
          </cell>
          <cell r="BZ231">
            <v>2</v>
          </cell>
          <cell r="CA231">
            <v>0</v>
          </cell>
          <cell r="CB231">
            <v>0</v>
          </cell>
          <cell r="CC231">
            <v>3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0</v>
          </cell>
          <cell r="ER231">
            <v>0</v>
          </cell>
        </row>
        <row r="233">
          <cell r="C233" t="str">
            <v>Tổng</v>
          </cell>
          <cell r="E233">
            <v>0</v>
          </cell>
          <cell r="F233">
            <v>0</v>
          </cell>
          <cell r="G233">
            <v>0</v>
          </cell>
          <cell r="H233">
            <v>7240.7</v>
          </cell>
          <cell r="I233">
            <v>0</v>
          </cell>
          <cell r="J233">
            <v>10390.1</v>
          </cell>
          <cell r="K233">
            <v>2229</v>
          </cell>
          <cell r="L233">
            <v>0</v>
          </cell>
          <cell r="M233">
            <v>0</v>
          </cell>
          <cell r="N233">
            <v>0</v>
          </cell>
          <cell r="O233">
            <v>6951.5</v>
          </cell>
          <cell r="P233">
            <v>289.2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217</v>
          </cell>
          <cell r="X233">
            <v>0</v>
          </cell>
          <cell r="Y233">
            <v>3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88</v>
          </cell>
          <cell r="AE233">
            <v>0</v>
          </cell>
          <cell r="AF233">
            <v>10</v>
          </cell>
          <cell r="AG233">
            <v>9</v>
          </cell>
          <cell r="AH233">
            <v>48</v>
          </cell>
          <cell r="AI233">
            <v>2</v>
          </cell>
          <cell r="AJ233">
            <v>6</v>
          </cell>
          <cell r="AK233">
            <v>3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68</v>
          </cell>
          <cell r="AR233">
            <v>13</v>
          </cell>
          <cell r="AS233">
            <v>0</v>
          </cell>
          <cell r="AT233">
            <v>0</v>
          </cell>
          <cell r="AU233">
            <v>0</v>
          </cell>
          <cell r="AV233">
            <v>58</v>
          </cell>
          <cell r="AW233">
            <v>11</v>
          </cell>
          <cell r="AX233">
            <v>10</v>
          </cell>
          <cell r="AY233">
            <v>2</v>
          </cell>
          <cell r="AZ233">
            <v>0</v>
          </cell>
          <cell r="BA233">
            <v>29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18</v>
          </cell>
          <cell r="BH233">
            <v>19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8</v>
          </cell>
          <cell r="BN233">
            <v>2</v>
          </cell>
          <cell r="BO233">
            <v>0</v>
          </cell>
          <cell r="BP233">
            <v>0</v>
          </cell>
          <cell r="BQ233">
            <v>0</v>
          </cell>
          <cell r="BR233">
            <v>17</v>
          </cell>
          <cell r="BS233">
            <v>8</v>
          </cell>
          <cell r="BT233">
            <v>0</v>
          </cell>
          <cell r="BU233">
            <v>0</v>
          </cell>
          <cell r="BV233">
            <v>4</v>
          </cell>
          <cell r="BW233">
            <v>8</v>
          </cell>
          <cell r="BX233">
            <v>53</v>
          </cell>
          <cell r="BY233">
            <v>73</v>
          </cell>
          <cell r="BZ233">
            <v>184</v>
          </cell>
          <cell r="CA233">
            <v>0</v>
          </cell>
          <cell r="CB233">
            <v>36</v>
          </cell>
          <cell r="CC233">
            <v>113</v>
          </cell>
          <cell r="CD233">
            <v>234</v>
          </cell>
          <cell r="CE233">
            <v>72</v>
          </cell>
          <cell r="CF233">
            <v>36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52</v>
          </cell>
          <cell r="CM233">
            <v>125</v>
          </cell>
          <cell r="CN233">
            <v>0</v>
          </cell>
          <cell r="CO233">
            <v>0</v>
          </cell>
          <cell r="CP233">
            <v>74</v>
          </cell>
          <cell r="CQ233">
            <v>12</v>
          </cell>
          <cell r="CR233">
            <v>0</v>
          </cell>
          <cell r="CS233">
            <v>0</v>
          </cell>
          <cell r="CT233">
            <v>4</v>
          </cell>
          <cell r="CU233">
            <v>35</v>
          </cell>
          <cell r="CV233">
            <v>39</v>
          </cell>
          <cell r="CW233">
            <v>10</v>
          </cell>
          <cell r="CX233">
            <v>9</v>
          </cell>
          <cell r="CY233">
            <v>16</v>
          </cell>
          <cell r="CZ233">
            <v>8</v>
          </cell>
          <cell r="DA233">
            <v>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23</v>
          </cell>
          <cell r="DG233">
            <v>0</v>
          </cell>
          <cell r="DH233">
            <v>19</v>
          </cell>
          <cell r="DI233">
            <v>52.5</v>
          </cell>
          <cell r="DJ233">
            <v>7.5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58.5</v>
          </cell>
          <cell r="DP233">
            <v>0</v>
          </cell>
          <cell r="DQ233">
            <v>36</v>
          </cell>
          <cell r="DR233">
            <v>6</v>
          </cell>
          <cell r="DS233">
            <v>6</v>
          </cell>
          <cell r="DT233">
            <v>1</v>
          </cell>
          <cell r="DU233">
            <v>0</v>
          </cell>
          <cell r="DV233">
            <v>0</v>
          </cell>
          <cell r="DW233">
            <v>0</v>
          </cell>
          <cell r="DX233">
            <v>2</v>
          </cell>
          <cell r="DY233">
            <v>0</v>
          </cell>
          <cell r="DZ233">
            <v>1</v>
          </cell>
          <cell r="EA233">
            <v>0</v>
          </cell>
          <cell r="EB233">
            <v>0</v>
          </cell>
          <cell r="EC233">
            <v>2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2</v>
          </cell>
          <cell r="EJ233">
            <v>0</v>
          </cell>
          <cell r="EK233">
            <v>2</v>
          </cell>
          <cell r="EL233">
            <v>0</v>
          </cell>
          <cell r="EM233">
            <v>0</v>
          </cell>
          <cell r="EN233">
            <v>0</v>
          </cell>
          <cell r="EO233">
            <v>2</v>
          </cell>
          <cell r="EP233">
            <v>1</v>
          </cell>
          <cell r="EQ233">
            <v>1</v>
          </cell>
          <cell r="ER233">
            <v>0</v>
          </cell>
        </row>
        <row r="234">
          <cell r="B234" t="str">
            <v>TT3P-2</v>
          </cell>
          <cell r="C234" t="str">
            <v>Tuyến trường THCS Xuân Bảo</v>
          </cell>
        </row>
        <row r="263">
          <cell r="C263" t="str">
            <v>Cộng 2: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</row>
        <row r="264">
          <cell r="B264" t="str">
            <v>TT3P-3</v>
          </cell>
          <cell r="C264" t="str">
            <v>Nâng cấp tuyến ấp 1 lên 3 pha</v>
          </cell>
        </row>
        <row r="297">
          <cell r="C297" t="str">
            <v>Cộng 3: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  <cell r="DF297">
            <v>0</v>
          </cell>
          <cell r="DG297">
            <v>0</v>
          </cell>
          <cell r="DH297">
            <v>0</v>
          </cell>
          <cell r="DI297">
            <v>0</v>
          </cell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DY297">
            <v>0</v>
          </cell>
          <cell r="DZ297">
            <v>0</v>
          </cell>
          <cell r="EA297">
            <v>0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0</v>
          </cell>
        </row>
        <row r="299">
          <cell r="C299" t="str">
            <v>Tổng</v>
          </cell>
          <cell r="F299">
            <v>0</v>
          </cell>
          <cell r="G299">
            <v>0</v>
          </cell>
          <cell r="H299">
            <v>7240.7</v>
          </cell>
          <cell r="I299">
            <v>0</v>
          </cell>
          <cell r="J299">
            <v>10390.1</v>
          </cell>
          <cell r="K299">
            <v>2229</v>
          </cell>
          <cell r="L299">
            <v>0</v>
          </cell>
          <cell r="M299">
            <v>0</v>
          </cell>
          <cell r="N299">
            <v>0</v>
          </cell>
          <cell r="O299">
            <v>6951.5</v>
          </cell>
          <cell r="P299">
            <v>289.2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217</v>
          </cell>
          <cell r="X299">
            <v>0</v>
          </cell>
          <cell r="Y299">
            <v>3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88</v>
          </cell>
          <cell r="AE299">
            <v>0</v>
          </cell>
          <cell r="AF299">
            <v>10</v>
          </cell>
          <cell r="AG299">
            <v>9</v>
          </cell>
          <cell r="AH299">
            <v>48</v>
          </cell>
          <cell r="AI299">
            <v>2</v>
          </cell>
          <cell r="AJ299">
            <v>6</v>
          </cell>
          <cell r="AK299">
            <v>3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68</v>
          </cell>
          <cell r="AR299">
            <v>13</v>
          </cell>
          <cell r="AS299">
            <v>0</v>
          </cell>
          <cell r="AT299">
            <v>0</v>
          </cell>
          <cell r="AU299">
            <v>0</v>
          </cell>
          <cell r="AV299">
            <v>58</v>
          </cell>
          <cell r="AW299">
            <v>11</v>
          </cell>
          <cell r="AX299">
            <v>10</v>
          </cell>
          <cell r="AY299">
            <v>2</v>
          </cell>
          <cell r="AZ299">
            <v>0</v>
          </cell>
          <cell r="BA299">
            <v>29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18</v>
          </cell>
          <cell r="BH299">
            <v>19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8</v>
          </cell>
          <cell r="BN299">
            <v>2</v>
          </cell>
          <cell r="BO299">
            <v>0</v>
          </cell>
          <cell r="BP299">
            <v>0</v>
          </cell>
          <cell r="BQ299">
            <v>0</v>
          </cell>
          <cell r="BR299">
            <v>17</v>
          </cell>
          <cell r="BS299">
            <v>8</v>
          </cell>
          <cell r="BT299">
            <v>0</v>
          </cell>
          <cell r="BU299">
            <v>0</v>
          </cell>
          <cell r="BV299">
            <v>4</v>
          </cell>
          <cell r="BW299">
            <v>8</v>
          </cell>
          <cell r="BX299">
            <v>53</v>
          </cell>
          <cell r="BY299">
            <v>73</v>
          </cell>
          <cell r="BZ299">
            <v>184</v>
          </cell>
          <cell r="CA299">
            <v>0</v>
          </cell>
          <cell r="CB299">
            <v>36</v>
          </cell>
          <cell r="CC299">
            <v>113</v>
          </cell>
          <cell r="CD299">
            <v>234</v>
          </cell>
          <cell r="CE299">
            <v>72</v>
          </cell>
          <cell r="CF299">
            <v>36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52</v>
          </cell>
          <cell r="CM299">
            <v>125</v>
          </cell>
          <cell r="CN299">
            <v>0</v>
          </cell>
          <cell r="CO299">
            <v>0</v>
          </cell>
          <cell r="CP299">
            <v>74</v>
          </cell>
          <cell r="CQ299">
            <v>12</v>
          </cell>
          <cell r="CR299">
            <v>0</v>
          </cell>
          <cell r="CS299">
            <v>0</v>
          </cell>
          <cell r="CT299">
            <v>4</v>
          </cell>
          <cell r="CU299">
            <v>35</v>
          </cell>
          <cell r="CV299">
            <v>39</v>
          </cell>
          <cell r="CW299">
            <v>10</v>
          </cell>
          <cell r="CX299">
            <v>9</v>
          </cell>
          <cell r="CY299">
            <v>16</v>
          </cell>
          <cell r="CZ299">
            <v>8</v>
          </cell>
          <cell r="DA299">
            <v>6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23</v>
          </cell>
          <cell r="DG299">
            <v>0</v>
          </cell>
          <cell r="DH299">
            <v>19</v>
          </cell>
          <cell r="DI299">
            <v>52.5</v>
          </cell>
          <cell r="DJ299">
            <v>7.5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58.5</v>
          </cell>
          <cell r="DP299">
            <v>0</v>
          </cell>
          <cell r="DQ299">
            <v>36</v>
          </cell>
          <cell r="DR299">
            <v>6</v>
          </cell>
          <cell r="DS299">
            <v>6</v>
          </cell>
          <cell r="DT299">
            <v>1</v>
          </cell>
          <cell r="DU299">
            <v>0</v>
          </cell>
          <cell r="DV299">
            <v>0</v>
          </cell>
          <cell r="DW299">
            <v>0</v>
          </cell>
          <cell r="DX299">
            <v>2</v>
          </cell>
          <cell r="DY299">
            <v>0</v>
          </cell>
          <cell r="DZ299">
            <v>1</v>
          </cell>
          <cell r="EA299">
            <v>0</v>
          </cell>
          <cell r="EB299">
            <v>0</v>
          </cell>
          <cell r="EC299">
            <v>2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2</v>
          </cell>
          <cell r="EJ299">
            <v>0</v>
          </cell>
          <cell r="EK299">
            <v>2</v>
          </cell>
          <cell r="EL299">
            <v>0</v>
          </cell>
          <cell r="EM299">
            <v>0</v>
          </cell>
          <cell r="EN299">
            <v>0</v>
          </cell>
          <cell r="EO299">
            <v>2</v>
          </cell>
          <cell r="EP299">
            <v>1</v>
          </cell>
          <cell r="EQ299">
            <v>1</v>
          </cell>
          <cell r="ER299">
            <v>0</v>
          </cell>
        </row>
      </sheetData>
      <sheetData sheetId="28"/>
      <sheetData sheetId="29">
        <row r="4">
          <cell r="E4" t="str">
            <v>ACX50</v>
          </cell>
          <cell r="F4" t="str">
            <v>ACX70</v>
          </cell>
          <cell r="G4" t="str">
            <v>AC50</v>
          </cell>
          <cell r="H4" t="str">
            <v>AC70</v>
          </cell>
          <cell r="I4" t="str">
            <v>Góc</v>
          </cell>
          <cell r="K4" t="str">
            <v>BTLTHH</v>
          </cell>
          <cell r="L4" t="str">
            <v>BTLT10</v>
          </cell>
          <cell r="M4" t="str">
            <v>BTLT12</v>
          </cell>
          <cell r="N4" t="str">
            <v>BTLT12</v>
          </cell>
          <cell r="O4" t="str">
            <v>BTLT14</v>
          </cell>
          <cell r="P4" t="str">
            <v>BTLT20</v>
          </cell>
          <cell r="Q4" t="str">
            <v>M10</v>
          </cell>
          <cell r="R4" t="str">
            <v>M10a</v>
          </cell>
          <cell r="S4" t="str">
            <v>M10BT</v>
          </cell>
          <cell r="T4" t="str">
            <v>M10BTD</v>
          </cell>
          <cell r="U4" t="str">
            <v>M12</v>
          </cell>
          <cell r="V4" t="str">
            <v>M12a</v>
          </cell>
          <cell r="W4" t="str">
            <v>M12D</v>
          </cell>
          <cell r="X4" t="str">
            <v>M12BT</v>
          </cell>
          <cell r="Y4" t="str">
            <v>M12BT-D</v>
          </cell>
          <cell r="Z4" t="str">
            <v>M12BTD</v>
          </cell>
          <cell r="AA4" t="str">
            <v>M12BTD-D</v>
          </cell>
          <cell r="AB4" t="str">
            <v>M14</v>
          </cell>
          <cell r="AC4" t="str">
            <v>M14a</v>
          </cell>
          <cell r="AD4" t="str">
            <v>M14BT</v>
          </cell>
          <cell r="AE4" t="str">
            <v>M14BTD</v>
          </cell>
          <cell r="AF4" t="str">
            <v>CX10</v>
          </cell>
          <cell r="AG4" t="str">
            <v>CL10</v>
          </cell>
          <cell r="AH4" t="str">
            <v>CX12</v>
          </cell>
          <cell r="AI4" t="str">
            <v>CL12</v>
          </cell>
          <cell r="AJ4" t="str">
            <v>CX14</v>
          </cell>
          <cell r="AK4" t="str">
            <v>CL14</v>
          </cell>
          <cell r="AL4" t="str">
            <v>CKB</v>
          </cell>
          <cell r="AM4" t="str">
            <v>NXX</v>
          </cell>
          <cell r="AN4" t="str">
            <v>NXL</v>
          </cell>
          <cell r="AO4" t="str">
            <v>NXXD</v>
          </cell>
          <cell r="AP4" t="str">
            <v>NXLD</v>
          </cell>
          <cell r="AQ4" t="str">
            <v>TD10</v>
          </cell>
          <cell r="AR4" t="str">
            <v>TDLL12</v>
          </cell>
          <cell r="AS4" t="str">
            <v>TD14</v>
          </cell>
          <cell r="AT4" t="str">
            <v>X08D</v>
          </cell>
          <cell r="AU4" t="str">
            <v>X08K</v>
          </cell>
          <cell r="AV4" t="str">
            <v>X21D</v>
          </cell>
          <cell r="AW4" t="str">
            <v>X21K</v>
          </cell>
          <cell r="AX4" t="str">
            <v>BCOM</v>
          </cell>
          <cell r="AY4" t="str">
            <v>SDI</v>
          </cell>
          <cell r="AZ4" t="str">
            <v>SDG</v>
          </cell>
          <cell r="BA4" t="str">
            <v>SD</v>
          </cell>
          <cell r="BB4" t="str">
            <v>PLY50X</v>
          </cell>
          <cell r="BC4" t="str">
            <v>PLY70X</v>
          </cell>
          <cell r="BD4" t="str">
            <v>PLY50T</v>
          </cell>
          <cell r="BE4" t="str">
            <v>PLY70T</v>
          </cell>
          <cell r="BF4" t="str">
            <v>U-D</v>
          </cell>
          <cell r="BG4" t="str">
            <v>U-K</v>
          </cell>
          <cell r="BH4" t="str">
            <v>KN3U</v>
          </cell>
          <cell r="BI4" t="str">
            <v>KN5U</v>
          </cell>
          <cell r="BJ4" t="str">
            <v>KQ2</v>
          </cell>
          <cell r="BK4" t="str">
            <v>KQ4</v>
          </cell>
          <cell r="BL4" t="str">
            <v>CKQ</v>
          </cell>
          <cell r="BM4" t="str">
            <v>HL2</v>
          </cell>
          <cell r="BN4" t="str">
            <v>HL4</v>
          </cell>
          <cell r="BO4" t="str">
            <v>KN50</v>
          </cell>
          <cell r="BP4" t="str">
            <v>KN70</v>
          </cell>
          <cell r="BQ4" t="str">
            <v>KE50</v>
          </cell>
          <cell r="BR4" t="str">
            <v>KE70</v>
          </cell>
          <cell r="BS4" t="str">
            <v>KE95</v>
          </cell>
          <cell r="BT4" t="str">
            <v>KE120</v>
          </cell>
          <cell r="BU4" t="str">
            <v>FCO100</v>
          </cell>
          <cell r="BV4" t="str">
            <v>FCO200</v>
          </cell>
          <cell r="BW4" t="str">
            <v>LA18</v>
          </cell>
          <cell r="BX4" t="str">
            <v>ON50</v>
          </cell>
          <cell r="BY4" t="str">
            <v>ON70</v>
          </cell>
          <cell r="BZ4" t="str">
            <v>OBCD</v>
          </cell>
          <cell r="CA4" t="str">
            <v>CXV25</v>
          </cell>
          <cell r="CB4" t="str">
            <v>CXV50</v>
          </cell>
          <cell r="CD4" t="str">
            <v>GHI CHÚ</v>
          </cell>
        </row>
        <row r="5">
          <cell r="B5" t="str">
            <v>STT</v>
          </cell>
          <cell r="C5" t="str">
            <v>Số trụ</v>
          </cell>
          <cell r="D5" t="str">
            <v>Khoảng cách</v>
          </cell>
          <cell r="E5" t="str">
            <v>Dây ACX 50mm2</v>
          </cell>
          <cell r="F5" t="str">
            <v>Dây ACX 70mm2</v>
          </cell>
          <cell r="G5" t="str">
            <v>Dây AC50mm2</v>
          </cell>
          <cell r="H5" t="str">
            <v>Dây AC70mm2</v>
          </cell>
          <cell r="I5" t="str">
            <v>Góc</v>
          </cell>
          <cell r="J5" t="str">
            <v>Hình thức trụ</v>
          </cell>
          <cell r="K5" t="str">
            <v>Trụ BTLT hiện hữu</v>
          </cell>
          <cell r="L5" t="str">
            <v>Trụ BTLT 10,5m</v>
          </cell>
          <cell r="M5" t="str">
            <v>Trụ BTLT 12m</v>
          </cell>
          <cell r="N5" t="str">
            <v>Trụ BTLT 12m (thủ công)</v>
          </cell>
          <cell r="O5" t="str">
            <v>Trụ BTLT 14m</v>
          </cell>
          <cell r="P5" t="str">
            <v>Trụ BTLT 20m</v>
          </cell>
          <cell r="Q5" t="str">
            <v>Móng trụ M10</v>
          </cell>
          <cell r="R5" t="str">
            <v>Móng trụ M10a</v>
          </cell>
          <cell r="S5" t="str">
            <v>Móng trụ 10 BTĐơn</v>
          </cell>
          <cell r="T5" t="str">
            <v>Móng trụ 10 BTĐôi</v>
          </cell>
          <cell r="U5" t="str">
            <v>Móng trụ M12</v>
          </cell>
          <cell r="V5" t="str">
            <v>Móng trụ M12a</v>
          </cell>
          <cell r="W5" t="str">
            <v>Móng trụ M12 phá đá</v>
          </cell>
          <cell r="X5" t="str">
            <v>Móng trụ 12 BT Đơn</v>
          </cell>
          <cell r="Y5" t="str">
            <v>Móng trụ 12 BT Đơn (Lỗ đá)</v>
          </cell>
          <cell r="Z5" t="str">
            <v>Móng trụ 12 BT Đôi</v>
          </cell>
          <cell r="AA5" t="str">
            <v>Móng trụ 12 BT Đôi (Lỗ đá)</v>
          </cell>
          <cell r="AB5" t="str">
            <v>Móng trụ M14</v>
          </cell>
          <cell r="AC5" t="str">
            <v>Móng trụ M14a</v>
          </cell>
          <cell r="AD5" t="str">
            <v>Móng trụ 14 BT Đơn</v>
          </cell>
          <cell r="AE5" t="str">
            <v>Móng trụ 14 BT Đôi</v>
          </cell>
          <cell r="AF5" t="str">
            <v>Chằng xuống trụ 10,5m</v>
          </cell>
          <cell r="AG5" t="str">
            <v>Chằng lệch trụ 10,5m</v>
          </cell>
          <cell r="AH5" t="str">
            <v>Chằng xuống trụ 12m</v>
          </cell>
          <cell r="AI5" t="str">
            <v>Chằng lệch trụ 12m</v>
          </cell>
          <cell r="AJ5" t="str">
            <v>Chằng xuống trụ 14m</v>
          </cell>
          <cell r="AK5" t="str">
            <v>Chằng lệch trụ 14m</v>
          </cell>
          <cell r="AL5" t="str">
            <v>Chằng vượt băng đường</v>
          </cell>
          <cell r="AM5" t="str">
            <v>Móng neo cho chằng xuống</v>
          </cell>
          <cell r="AN5" t="str">
            <v>Móng neo cho chằng lệch</v>
          </cell>
          <cell r="AO5" t="str">
            <v>Móng neo chằng xuống (đá)</v>
          </cell>
          <cell r="AP5" t="str">
            <v>Móng neo chằng lệch (đá)</v>
          </cell>
          <cell r="AQ5" t="str">
            <v>Tiếp địa lặp lại (trụ 10.5m)</v>
          </cell>
          <cell r="AR5" t="str">
            <v>Tiếp địa lặp lại trụ 12m</v>
          </cell>
          <cell r="AS5" t="str">
            <v>Tiếp địa lặp lại (trụ 14m)</v>
          </cell>
          <cell r="AT5" t="str">
            <v>Bộ đà 800 đơn</v>
          </cell>
          <cell r="AU5" t="str">
            <v>Bộ đà 800 kép</v>
          </cell>
          <cell r="AV5" t="str">
            <v>Bộ đà 2100 đơn</v>
          </cell>
          <cell r="AW5" t="str">
            <v>Bộ đà 2100 kép</v>
          </cell>
          <cell r="AX5" t="str">
            <v>Bộ đà composite 800</v>
          </cell>
          <cell r="AY5" t="str">
            <v>Bộ sứ đỉnh thẳng</v>
          </cell>
          <cell r="AZ5" t="str">
            <v>Bộ sứ đỉnh cong</v>
          </cell>
          <cell r="BA5" t="str">
            <v>Bộ sứ đứng</v>
          </cell>
          <cell r="BB5" t="str">
            <v>Bộ Polyme lắp vào xà (50)</v>
          </cell>
          <cell r="BC5" t="str">
            <v>Bộ Polyme lắp vào xà (70)</v>
          </cell>
          <cell r="BD5" t="str">
            <v>Bộ Polyme lắp vào trụ (50)</v>
          </cell>
          <cell r="BE5" t="str">
            <v>Bộ Polyme lắp vào trụ (70)</v>
          </cell>
          <cell r="BF5" t="str">
            <v>Bộ Uclevis đỡ dây trung hòa</v>
          </cell>
          <cell r="BG5" t="str">
            <v>Bộ Uclevis hướng trụ ghép</v>
          </cell>
          <cell r="BH5" t="str">
            <v>Bộ khóa néo 3U</v>
          </cell>
          <cell r="BI5" t="str">
            <v>Bộ khóa néo 5U</v>
          </cell>
          <cell r="BJ5" t="str">
            <v>Kẹp quai 2/0</v>
          </cell>
          <cell r="BK5" t="str">
            <v>Kẹp quai 4/0</v>
          </cell>
          <cell r="BL5" t="str">
            <v>Chụp kẹp quai</v>
          </cell>
          <cell r="BM5" t="str">
            <v>Hotline 2/0</v>
          </cell>
          <cell r="BN5" t="str">
            <v>Hotline 4/0</v>
          </cell>
          <cell r="BO5" t="str">
            <v>Bộ khóa néo 3U (Dây 50)</v>
          </cell>
          <cell r="BP5" t="str">
            <v>Bộ khóa néo 3U (Dây 70)</v>
          </cell>
          <cell r="BQ5" t="str">
            <v>Kẹp ép cỡ 50mm2</v>
          </cell>
          <cell r="BR5" t="str">
            <v>Kẹp ép cỡ 70mm2</v>
          </cell>
          <cell r="BS5" t="str">
            <v>Kẹp ép cỡ 95mm2</v>
          </cell>
          <cell r="BT5" t="str">
            <v>Kẹp ép cỡ 120mm2</v>
          </cell>
          <cell r="BU5" t="str">
            <v>FCO100</v>
          </cell>
          <cell r="BV5" t="str">
            <v>FCO200</v>
          </cell>
          <cell r="BW5" t="str">
            <v>LA 18kV 10kA</v>
          </cell>
          <cell r="BX5" t="str">
            <v>Ống nối dây AC50</v>
          </cell>
          <cell r="BY5" t="str">
            <v>Ống nối dây AC70</v>
          </cell>
          <cell r="BZ5" t="str">
            <v>Ống co nhiệt cách điện D34</v>
          </cell>
          <cell r="CA5" t="str">
            <v>Cáp C/XLPE/PVC 25mm2</v>
          </cell>
          <cell r="CB5" t="str">
            <v>Cáp C/XLPE/PVC 50mm2</v>
          </cell>
          <cell r="CC5" t="str">
            <v>Đấu hotline</v>
          </cell>
          <cell r="CD5" t="str">
            <v>GHI CHÚ</v>
          </cell>
        </row>
        <row r="6">
          <cell r="B6" t="str">
            <v>TT1P</v>
          </cell>
        </row>
        <row r="31">
          <cell r="C31" t="str">
            <v>Cộng 1: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</row>
        <row r="32">
          <cell r="B32" t="str">
            <v>TT1P-2</v>
          </cell>
          <cell r="C32" t="str">
            <v>Tuyến tổ 3 ấp 3 - Lâm San</v>
          </cell>
        </row>
        <row r="55">
          <cell r="C55" t="str">
            <v>Cộng 2: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</row>
        <row r="56">
          <cell r="B56" t="str">
            <v>TT1P-3</v>
          </cell>
          <cell r="C56" t="str">
            <v>Tuyến tổ 3 ấp 7 - Sông Ray</v>
          </cell>
        </row>
        <row r="74">
          <cell r="C74" t="str">
            <v>Cộng 3: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</row>
        <row r="76">
          <cell r="C76" t="str">
            <v>TỔNG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</row>
      </sheetData>
      <sheetData sheetId="30">
        <row r="1">
          <cell r="E1" t="e">
            <v>#REF!</v>
          </cell>
        </row>
        <row r="2">
          <cell r="E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I44"/>
  <sheetViews>
    <sheetView showGridLines="0" showZeros="0" view="pageBreakPreview" topLeftCell="A14" zoomScale="69" zoomScaleNormal="85" zoomScaleSheetLayoutView="69" workbookViewId="0">
      <selection activeCell="A22" sqref="A22"/>
    </sheetView>
  </sheetViews>
  <sheetFormatPr defaultColWidth="9.33203125" defaultRowHeight="13.2"/>
  <cols>
    <col min="1" max="1" width="37.44140625" style="221" customWidth="1"/>
    <col min="2" max="2" width="15.88671875" style="269" customWidth="1"/>
    <col min="3" max="3" width="46.6640625" style="221" customWidth="1"/>
    <col min="4" max="4" width="13.88671875" style="221" customWidth="1"/>
    <col min="5" max="5" width="30.88671875" style="222" customWidth="1"/>
    <col min="6" max="6" width="10.109375" style="222" customWidth="1"/>
    <col min="7" max="7" width="12.109375" style="223" customWidth="1"/>
    <col min="8" max="8" width="7" style="222" customWidth="1"/>
    <col min="9" max="16384" width="9.33203125" style="222"/>
  </cols>
  <sheetData>
    <row r="1" spans="1:9" ht="23.25" customHeight="1" thickTop="1">
      <c r="A1" s="218"/>
      <c r="B1" s="219"/>
      <c r="C1" s="220"/>
    </row>
    <row r="2" spans="1:9" s="228" customFormat="1" ht="31.2">
      <c r="A2" s="224" t="s">
        <v>308</v>
      </c>
      <c r="B2" s="225"/>
      <c r="C2" s="226"/>
      <c r="D2" s="227"/>
      <c r="G2" s="229"/>
    </row>
    <row r="3" spans="1:9" s="228" customFormat="1" ht="17.399999999999999">
      <c r="A3" s="230" t="s">
        <v>309</v>
      </c>
      <c r="B3" s="231"/>
      <c r="C3" s="232"/>
      <c r="D3" s="233"/>
      <c r="E3" s="233"/>
      <c r="F3" s="233"/>
      <c r="G3" s="233"/>
      <c r="H3" s="233"/>
      <c r="I3" s="233"/>
    </row>
    <row r="4" spans="1:9" ht="9" customHeight="1">
      <c r="A4" s="234" t="s">
        <v>310</v>
      </c>
      <c r="B4" s="235"/>
      <c r="C4" s="236"/>
      <c r="D4" s="233"/>
      <c r="E4" s="233"/>
      <c r="F4" s="233"/>
      <c r="G4" s="233"/>
      <c r="H4" s="233"/>
      <c r="I4" s="233"/>
    </row>
    <row r="5" spans="1:9" ht="27" customHeight="1">
      <c r="A5" s="237"/>
      <c r="B5" s="238"/>
      <c r="C5" s="239"/>
      <c r="D5" s="233"/>
      <c r="E5" s="233"/>
      <c r="F5" s="233"/>
      <c r="G5" s="233"/>
      <c r="H5" s="233"/>
      <c r="I5" s="233"/>
    </row>
    <row r="6" spans="1:9" ht="6.75" customHeight="1">
      <c r="A6" s="237"/>
      <c r="B6" s="238"/>
      <c r="C6" s="239"/>
      <c r="D6" s="233"/>
      <c r="E6" s="233"/>
      <c r="F6" s="233"/>
      <c r="G6" s="233"/>
      <c r="H6" s="233"/>
      <c r="I6" s="233"/>
    </row>
    <row r="7" spans="1:9" ht="57" customHeight="1">
      <c r="A7" s="237"/>
      <c r="B7" s="240"/>
      <c r="C7" s="239"/>
      <c r="D7" s="233"/>
      <c r="E7" s="233"/>
      <c r="F7" s="233"/>
      <c r="G7" s="233"/>
      <c r="H7" s="233"/>
      <c r="I7" s="233"/>
    </row>
    <row r="8" spans="1:9" s="233" customFormat="1" ht="33" customHeight="1">
      <c r="A8" s="1374" t="s">
        <v>311</v>
      </c>
      <c r="B8" s="1375"/>
      <c r="C8" s="1376"/>
    </row>
    <row r="9" spans="1:9" s="233" customFormat="1" ht="30">
      <c r="A9" s="1378" t="s">
        <v>929</v>
      </c>
      <c r="B9" s="1375"/>
      <c r="C9" s="1376"/>
      <c r="D9" s="241"/>
    </row>
    <row r="10" spans="1:9" s="233" customFormat="1" ht="18">
      <c r="A10" s="242"/>
      <c r="B10" s="243"/>
      <c r="C10" s="244"/>
      <c r="D10" s="245"/>
    </row>
    <row r="11" spans="1:9" s="233" customFormat="1" ht="52.5" customHeight="1">
      <c r="A11" s="1389" t="s">
        <v>902</v>
      </c>
      <c r="B11" s="1390"/>
      <c r="C11" s="1391"/>
      <c r="D11" s="249"/>
      <c r="G11" s="250"/>
    </row>
    <row r="12" spans="1:9" ht="17.399999999999999" hidden="1">
      <c r="A12" s="251" t="s">
        <v>312</v>
      </c>
      <c r="B12" s="231"/>
      <c r="C12" s="232"/>
      <c r="D12" s="252"/>
      <c r="G12" s="222"/>
    </row>
    <row r="13" spans="1:9" s="233" customFormat="1" ht="37.5" hidden="1" customHeight="1">
      <c r="A13" s="246" t="s">
        <v>313</v>
      </c>
      <c r="B13" s="247"/>
      <c r="C13" s="248"/>
      <c r="D13" s="249"/>
      <c r="G13" s="250"/>
    </row>
    <row r="14" spans="1:9" ht="25.5" customHeight="1">
      <c r="A14" s="1379" t="s">
        <v>903</v>
      </c>
      <c r="B14" s="1380"/>
      <c r="C14" s="1381"/>
      <c r="D14" s="252"/>
      <c r="G14" s="222"/>
    </row>
    <row r="15" spans="1:9" ht="17.399999999999999">
      <c r="A15" s="1382"/>
      <c r="B15" s="1383"/>
      <c r="C15" s="1384"/>
      <c r="D15" s="252"/>
      <c r="G15" s="222"/>
    </row>
    <row r="16" spans="1:9" ht="17.399999999999999">
      <c r="A16" s="1392"/>
      <c r="B16" s="1393"/>
      <c r="C16" s="1394"/>
      <c r="D16" s="252"/>
      <c r="G16" s="222"/>
    </row>
    <row r="17" spans="1:8" ht="17.399999999999999">
      <c r="A17" s="1392"/>
      <c r="B17" s="1393"/>
      <c r="C17" s="1394"/>
      <c r="D17" s="252"/>
      <c r="G17" s="222"/>
    </row>
    <row r="18" spans="1:8" s="233" customFormat="1" ht="17.399999999999999">
      <c r="A18" s="1385"/>
      <c r="B18" s="1380"/>
      <c r="C18" s="1381"/>
    </row>
    <row r="19" spans="1:8" s="233" customFormat="1" ht="17.399999999999999">
      <c r="A19" s="1385"/>
      <c r="B19" s="1380"/>
      <c r="C19" s="1381"/>
    </row>
    <row r="20" spans="1:8" ht="41.25" customHeight="1">
      <c r="A20" s="246" t="s">
        <v>314</v>
      </c>
      <c r="B20" s="247"/>
      <c r="C20" s="253"/>
      <c r="D20" s="252"/>
      <c r="G20" s="222"/>
    </row>
    <row r="21" spans="1:8" s="257" customFormat="1" ht="18">
      <c r="A21" s="242" t="s">
        <v>904</v>
      </c>
      <c r="B21" s="254"/>
      <c r="C21" s="255"/>
      <c r="D21" s="256"/>
      <c r="E21" s="222"/>
      <c r="F21" s="222"/>
      <c r="G21" s="222"/>
      <c r="H21" s="222"/>
    </row>
    <row r="22" spans="1:8" s="233" customFormat="1" ht="48" customHeight="1">
      <c r="A22" s="1325"/>
      <c r="B22" s="231"/>
      <c r="C22" s="232"/>
      <c r="D22" s="249"/>
      <c r="E22" s="222"/>
      <c r="F22" s="222"/>
      <c r="G22" s="222"/>
      <c r="H22" s="222"/>
    </row>
    <row r="23" spans="1:8" s="233" customFormat="1" ht="23.25" customHeight="1">
      <c r="A23" s="258"/>
      <c r="B23" s="259"/>
      <c r="C23" s="260"/>
      <c r="D23" s="249"/>
      <c r="E23" s="222"/>
      <c r="F23" s="222"/>
      <c r="G23" s="222"/>
      <c r="H23" s="222"/>
    </row>
    <row r="24" spans="1:8" s="233" customFormat="1" ht="16.8">
      <c r="A24" s="258"/>
      <c r="B24" s="259"/>
      <c r="C24" s="260"/>
      <c r="D24" s="249"/>
      <c r="E24" s="222"/>
      <c r="F24" s="222"/>
      <c r="G24" s="222"/>
      <c r="H24" s="222"/>
    </row>
    <row r="25" spans="1:8" s="265" customFormat="1" ht="17.25" customHeight="1">
      <c r="A25" s="261"/>
      <c r="B25" s="262"/>
      <c r="C25" s="263"/>
      <c r="D25" s="264"/>
      <c r="G25" s="266"/>
    </row>
    <row r="26" spans="1:8" s="265" customFormat="1" ht="17.25" customHeight="1">
      <c r="A26" s="261"/>
      <c r="B26" s="262"/>
      <c r="C26" s="263"/>
      <c r="D26" s="264"/>
      <c r="G26" s="266"/>
    </row>
    <row r="27" spans="1:8" s="265" customFormat="1" ht="17.25" customHeight="1">
      <c r="A27" s="267"/>
      <c r="B27" s="268"/>
      <c r="C27" s="260"/>
      <c r="D27" s="264"/>
      <c r="G27" s="266"/>
    </row>
    <row r="28" spans="1:8" s="265" customFormat="1" ht="17.25" customHeight="1">
      <c r="A28" s="267"/>
      <c r="B28" s="268"/>
      <c r="C28" s="260"/>
      <c r="D28" s="264"/>
      <c r="G28" s="266"/>
    </row>
    <row r="29" spans="1:8" s="265" customFormat="1" ht="17.25" customHeight="1">
      <c r="A29" s="267"/>
      <c r="B29" s="268"/>
      <c r="C29" s="260"/>
      <c r="D29" s="264"/>
      <c r="G29" s="266"/>
    </row>
    <row r="30" spans="1:8" s="262" customFormat="1" ht="17.25" customHeight="1" thickBot="1">
      <c r="A30" s="1386" t="s">
        <v>930</v>
      </c>
      <c r="B30" s="1387"/>
      <c r="C30" s="1388"/>
    </row>
    <row r="31" spans="1:8" ht="19.5" customHeight="1" thickTop="1"/>
    <row r="32" spans="1:8" ht="11.25" customHeight="1"/>
    <row r="38" spans="4:6">
      <c r="D38" s="1377"/>
      <c r="E38" s="1377"/>
      <c r="F38" s="1377"/>
    </row>
    <row r="44" spans="4:6">
      <c r="D44" s="1377"/>
      <c r="E44" s="1377"/>
      <c r="F44" s="1377"/>
    </row>
  </sheetData>
  <mergeCells count="12">
    <mergeCell ref="A8:C8"/>
    <mergeCell ref="D44:F44"/>
    <mergeCell ref="A9:C9"/>
    <mergeCell ref="A14:C14"/>
    <mergeCell ref="A15:C15"/>
    <mergeCell ref="A18:C18"/>
    <mergeCell ref="A30:C30"/>
    <mergeCell ref="D38:F38"/>
    <mergeCell ref="A19:C19"/>
    <mergeCell ref="A11:C11"/>
    <mergeCell ref="A16:C16"/>
    <mergeCell ref="A17:C17"/>
  </mergeCells>
  <phoneticPr fontId="0" type="noConversion"/>
  <printOptions horizontalCentered="1"/>
  <pageMargins left="0.59055118110236227" right="0.23622047244094491" top="0.74803149606299213" bottom="0.51181102362204722" header="0.23622047244094491" footer="0.23622047244094491"/>
  <pageSetup paperSize="9" scale="102" orientation="portrait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27"/>
  <sheetViews>
    <sheetView view="pageBreakPreview" zoomScale="78" zoomScaleNormal="100" zoomScaleSheetLayoutView="78" workbookViewId="0">
      <selection activeCell="E22" sqref="E22:M27"/>
    </sheetView>
  </sheetViews>
  <sheetFormatPr defaultRowHeight="13.2"/>
  <cols>
    <col min="1" max="1" width="6" customWidth="1"/>
    <col min="2" max="2" width="18" customWidth="1"/>
    <col min="3" max="3" width="54.6640625" customWidth="1"/>
    <col min="4" max="4" width="9.88671875" customWidth="1"/>
    <col min="5" max="5" width="9.5546875" customWidth="1"/>
    <col min="7" max="7" width="9.5546875" customWidth="1"/>
    <col min="8" max="8" width="4.109375" hidden="1" customWidth="1"/>
    <col min="9" max="9" width="6" hidden="1" customWidth="1"/>
    <col min="10" max="10" width="8.109375" hidden="1" customWidth="1"/>
    <col min="11" max="11" width="3.5546875" hidden="1" customWidth="1"/>
    <col min="12" max="12" width="10.109375" customWidth="1"/>
    <col min="13" max="13" width="17.44140625" customWidth="1"/>
  </cols>
  <sheetData>
    <row r="1" spans="1:14" s="600" customFormat="1" ht="18">
      <c r="A1" s="757" t="s">
        <v>635</v>
      </c>
      <c r="B1" s="602"/>
      <c r="C1" s="603"/>
      <c r="D1" s="603"/>
      <c r="E1" s="604"/>
      <c r="F1" s="605"/>
      <c r="G1" s="606"/>
      <c r="H1" s="604"/>
      <c r="I1" s="604"/>
      <c r="J1" s="605"/>
      <c r="K1" s="607"/>
      <c r="L1" s="608"/>
      <c r="M1" s="609"/>
      <c r="N1" s="610">
        <v>1</v>
      </c>
    </row>
    <row r="2" spans="1:14" s="600" customFormat="1" ht="17.399999999999999">
      <c r="A2" s="1461" t="str">
        <f>BIA!A11</f>
        <v>Tên công trình: Sửa chữa đường dây trung thế huyện Cẩm Mỹ năm 2020.</v>
      </c>
      <c r="B2" s="1461"/>
      <c r="C2" s="1461"/>
      <c r="D2" s="1461"/>
      <c r="E2" s="1461"/>
      <c r="F2" s="1461"/>
      <c r="G2" s="1461"/>
      <c r="H2" s="1461"/>
      <c r="I2" s="1461"/>
      <c r="J2" s="1461"/>
      <c r="K2" s="1461"/>
      <c r="L2" s="1461"/>
      <c r="M2" s="1461"/>
      <c r="N2" s="610"/>
    </row>
    <row r="3" spans="1:14" s="600" customFormat="1" ht="17.399999999999999" hidden="1">
      <c r="A3" s="1462" t="str">
        <f>BIA!A14</f>
        <v>Mã số tài sản: 1.37013000.0001217; 1.37013000.0001215; 1.37013000.0001216.</v>
      </c>
      <c r="B3" s="1462"/>
      <c r="C3" s="1462"/>
      <c r="D3" s="1462"/>
      <c r="E3" s="1462"/>
      <c r="F3" s="1462"/>
      <c r="G3" s="1462"/>
      <c r="H3" s="1462"/>
      <c r="I3" s="1462"/>
      <c r="J3" s="1462"/>
      <c r="K3" s="1462"/>
      <c r="L3" s="1462"/>
      <c r="M3" s="1462"/>
      <c r="N3" s="610"/>
    </row>
    <row r="4" spans="1:14" s="600" customFormat="1" ht="18">
      <c r="A4" s="601"/>
      <c r="B4" s="758"/>
      <c r="C4" s="758"/>
      <c r="D4" s="758"/>
      <c r="E4" s="759"/>
      <c r="F4" s="760"/>
      <c r="G4" s="756"/>
      <c r="H4" s="759"/>
      <c r="I4" s="759"/>
      <c r="J4" s="760"/>
      <c r="K4" s="756"/>
      <c r="L4" s="761"/>
      <c r="M4" s="761"/>
      <c r="N4" s="610"/>
    </row>
    <row r="5" spans="1:14" s="600" customFormat="1" ht="82.8">
      <c r="A5" s="591" t="s">
        <v>81</v>
      </c>
      <c r="B5" s="591" t="s">
        <v>520</v>
      </c>
      <c r="C5" s="591" t="s">
        <v>521</v>
      </c>
      <c r="D5" s="592" t="s">
        <v>522</v>
      </c>
      <c r="E5" s="593" t="s">
        <v>526</v>
      </c>
      <c r="F5" s="594" t="s">
        <v>523</v>
      </c>
      <c r="G5" s="594" t="s">
        <v>524</v>
      </c>
      <c r="H5" s="595" t="s">
        <v>30</v>
      </c>
      <c r="I5" s="593" t="s">
        <v>194</v>
      </c>
      <c r="J5" s="594" t="s">
        <v>136</v>
      </c>
      <c r="K5" s="596" t="s">
        <v>154</v>
      </c>
      <c r="L5" s="597" t="s">
        <v>525</v>
      </c>
      <c r="M5" s="598" t="s">
        <v>280</v>
      </c>
      <c r="N5" s="599">
        <v>1</v>
      </c>
    </row>
    <row r="6" spans="1:14" s="544" customFormat="1">
      <c r="A6" s="576"/>
      <c r="B6" s="577" t="s">
        <v>518</v>
      </c>
      <c r="C6" s="578"/>
      <c r="D6" s="579"/>
      <c r="E6" s="580"/>
      <c r="F6" s="582"/>
      <c r="G6" s="583"/>
      <c r="H6" s="584"/>
      <c r="I6" s="581"/>
      <c r="J6" s="582"/>
      <c r="K6" s="583"/>
      <c r="L6" s="585"/>
      <c r="M6" s="586"/>
      <c r="N6" s="587">
        <v>1</v>
      </c>
    </row>
    <row r="7" spans="1:14" s="544" customFormat="1">
      <c r="A7" s="588"/>
      <c r="B7" s="589" t="s">
        <v>519</v>
      </c>
      <c r="C7" s="578"/>
      <c r="D7" s="579"/>
      <c r="E7" s="580"/>
      <c r="F7" s="582"/>
      <c r="G7" s="583"/>
      <c r="H7" s="590"/>
      <c r="I7" s="581"/>
      <c r="J7" s="582"/>
      <c r="K7" s="583"/>
      <c r="L7" s="585"/>
      <c r="M7" s="586"/>
      <c r="N7" s="587">
        <v>1</v>
      </c>
    </row>
    <row r="8" spans="1:14" s="4" customFormat="1" ht="15.6">
      <c r="A8" s="611">
        <v>1</v>
      </c>
      <c r="B8" s="86" t="s">
        <v>562</v>
      </c>
      <c r="C8" s="51" t="s">
        <v>654</v>
      </c>
      <c r="D8" s="50" t="s">
        <v>9</v>
      </c>
      <c r="E8" s="614">
        <f>'4. CT NC'!E11</f>
        <v>19</v>
      </c>
      <c r="F8" s="612">
        <v>0.18</v>
      </c>
      <c r="G8" s="612">
        <v>0.55000000000000004</v>
      </c>
      <c r="H8" s="616">
        <v>1</v>
      </c>
      <c r="I8" s="615">
        <v>5</v>
      </c>
      <c r="J8" s="617">
        <v>0.1</v>
      </c>
      <c r="K8" s="618">
        <v>1</v>
      </c>
      <c r="L8" s="613">
        <f>C22</f>
        <v>1991273</v>
      </c>
      <c r="M8" s="613">
        <f>ROUND((E8*F8*G8*L8),0)</f>
        <v>3745585</v>
      </c>
      <c r="N8" s="587">
        <v>1</v>
      </c>
    </row>
    <row r="9" spans="1:14" s="4" customFormat="1" ht="15.6">
      <c r="A9" s="1452">
        <f>A8+1</f>
        <v>2</v>
      </c>
      <c r="B9" s="1455" t="s">
        <v>570</v>
      </c>
      <c r="C9" s="570" t="s">
        <v>774</v>
      </c>
      <c r="D9" s="1458" t="s">
        <v>92</v>
      </c>
      <c r="E9" s="853">
        <f>'4. CT NC'!E23</f>
        <v>11.923999999999999</v>
      </c>
      <c r="F9" s="620"/>
      <c r="G9" s="620"/>
      <c r="H9" s="621">
        <v>1</v>
      </c>
      <c r="I9" s="619">
        <v>5</v>
      </c>
      <c r="J9" s="622">
        <v>0.22</v>
      </c>
      <c r="K9" s="623">
        <v>1</v>
      </c>
      <c r="L9" s="624">
        <v>0</v>
      </c>
      <c r="M9" s="624">
        <f>ROUND((E9*L9),0)</f>
        <v>0</v>
      </c>
      <c r="N9" s="625"/>
    </row>
    <row r="10" spans="1:14" s="4" customFormat="1" ht="15.6">
      <c r="A10" s="1453"/>
      <c r="B10" s="1456"/>
      <c r="C10" s="571" t="s">
        <v>360</v>
      </c>
      <c r="D10" s="1459"/>
      <c r="E10" s="854">
        <f>E9</f>
        <v>11.923999999999999</v>
      </c>
      <c r="F10" s="627">
        <v>0.2</v>
      </c>
      <c r="G10" s="627">
        <f>0.55*0.7</f>
        <v>0.38500000000000001</v>
      </c>
      <c r="H10" s="628"/>
      <c r="I10" s="626"/>
      <c r="J10" s="629"/>
      <c r="K10" s="630"/>
      <c r="L10" s="631">
        <v>1023836</v>
      </c>
      <c r="M10" s="631">
        <f>ROUND(E10*F10*G10*L10,0)</f>
        <v>940033</v>
      </c>
      <c r="N10" s="625"/>
    </row>
    <row r="11" spans="1:14" s="4" customFormat="1" ht="15.6">
      <c r="A11" s="1453"/>
      <c r="B11" s="1456"/>
      <c r="C11" s="571" t="s">
        <v>361</v>
      </c>
      <c r="D11" s="1459"/>
      <c r="E11" s="854">
        <f>E9</f>
        <v>11.923999999999999</v>
      </c>
      <c r="F11" s="627">
        <v>0.27</v>
      </c>
      <c r="G11" s="627">
        <f>G10</f>
        <v>0.38500000000000001</v>
      </c>
      <c r="H11" s="628"/>
      <c r="I11" s="626"/>
      <c r="J11" s="629"/>
      <c r="K11" s="630"/>
      <c r="L11" s="631">
        <v>260790</v>
      </c>
      <c r="M11" s="631">
        <f>ROUND(E11*F11*G11*L11,0)</f>
        <v>323249</v>
      </c>
      <c r="N11" s="625"/>
    </row>
    <row r="12" spans="1:14" s="4" customFormat="1" ht="15.6">
      <c r="A12" s="1454"/>
      <c r="B12" s="1457"/>
      <c r="C12" s="572" t="s">
        <v>362</v>
      </c>
      <c r="D12" s="1460"/>
      <c r="E12" s="855">
        <f>E9</f>
        <v>11.923999999999999</v>
      </c>
      <c r="F12" s="633">
        <v>0</v>
      </c>
      <c r="G12" s="633">
        <f>G10</f>
        <v>0.38500000000000001</v>
      </c>
      <c r="H12" s="634"/>
      <c r="I12" s="632"/>
      <c r="J12" s="635"/>
      <c r="K12" s="636"/>
      <c r="L12" s="637">
        <v>110335</v>
      </c>
      <c r="M12" s="637">
        <f>ROUND(E12*F12*G12*L12,0)</f>
        <v>0</v>
      </c>
      <c r="N12" s="625"/>
    </row>
    <row r="13" spans="1:14" s="5" customFormat="1" ht="15.6">
      <c r="A13" s="1465">
        <f>A9+1</f>
        <v>3</v>
      </c>
      <c r="B13" s="1469" t="s">
        <v>568</v>
      </c>
      <c r="C13" s="570" t="s">
        <v>914</v>
      </c>
      <c r="D13" s="1449" t="s">
        <v>92</v>
      </c>
      <c r="E13" s="853">
        <f>'4. CT NC'!E24</f>
        <v>1.796</v>
      </c>
      <c r="F13" s="620"/>
      <c r="G13" s="620"/>
      <c r="H13" s="639"/>
      <c r="I13" s="638"/>
      <c r="J13" s="640"/>
      <c r="K13" s="641"/>
      <c r="L13" s="624">
        <v>0</v>
      </c>
      <c r="M13" s="624">
        <f>ROUND((E13*L13),0)</f>
        <v>0</v>
      </c>
      <c r="N13" s="625">
        <v>1</v>
      </c>
    </row>
    <row r="14" spans="1:14" s="5" customFormat="1" ht="15.6">
      <c r="A14" s="1466"/>
      <c r="B14" s="1470"/>
      <c r="C14" s="573" t="s">
        <v>360</v>
      </c>
      <c r="D14" s="1450"/>
      <c r="E14" s="854">
        <f>E13</f>
        <v>1.796</v>
      </c>
      <c r="F14" s="627">
        <v>0.2</v>
      </c>
      <c r="G14" s="627">
        <f>0.55*0.7</f>
        <v>0.38500000000000001</v>
      </c>
      <c r="H14" s="643"/>
      <c r="I14" s="642"/>
      <c r="J14" s="644"/>
      <c r="K14" s="645"/>
      <c r="L14" s="631">
        <v>1023836</v>
      </c>
      <c r="M14" s="631">
        <f>ROUND(E14*F14*G14*L14,0)</f>
        <v>141588</v>
      </c>
      <c r="N14" s="625"/>
    </row>
    <row r="15" spans="1:14" s="5" customFormat="1" ht="15.6">
      <c r="A15" s="1466"/>
      <c r="B15" s="1470"/>
      <c r="C15" s="573" t="s">
        <v>361</v>
      </c>
      <c r="D15" s="1450"/>
      <c r="E15" s="854">
        <f>E13</f>
        <v>1.796</v>
      </c>
      <c r="F15" s="627">
        <v>0.27</v>
      </c>
      <c r="G15" s="627">
        <f>G14</f>
        <v>0.38500000000000001</v>
      </c>
      <c r="H15" s="643"/>
      <c r="I15" s="642"/>
      <c r="J15" s="644"/>
      <c r="K15" s="645"/>
      <c r="L15" s="631">
        <v>260790</v>
      </c>
      <c r="M15" s="631">
        <f>ROUND(E15*F15*G15*L15,0)</f>
        <v>48688</v>
      </c>
      <c r="N15" s="625"/>
    </row>
    <row r="16" spans="1:14" s="5" customFormat="1" ht="15.6">
      <c r="A16" s="1467"/>
      <c r="B16" s="1471"/>
      <c r="C16" s="575" t="s">
        <v>362</v>
      </c>
      <c r="D16" s="1451"/>
      <c r="E16" s="856">
        <f>E13</f>
        <v>1.796</v>
      </c>
      <c r="F16" s="647">
        <v>0</v>
      </c>
      <c r="G16" s="647">
        <f>G14</f>
        <v>0.38500000000000001</v>
      </c>
      <c r="H16" s="648"/>
      <c r="I16" s="646"/>
      <c r="J16" s="649"/>
      <c r="K16" s="650"/>
      <c r="L16" s="651">
        <v>110335</v>
      </c>
      <c r="M16" s="651">
        <f>ROUND(E16*F16*G16*L16,0)</f>
        <v>0</v>
      </c>
      <c r="N16" s="625"/>
    </row>
    <row r="17" spans="1:14" s="5" customFormat="1" ht="15.6">
      <c r="A17" s="1465">
        <f>A13+1</f>
        <v>4</v>
      </c>
      <c r="B17" s="1455" t="s">
        <v>568</v>
      </c>
      <c r="C17" s="570" t="s">
        <v>517</v>
      </c>
      <c r="D17" s="1458" t="s">
        <v>92</v>
      </c>
      <c r="E17" s="853">
        <f>'4. CT NC'!E25</f>
        <v>11.923999999999999</v>
      </c>
      <c r="F17" s="620"/>
      <c r="G17" s="620"/>
      <c r="H17" s="639"/>
      <c r="I17" s="638"/>
      <c r="J17" s="640"/>
      <c r="K17" s="641"/>
      <c r="L17" s="624">
        <v>0</v>
      </c>
      <c r="M17" s="624">
        <f>ROUND((E17*L17),0)</f>
        <v>0</v>
      </c>
      <c r="N17" s="625">
        <v>1</v>
      </c>
    </row>
    <row r="18" spans="1:14" s="5" customFormat="1" ht="15.6">
      <c r="A18" s="1466"/>
      <c r="B18" s="1456"/>
      <c r="C18" s="573" t="s">
        <v>360</v>
      </c>
      <c r="D18" s="1459"/>
      <c r="E18" s="854">
        <f>E17</f>
        <v>11.923999999999999</v>
      </c>
      <c r="F18" s="627">
        <v>0.2</v>
      </c>
      <c r="G18" s="627">
        <f>0.45*0.7</f>
        <v>0.315</v>
      </c>
      <c r="H18" s="643"/>
      <c r="I18" s="642"/>
      <c r="J18" s="644"/>
      <c r="K18" s="645"/>
      <c r="L18" s="631">
        <v>1023836</v>
      </c>
      <c r="M18" s="631">
        <f>ROUND(E18*F18*G18*L18,0)</f>
        <v>769118</v>
      </c>
      <c r="N18" s="625"/>
    </row>
    <row r="19" spans="1:14" s="5" customFormat="1" ht="15.6">
      <c r="A19" s="1466"/>
      <c r="B19" s="1456"/>
      <c r="C19" s="573" t="s">
        <v>361</v>
      </c>
      <c r="D19" s="1459"/>
      <c r="E19" s="854">
        <f>E17</f>
        <v>11.923999999999999</v>
      </c>
      <c r="F19" s="627">
        <v>0.27</v>
      </c>
      <c r="G19" s="627">
        <f>G18</f>
        <v>0.315</v>
      </c>
      <c r="H19" s="643"/>
      <c r="I19" s="642"/>
      <c r="J19" s="644"/>
      <c r="K19" s="645"/>
      <c r="L19" s="631">
        <v>260790</v>
      </c>
      <c r="M19" s="631">
        <f>ROUND(E19*F19*G19*L19,0)</f>
        <v>264477</v>
      </c>
      <c r="N19" s="625"/>
    </row>
    <row r="20" spans="1:14" s="5" customFormat="1" ht="15.6">
      <c r="A20" s="1468"/>
      <c r="B20" s="1463"/>
      <c r="C20" s="574" t="s">
        <v>362</v>
      </c>
      <c r="D20" s="1464"/>
      <c r="E20" s="857">
        <f>E17</f>
        <v>11.923999999999999</v>
      </c>
      <c r="F20" s="653">
        <v>0</v>
      </c>
      <c r="G20" s="653">
        <f>G18</f>
        <v>0.315</v>
      </c>
      <c r="H20" s="654"/>
      <c r="I20" s="652"/>
      <c r="J20" s="655"/>
      <c r="K20" s="656"/>
      <c r="L20" s="657">
        <v>110335</v>
      </c>
      <c r="M20" s="657">
        <f>ROUND(E20*F20*G20*L20,0)</f>
        <v>0</v>
      </c>
      <c r="N20" s="625"/>
    </row>
    <row r="21" spans="1:14" s="4" customFormat="1" ht="16.2">
      <c r="A21" s="658"/>
      <c r="B21" s="659"/>
      <c r="C21" s="660"/>
      <c r="D21" s="659"/>
      <c r="E21" s="661"/>
      <c r="F21" s="662"/>
      <c r="G21" s="663"/>
      <c r="H21" s="661"/>
      <c r="I21" s="661"/>
      <c r="J21" s="662"/>
      <c r="K21" s="664"/>
      <c r="L21" s="665" t="s">
        <v>527</v>
      </c>
      <c r="M21" s="790">
        <f>ROUND(SUM(M8:M20),0)</f>
        <v>6232738</v>
      </c>
      <c r="N21" s="625">
        <v>1</v>
      </c>
    </row>
    <row r="22" spans="1:14" s="9" customFormat="1" ht="15.6">
      <c r="A22" s="666"/>
      <c r="B22" s="314" t="s">
        <v>252</v>
      </c>
      <c r="C22" s="315">
        <v>1991273</v>
      </c>
      <c r="D22" s="316" t="s">
        <v>31</v>
      </c>
      <c r="E22" s="1447" t="s">
        <v>738</v>
      </c>
      <c r="F22" s="1447"/>
      <c r="G22" s="1447"/>
      <c r="H22" s="1447"/>
      <c r="I22" s="1447"/>
      <c r="J22" s="1447"/>
      <c r="K22" s="1447"/>
      <c r="L22" s="1447"/>
      <c r="M22" s="1447"/>
      <c r="N22" s="666"/>
    </row>
    <row r="23" spans="1:14" s="8" customFormat="1" ht="15.6">
      <c r="A23" s="667"/>
      <c r="B23" s="314" t="s">
        <v>285</v>
      </c>
      <c r="C23" s="668">
        <v>1428839</v>
      </c>
      <c r="D23" s="316" t="s">
        <v>31</v>
      </c>
      <c r="E23" s="1448"/>
      <c r="F23" s="1448"/>
      <c r="G23" s="1448"/>
      <c r="H23" s="1448"/>
      <c r="I23" s="1448"/>
      <c r="J23" s="1448"/>
      <c r="K23" s="1448"/>
      <c r="L23" s="1448"/>
      <c r="M23" s="1448"/>
      <c r="N23" s="667"/>
    </row>
    <row r="24" spans="1:14" s="9" customFormat="1" ht="15.6">
      <c r="A24" s="666"/>
      <c r="B24" s="314" t="s">
        <v>732</v>
      </c>
      <c r="C24" s="315">
        <v>1023835.5339130434</v>
      </c>
      <c r="D24" s="316" t="s">
        <v>31</v>
      </c>
      <c r="E24" s="1448"/>
      <c r="F24" s="1448"/>
      <c r="G24" s="1448"/>
      <c r="H24" s="1448"/>
      <c r="I24" s="1448"/>
      <c r="J24" s="1448"/>
      <c r="K24" s="1448"/>
      <c r="L24" s="1448"/>
      <c r="M24" s="1448"/>
      <c r="N24" s="666">
        <v>100</v>
      </c>
    </row>
    <row r="25" spans="1:14" s="9" customFormat="1" ht="31.2">
      <c r="A25" s="666"/>
      <c r="B25" s="314" t="s">
        <v>737</v>
      </c>
      <c r="C25" s="315">
        <v>260790</v>
      </c>
      <c r="D25" s="316" t="s">
        <v>31</v>
      </c>
      <c r="E25" s="1448"/>
      <c r="F25" s="1448"/>
      <c r="G25" s="1448"/>
      <c r="H25" s="1448"/>
      <c r="I25" s="1448"/>
      <c r="J25" s="1448"/>
      <c r="K25" s="1448"/>
      <c r="L25" s="1448"/>
      <c r="M25" s="1448"/>
      <c r="N25" s="666">
        <v>30</v>
      </c>
    </row>
    <row r="26" spans="1:14" s="8" customFormat="1" ht="31.2">
      <c r="A26" s="667"/>
      <c r="B26" s="314" t="s">
        <v>733</v>
      </c>
      <c r="C26" s="981">
        <v>110335.37217391304</v>
      </c>
      <c r="D26" s="316" t="s">
        <v>31</v>
      </c>
      <c r="E26" s="1448"/>
      <c r="F26" s="1448"/>
      <c r="G26" s="1448"/>
      <c r="H26" s="1448"/>
      <c r="I26" s="1448"/>
      <c r="J26" s="1448"/>
      <c r="K26" s="1448"/>
      <c r="L26" s="1448"/>
      <c r="M26" s="1448"/>
      <c r="N26" s="667"/>
    </row>
    <row r="27" spans="1:14" s="9" customFormat="1" ht="15.6">
      <c r="A27" s="666"/>
      <c r="B27" s="314"/>
      <c r="C27" s="315"/>
      <c r="D27" s="316"/>
      <c r="E27" s="1448"/>
      <c r="F27" s="1448"/>
      <c r="G27" s="1448"/>
      <c r="H27" s="1448"/>
      <c r="I27" s="1448"/>
      <c r="J27" s="1448"/>
      <c r="K27" s="1448"/>
      <c r="L27" s="1448"/>
      <c r="M27" s="1448"/>
      <c r="N27" s="666"/>
    </row>
  </sheetData>
  <mergeCells count="12">
    <mergeCell ref="A2:M2"/>
    <mergeCell ref="A3:M3"/>
    <mergeCell ref="B17:B20"/>
    <mergeCell ref="D17:D20"/>
    <mergeCell ref="A13:A16"/>
    <mergeCell ref="A17:A20"/>
    <mergeCell ref="B13:B16"/>
    <mergeCell ref="E22:M27"/>
    <mergeCell ref="D13:D16"/>
    <mergeCell ref="A9:A12"/>
    <mergeCell ref="B9:B12"/>
    <mergeCell ref="D9:D12"/>
  </mergeCells>
  <phoneticPr fontId="31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1" fitToHeight="0" orientation="portrait" blackAndWhite="1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80"/>
  <sheetViews>
    <sheetView view="pageBreakPreview" zoomScale="85" zoomScaleNormal="86" zoomScaleSheetLayoutView="85" workbookViewId="0">
      <selection activeCell="B6" sqref="B6"/>
    </sheetView>
  </sheetViews>
  <sheetFormatPr defaultColWidth="7.33203125" defaultRowHeight="10.199999999999999"/>
  <cols>
    <col min="1" max="1" width="7.44140625" style="733" customWidth="1"/>
    <col min="2" max="2" width="56.33203125" style="733" bestFit="1" customWidth="1"/>
    <col min="3" max="3" width="11.33203125" style="735" customWidth="1"/>
    <col min="4" max="4" width="12.44140625" style="740" customWidth="1"/>
    <col min="5" max="5" width="13.44140625" style="737" customWidth="1"/>
    <col min="6" max="6" width="16.109375" style="737" customWidth="1"/>
    <col min="7" max="7" width="19.33203125" style="738" customWidth="1"/>
    <col min="8" max="8" width="25.6640625" style="738" customWidth="1"/>
    <col min="9" max="9" width="9.5546875" style="738" bestFit="1" customWidth="1"/>
    <col min="10" max="10" width="17" style="738" customWidth="1"/>
    <col min="11" max="11" width="18.109375" style="733" bestFit="1" customWidth="1"/>
    <col min="12" max="12" width="17.44140625" style="733" customWidth="1"/>
    <col min="13" max="13" width="18.5546875" style="733" bestFit="1" customWidth="1"/>
    <col min="14" max="16384" width="7.33203125" style="733"/>
  </cols>
  <sheetData>
    <row r="1" spans="1:14" s="714" customFormat="1" ht="17.399999999999999">
      <c r="A1" s="1472" t="s">
        <v>634</v>
      </c>
      <c r="B1" s="1472"/>
      <c r="C1" s="1472"/>
      <c r="D1" s="1472"/>
      <c r="E1" s="1472"/>
      <c r="F1" s="1472"/>
      <c r="G1" s="1472"/>
      <c r="H1" s="1473"/>
      <c r="I1" s="945"/>
      <c r="J1" s="945"/>
    </row>
    <row r="2" spans="1:14" s="714" customFormat="1" ht="17.399999999999999">
      <c r="A2" s="1474" t="str">
        <f>BIA!A11</f>
        <v>Tên công trình: Sửa chữa đường dây trung thế huyện Cẩm Mỹ năm 2020.</v>
      </c>
      <c r="B2" s="1474"/>
      <c r="C2" s="1474"/>
      <c r="D2" s="1474"/>
      <c r="E2" s="1474"/>
      <c r="F2" s="1474"/>
      <c r="G2" s="1474"/>
      <c r="H2" s="1474"/>
      <c r="I2" s="946"/>
      <c r="J2" s="946"/>
    </row>
    <row r="3" spans="1:14" s="714" customFormat="1" ht="17.399999999999999" hidden="1">
      <c r="A3" s="1472" t="str">
        <f>BIA!A14</f>
        <v>Mã số tài sản: 1.37013000.0001217; 1.37013000.0001215; 1.37013000.0001216.</v>
      </c>
      <c r="B3" s="1472"/>
      <c r="C3" s="1472"/>
      <c r="D3" s="1472"/>
      <c r="E3" s="1472"/>
      <c r="F3" s="1472"/>
      <c r="G3" s="1472"/>
      <c r="H3" s="1472"/>
      <c r="I3" s="944"/>
      <c r="J3" s="944"/>
    </row>
    <row r="4" spans="1:14" s="714" customFormat="1" ht="6" customHeight="1">
      <c r="A4" s="71"/>
      <c r="B4" s="715"/>
      <c r="C4" s="715"/>
      <c r="D4" s="716"/>
      <c r="E4" s="717"/>
      <c r="F4" s="717"/>
      <c r="G4" s="718"/>
      <c r="H4" s="718"/>
      <c r="I4" s="718"/>
      <c r="J4" s="718"/>
    </row>
    <row r="5" spans="1:14" s="719" customFormat="1" ht="33.6">
      <c r="A5" s="493" t="s">
        <v>181</v>
      </c>
      <c r="B5" s="493" t="s">
        <v>471</v>
      </c>
      <c r="C5" s="495" t="s">
        <v>14</v>
      </c>
      <c r="D5" s="496" t="s">
        <v>17</v>
      </c>
      <c r="E5" s="497" t="s">
        <v>472</v>
      </c>
      <c r="F5" s="497" t="s">
        <v>473</v>
      </c>
      <c r="G5" s="497" t="s">
        <v>474</v>
      </c>
      <c r="H5" s="497" t="s">
        <v>475</v>
      </c>
      <c r="I5" s="947"/>
      <c r="J5" s="947"/>
    </row>
    <row r="6" spans="1:14" s="719" customFormat="1" ht="16.8">
      <c r="A6" s="499" t="s">
        <v>21</v>
      </c>
      <c r="B6" s="500" t="s">
        <v>22</v>
      </c>
      <c r="C6" s="499" t="s">
        <v>23</v>
      </c>
      <c r="D6" s="501" t="s">
        <v>24</v>
      </c>
      <c r="E6" s="502" t="s">
        <v>25</v>
      </c>
      <c r="F6" s="502" t="s">
        <v>26</v>
      </c>
      <c r="G6" s="502" t="s">
        <v>476</v>
      </c>
      <c r="H6" s="502" t="s">
        <v>28</v>
      </c>
      <c r="I6" s="948"/>
      <c r="J6" s="948"/>
    </row>
    <row r="7" spans="1:14" s="720" customFormat="1" ht="15.6">
      <c r="A7" s="1342">
        <v>1</v>
      </c>
      <c r="B7" s="1343" t="s">
        <v>516</v>
      </c>
      <c r="C7" s="1344" t="s">
        <v>77</v>
      </c>
      <c r="D7" s="1362">
        <f>ROUND('BKe TT'!BB247*0.196,0)</f>
        <v>1985</v>
      </c>
      <c r="E7" s="1344">
        <v>10000</v>
      </c>
      <c r="F7" s="1346">
        <v>1</v>
      </c>
      <c r="G7" s="1347">
        <f t="shared" ref="G7:G41" si="0">ROUND((E7*D7),0)</f>
        <v>19850000</v>
      </c>
      <c r="H7" s="1348" t="s">
        <v>920</v>
      </c>
      <c r="I7" s="952">
        <f>'BKe TT'!BB247</f>
        <v>10128.299999999999</v>
      </c>
      <c r="J7" s="952">
        <f>I7*0.196</f>
        <v>1985.1468</v>
      </c>
      <c r="K7" s="720" t="s">
        <v>6</v>
      </c>
      <c r="L7" s="498"/>
      <c r="M7" s="721"/>
      <c r="N7" s="722"/>
    </row>
    <row r="8" spans="1:14" s="720" customFormat="1" ht="15.6">
      <c r="A8" s="1342">
        <f>A7+1</f>
        <v>2</v>
      </c>
      <c r="B8" s="1343" t="str">
        <f>'BKe TT'!BA5</f>
        <v>Bộ kẹp dừng dây AC 3U</v>
      </c>
      <c r="C8" s="1344" t="s">
        <v>157</v>
      </c>
      <c r="D8" s="1345">
        <f>'BKe TT'!BA247</f>
        <v>68</v>
      </c>
      <c r="E8" s="1344">
        <v>2000</v>
      </c>
      <c r="F8" s="1346">
        <v>1</v>
      </c>
      <c r="G8" s="1347">
        <f t="shared" si="0"/>
        <v>136000</v>
      </c>
      <c r="H8" s="1348"/>
      <c r="I8" s="949"/>
      <c r="J8" s="949"/>
      <c r="K8" s="720" t="s">
        <v>6</v>
      </c>
      <c r="L8" s="498"/>
      <c r="M8" s="721"/>
      <c r="N8" s="722"/>
    </row>
    <row r="9" spans="1:14" s="720" customFormat="1" ht="15.6">
      <c r="A9" s="1342">
        <f>A8+1</f>
        <v>3</v>
      </c>
      <c r="B9" s="1352" t="s">
        <v>363</v>
      </c>
      <c r="C9" s="1344" t="s">
        <v>488</v>
      </c>
      <c r="D9" s="1345">
        <f>'BKe TT'!BC247</f>
        <v>1</v>
      </c>
      <c r="E9" s="1344">
        <f>2500*13</f>
        <v>32500</v>
      </c>
      <c r="F9" s="1346">
        <v>1</v>
      </c>
      <c r="G9" s="1347">
        <f t="shared" si="0"/>
        <v>32500</v>
      </c>
      <c r="H9" s="1348"/>
      <c r="I9" s="949"/>
      <c r="J9" s="949"/>
      <c r="K9" s="720" t="s">
        <v>7</v>
      </c>
      <c r="L9" s="498"/>
      <c r="M9" s="721"/>
      <c r="N9" s="722"/>
    </row>
    <row r="10" spans="1:14" s="720" customFormat="1" ht="15.6">
      <c r="A10" s="1342">
        <f t="shared" ref="A10" si="1">A9+1</f>
        <v>4</v>
      </c>
      <c r="B10" s="1352" t="s">
        <v>915</v>
      </c>
      <c r="C10" s="1344" t="s">
        <v>33</v>
      </c>
      <c r="D10" s="1345">
        <f>'BKe TT'!BD247</f>
        <v>9</v>
      </c>
      <c r="E10" s="1344"/>
      <c r="F10" s="1346"/>
      <c r="G10" s="1347">
        <f t="shared" si="0"/>
        <v>0</v>
      </c>
      <c r="H10" s="1348"/>
      <c r="I10" s="949"/>
      <c r="J10" s="949"/>
      <c r="L10" s="498"/>
      <c r="M10" s="721"/>
      <c r="N10" s="722"/>
    </row>
    <row r="11" spans="1:14" s="1296" customFormat="1" ht="15.6">
      <c r="A11" s="1359"/>
      <c r="B11" s="1360" t="s">
        <v>839</v>
      </c>
      <c r="C11" s="1336" t="s">
        <v>157</v>
      </c>
      <c r="D11" s="1349">
        <f>D10</f>
        <v>9</v>
      </c>
      <c r="E11" s="1336">
        <v>50</v>
      </c>
      <c r="F11" s="1350">
        <v>1</v>
      </c>
      <c r="G11" s="1340">
        <f t="shared" si="0"/>
        <v>450</v>
      </c>
      <c r="H11" s="1361"/>
      <c r="I11" s="1295"/>
      <c r="J11" s="1295"/>
      <c r="L11" s="1297"/>
      <c r="M11" s="1298"/>
      <c r="N11" s="1299"/>
    </row>
    <row r="12" spans="1:14" s="1296" customFormat="1" ht="15.6">
      <c r="A12" s="798"/>
      <c r="B12" s="799" t="s">
        <v>840</v>
      </c>
      <c r="C12" s="800" t="s">
        <v>157</v>
      </c>
      <c r="D12" s="1301">
        <f>D10</f>
        <v>9</v>
      </c>
      <c r="E12" s="800">
        <v>15</v>
      </c>
      <c r="F12" s="801">
        <v>1</v>
      </c>
      <c r="G12" s="74">
        <f t="shared" si="0"/>
        <v>135</v>
      </c>
      <c r="H12" s="1293"/>
      <c r="I12" s="1295"/>
      <c r="J12" s="1295"/>
      <c r="L12" s="1297"/>
      <c r="M12" s="1298"/>
      <c r="N12" s="1299"/>
    </row>
    <row r="13" spans="1:14" s="1296" customFormat="1" ht="15.6">
      <c r="A13" s="798"/>
      <c r="B13" s="799" t="s">
        <v>916</v>
      </c>
      <c r="C13" s="800" t="s">
        <v>488</v>
      </c>
      <c r="D13" s="1301">
        <f>D10</f>
        <v>9</v>
      </c>
      <c r="E13" s="800">
        <v>1100</v>
      </c>
      <c r="F13" s="801">
        <v>1</v>
      </c>
      <c r="G13" s="74">
        <f t="shared" si="0"/>
        <v>9900</v>
      </c>
      <c r="H13" s="1293"/>
      <c r="I13" s="1295"/>
      <c r="J13" s="1295"/>
      <c r="L13" s="1297"/>
      <c r="M13" s="1298"/>
      <c r="N13" s="1299"/>
    </row>
    <row r="14" spans="1:14" s="1296" customFormat="1" ht="15.6">
      <c r="A14" s="798"/>
      <c r="B14" s="799" t="s">
        <v>917</v>
      </c>
      <c r="C14" s="800" t="s">
        <v>488</v>
      </c>
      <c r="D14" s="1301">
        <f>D10</f>
        <v>9</v>
      </c>
      <c r="E14" s="800">
        <v>800</v>
      </c>
      <c r="F14" s="801">
        <v>1</v>
      </c>
      <c r="G14" s="74">
        <f t="shared" si="0"/>
        <v>7200</v>
      </c>
      <c r="H14" s="1293"/>
      <c r="I14" s="1295"/>
      <c r="J14" s="1295"/>
      <c r="L14" s="1297"/>
      <c r="M14" s="1298"/>
      <c r="N14" s="1299"/>
    </row>
    <row r="15" spans="1:14" s="1296" customFormat="1" ht="15.6">
      <c r="A15" s="1354"/>
      <c r="B15" s="1355" t="s">
        <v>918</v>
      </c>
      <c r="C15" s="1329" t="s">
        <v>488</v>
      </c>
      <c r="D15" s="1330">
        <f>D10</f>
        <v>9</v>
      </c>
      <c r="E15" s="1329">
        <v>400</v>
      </c>
      <c r="F15" s="1331">
        <v>1</v>
      </c>
      <c r="G15" s="1332">
        <f t="shared" si="0"/>
        <v>3600</v>
      </c>
      <c r="H15" s="1356"/>
      <c r="I15" s="1295"/>
      <c r="J15" s="1295"/>
      <c r="L15" s="1297"/>
      <c r="M15" s="1298"/>
      <c r="N15" s="1299"/>
    </row>
    <row r="16" spans="1:14" s="720" customFormat="1" ht="15.6">
      <c r="A16" s="1342">
        <v>5</v>
      </c>
      <c r="B16" s="1343" t="str">
        <f>'BKe TT'!BE5</f>
        <v>Boulon D16-250</v>
      </c>
      <c r="C16" s="1344" t="s">
        <v>488</v>
      </c>
      <c r="D16" s="1345">
        <f>'BKe TT'!BE247</f>
        <v>136</v>
      </c>
      <c r="E16" s="1344">
        <v>800</v>
      </c>
      <c r="F16" s="1346">
        <v>1</v>
      </c>
      <c r="G16" s="1347">
        <f t="shared" si="0"/>
        <v>108800</v>
      </c>
      <c r="H16" s="1348"/>
      <c r="I16" s="949"/>
      <c r="J16" s="949"/>
      <c r="K16" s="720" t="s">
        <v>8</v>
      </c>
      <c r="L16" s="498"/>
      <c r="M16" s="721"/>
      <c r="N16" s="722"/>
    </row>
    <row r="17" spans="1:14" s="720" customFormat="1" ht="15.6">
      <c r="A17" s="1342">
        <f t="shared" ref="A17:A23" si="2">A16+1</f>
        <v>6</v>
      </c>
      <c r="B17" s="1343" t="str">
        <f>'BKe TT'!BF5</f>
        <v>Boulon D16-300</v>
      </c>
      <c r="C17" s="1344" t="s">
        <v>488</v>
      </c>
      <c r="D17" s="1358">
        <f>'BKe TT'!BF247</f>
        <v>172</v>
      </c>
      <c r="E17" s="1344">
        <v>1000</v>
      </c>
      <c r="F17" s="1346">
        <v>1</v>
      </c>
      <c r="G17" s="1347">
        <f t="shared" si="0"/>
        <v>172000</v>
      </c>
      <c r="H17" s="1348"/>
      <c r="I17" s="949"/>
      <c r="J17" s="949"/>
      <c r="K17" s="720" t="s">
        <v>8</v>
      </c>
      <c r="L17" s="498"/>
      <c r="M17" s="721" t="e">
        <f>#REF!*12</f>
        <v>#REF!</v>
      </c>
      <c r="N17" s="722"/>
    </row>
    <row r="18" spans="1:14" s="720" customFormat="1" ht="15.6">
      <c r="A18" s="1342">
        <f t="shared" si="2"/>
        <v>7</v>
      </c>
      <c r="B18" s="1343" t="str">
        <f>'BKe TT'!BH5</f>
        <v>Neo chằng DG</v>
      </c>
      <c r="C18" s="1344" t="s">
        <v>166</v>
      </c>
      <c r="D18" s="1345">
        <f>'BKe TT'!BH247</f>
        <v>106</v>
      </c>
      <c r="E18" s="1344">
        <f>100+2000*3.6+1600*8+1400</f>
        <v>21500</v>
      </c>
      <c r="F18" s="1346">
        <v>1</v>
      </c>
      <c r="G18" s="1347">
        <f t="shared" si="0"/>
        <v>2279000</v>
      </c>
      <c r="H18" s="1348"/>
      <c r="I18" s="949"/>
      <c r="J18" s="949"/>
      <c r="L18" s="498"/>
      <c r="M18" s="721"/>
      <c r="N18" s="722"/>
    </row>
    <row r="19" spans="1:14" s="720" customFormat="1" ht="15.6">
      <c r="A19" s="1342">
        <f t="shared" si="2"/>
        <v>8</v>
      </c>
      <c r="B19" s="1343" t="str">
        <f>'BKe TT'!BI5</f>
        <v>Neo chằng AG</v>
      </c>
      <c r="C19" s="1344" t="s">
        <v>166</v>
      </c>
      <c r="D19" s="1345">
        <f>'BKe TT'!BI247</f>
        <v>32</v>
      </c>
      <c r="E19" s="1344">
        <f>100+1600*8+8800+2000*3.5+1400+800</f>
        <v>30900</v>
      </c>
      <c r="F19" s="1346">
        <v>1</v>
      </c>
      <c r="G19" s="1347">
        <f t="shared" si="0"/>
        <v>988800</v>
      </c>
      <c r="H19" s="1348"/>
      <c r="I19" s="949"/>
      <c r="J19" s="949"/>
      <c r="K19" s="720">
        <f>288/9</f>
        <v>32</v>
      </c>
      <c r="L19" s="498">
        <f>80/5</f>
        <v>16</v>
      </c>
      <c r="M19" s="721">
        <f>10*365</f>
        <v>3650</v>
      </c>
      <c r="N19" s="722"/>
    </row>
    <row r="20" spans="1:14" s="802" customFormat="1" ht="15.6">
      <c r="A20" s="1342">
        <f t="shared" si="2"/>
        <v>9</v>
      </c>
      <c r="B20" s="1343" t="str">
        <f>'BKe TT'!BG5</f>
        <v>Neo chằng SG</v>
      </c>
      <c r="C20" s="1344" t="s">
        <v>166</v>
      </c>
      <c r="D20" s="1345">
        <f>'BKe TT'!BG247</f>
        <v>3</v>
      </c>
      <c r="E20" s="1344">
        <f>100+1600*8+7.2*2000+2*1400</f>
        <v>30100</v>
      </c>
      <c r="F20" s="1346">
        <v>1</v>
      </c>
      <c r="G20" s="1347">
        <f t="shared" si="0"/>
        <v>90300</v>
      </c>
      <c r="H20" s="1348"/>
      <c r="I20" s="949"/>
      <c r="J20" s="949"/>
      <c r="K20" s="720"/>
      <c r="L20" s="498"/>
      <c r="M20" s="721"/>
      <c r="N20" s="803"/>
    </row>
    <row r="21" spans="1:14" s="720" customFormat="1" ht="15.6">
      <c r="A21" s="1342">
        <f t="shared" si="2"/>
        <v>10</v>
      </c>
      <c r="B21" s="1343" t="str">
        <f>'BKe TT'!BL5</f>
        <v>Ty sứ đỉnh thẳng</v>
      </c>
      <c r="C21" s="1344" t="s">
        <v>157</v>
      </c>
      <c r="D21" s="1345">
        <f>'BKe TT'!BL247</f>
        <v>241</v>
      </c>
      <c r="E21" s="1344">
        <v>3000</v>
      </c>
      <c r="F21" s="1346">
        <v>1</v>
      </c>
      <c r="G21" s="1347">
        <f t="shared" si="0"/>
        <v>723000</v>
      </c>
      <c r="H21" s="1348"/>
      <c r="I21" s="949"/>
      <c r="J21" s="949"/>
      <c r="L21" s="498"/>
      <c r="M21" s="721"/>
      <c r="N21" s="722"/>
    </row>
    <row r="22" spans="1:14" s="802" customFormat="1" ht="15.6">
      <c r="A22" s="1342">
        <f t="shared" si="2"/>
        <v>11</v>
      </c>
      <c r="B22" s="1343" t="str">
        <f>'BKe TT'!BN5</f>
        <v>Sứ đứng</v>
      </c>
      <c r="C22" s="1344" t="s">
        <v>157</v>
      </c>
      <c r="D22" s="1345">
        <f>'BKe TT'!BN247</f>
        <v>8</v>
      </c>
      <c r="E22" s="1344">
        <v>100</v>
      </c>
      <c r="F22" s="1346">
        <v>1</v>
      </c>
      <c r="G22" s="1347">
        <f t="shared" si="0"/>
        <v>800</v>
      </c>
      <c r="H22" s="1348"/>
      <c r="I22" s="949"/>
      <c r="J22" s="949"/>
      <c r="K22" s="720"/>
      <c r="L22" s="498"/>
      <c r="M22" s="721"/>
      <c r="N22" s="803"/>
    </row>
    <row r="23" spans="1:14" s="720" customFormat="1" ht="15.6">
      <c r="A23" s="1342">
        <f t="shared" si="2"/>
        <v>12</v>
      </c>
      <c r="B23" s="1343" t="str">
        <f>'BKe TT'!BO5</f>
        <v>Bộ Sứ treo polymer bắt vào trụ</v>
      </c>
      <c r="C23" s="1344" t="s">
        <v>166</v>
      </c>
      <c r="D23" s="1345">
        <f>'BKe TT'!BO247</f>
        <v>59</v>
      </c>
      <c r="E23" s="1344"/>
      <c r="F23" s="1346"/>
      <c r="G23" s="1347">
        <f t="shared" si="0"/>
        <v>0</v>
      </c>
      <c r="H23" s="1348"/>
      <c r="I23" s="949"/>
      <c r="J23" s="949"/>
      <c r="L23" s="498"/>
      <c r="M23" s="721"/>
      <c r="N23" s="722"/>
    </row>
    <row r="24" spans="1:14" s="794" customFormat="1" ht="15.6">
      <c r="A24" s="1353"/>
      <c r="B24" s="1335" t="s">
        <v>919</v>
      </c>
      <c r="C24" s="1336" t="s">
        <v>157</v>
      </c>
      <c r="D24" s="1349">
        <f>D23</f>
        <v>59</v>
      </c>
      <c r="E24" s="1338">
        <v>100</v>
      </c>
      <c r="F24" s="1339">
        <v>1</v>
      </c>
      <c r="G24" s="1340">
        <f t="shared" si="0"/>
        <v>5900</v>
      </c>
      <c r="H24" s="1357"/>
      <c r="I24" s="998"/>
      <c r="J24" s="998"/>
      <c r="L24" s="795"/>
      <c r="M24" s="796"/>
      <c r="N24" s="797"/>
    </row>
    <row r="25" spans="1:14" s="794" customFormat="1" ht="15.6">
      <c r="A25" s="995"/>
      <c r="B25" s="996" t="s">
        <v>757</v>
      </c>
      <c r="C25" s="800" t="s">
        <v>157</v>
      </c>
      <c r="D25" s="1301">
        <f>D23</f>
        <v>59</v>
      </c>
      <c r="E25" s="72">
        <v>900</v>
      </c>
      <c r="F25" s="73">
        <v>1</v>
      </c>
      <c r="G25" s="74">
        <f t="shared" si="0"/>
        <v>53100</v>
      </c>
      <c r="H25" s="997"/>
      <c r="I25" s="998"/>
      <c r="J25" s="998"/>
      <c r="L25" s="795"/>
      <c r="M25" s="796"/>
      <c r="N25" s="797"/>
    </row>
    <row r="26" spans="1:14" s="720" customFormat="1" ht="15.6">
      <c r="A26" s="1327"/>
      <c r="B26" s="1328" t="s">
        <v>760</v>
      </c>
      <c r="C26" s="1329" t="s">
        <v>157</v>
      </c>
      <c r="D26" s="1330">
        <f>D23</f>
        <v>59</v>
      </c>
      <c r="E26" s="1329">
        <v>400</v>
      </c>
      <c r="F26" s="1331">
        <v>1</v>
      </c>
      <c r="G26" s="1332">
        <f t="shared" si="0"/>
        <v>23600</v>
      </c>
      <c r="H26" s="1333"/>
      <c r="I26" s="949"/>
      <c r="J26" s="949"/>
      <c r="L26" s="498"/>
      <c r="M26" s="721"/>
      <c r="N26" s="722"/>
    </row>
    <row r="27" spans="1:14" s="720" customFormat="1" ht="15.6">
      <c r="A27" s="1342">
        <f>A23+1</f>
        <v>13</v>
      </c>
      <c r="B27" s="1343" t="str">
        <f>'BKe TT'!BP5</f>
        <v>Bộ Sứ treo polymer bắt vào đà</v>
      </c>
      <c r="C27" s="1344" t="s">
        <v>166</v>
      </c>
      <c r="D27" s="1345">
        <f>'BKe TT'!BP247</f>
        <v>4</v>
      </c>
      <c r="E27" s="1344"/>
      <c r="F27" s="1346"/>
      <c r="G27" s="1347">
        <f t="shared" si="0"/>
        <v>0</v>
      </c>
      <c r="H27" s="1348"/>
      <c r="I27" s="949"/>
      <c r="J27" s="949"/>
      <c r="L27" s="498"/>
      <c r="M27" s="721"/>
      <c r="N27" s="722"/>
    </row>
    <row r="28" spans="1:14" s="720" customFormat="1" ht="15.6">
      <c r="A28" s="1353"/>
      <c r="B28" s="1335" t="s">
        <v>919</v>
      </c>
      <c r="C28" s="1336" t="s">
        <v>157</v>
      </c>
      <c r="D28" s="1349">
        <f>D27</f>
        <v>4</v>
      </c>
      <c r="E28" s="1338">
        <f>E24</f>
        <v>100</v>
      </c>
      <c r="F28" s="1339">
        <v>1</v>
      </c>
      <c r="G28" s="1340">
        <f t="shared" si="0"/>
        <v>400</v>
      </c>
      <c r="H28" s="1341"/>
      <c r="I28" s="949"/>
      <c r="J28" s="949"/>
      <c r="L28" s="498"/>
      <c r="M28" s="721"/>
      <c r="N28" s="722"/>
    </row>
    <row r="29" spans="1:14" s="720" customFormat="1" ht="15.6">
      <c r="A29" s="995"/>
      <c r="B29" s="996" t="s">
        <v>757</v>
      </c>
      <c r="C29" s="800" t="s">
        <v>157</v>
      </c>
      <c r="D29" s="1301">
        <f>D27</f>
        <v>4</v>
      </c>
      <c r="E29" s="800">
        <f>E25</f>
        <v>900</v>
      </c>
      <c r="F29" s="801">
        <v>1</v>
      </c>
      <c r="G29" s="74">
        <f t="shared" si="0"/>
        <v>3600</v>
      </c>
      <c r="H29" s="75"/>
      <c r="I29" s="949"/>
      <c r="J29" s="949"/>
      <c r="L29" s="498"/>
      <c r="M29" s="721"/>
      <c r="N29" s="722"/>
    </row>
    <row r="30" spans="1:14" s="720" customFormat="1" ht="15.6">
      <c r="A30" s="1327"/>
      <c r="B30" s="1328" t="s">
        <v>760</v>
      </c>
      <c r="C30" s="1329" t="s">
        <v>157</v>
      </c>
      <c r="D30" s="1330">
        <f>D27</f>
        <v>4</v>
      </c>
      <c r="E30" s="1329">
        <f>E26</f>
        <v>400</v>
      </c>
      <c r="F30" s="1331">
        <v>1</v>
      </c>
      <c r="G30" s="1332">
        <f t="shared" si="0"/>
        <v>1600</v>
      </c>
      <c r="H30" s="1333"/>
      <c r="I30" s="949"/>
      <c r="J30" s="949"/>
      <c r="L30" s="498"/>
      <c r="M30" s="721"/>
      <c r="N30" s="722"/>
    </row>
    <row r="31" spans="1:14" s="720" customFormat="1" ht="15.6">
      <c r="A31" s="1342">
        <f>A27+1</f>
        <v>14</v>
      </c>
      <c r="B31" s="1343" t="str">
        <f>'BKe TT'!BR5</f>
        <v>Bộ  sứ treo polymer (trụ F)</v>
      </c>
      <c r="C31" s="1344" t="s">
        <v>166</v>
      </c>
      <c r="D31" s="1345">
        <f>'BKe TT'!BR247</f>
        <v>4</v>
      </c>
      <c r="E31" s="1344"/>
      <c r="F31" s="1346"/>
      <c r="G31" s="1347">
        <f t="shared" si="0"/>
        <v>0</v>
      </c>
      <c r="H31" s="1348"/>
      <c r="I31" s="949"/>
      <c r="J31" s="949"/>
      <c r="L31" s="498"/>
      <c r="M31" s="721"/>
      <c r="N31" s="722"/>
    </row>
    <row r="32" spans="1:14" s="720" customFormat="1" ht="15.6">
      <c r="A32" s="1334"/>
      <c r="B32" s="1335" t="s">
        <v>919</v>
      </c>
      <c r="C32" s="1336" t="s">
        <v>157</v>
      </c>
      <c r="D32" s="1337">
        <f>D31</f>
        <v>4</v>
      </c>
      <c r="E32" s="1338">
        <f>E24</f>
        <v>100</v>
      </c>
      <c r="F32" s="1339"/>
      <c r="G32" s="1340">
        <f t="shared" si="0"/>
        <v>400</v>
      </c>
      <c r="H32" s="1341"/>
      <c r="I32" s="949"/>
      <c r="J32" s="949"/>
      <c r="L32" s="498"/>
      <c r="M32" s="721"/>
      <c r="N32" s="722"/>
    </row>
    <row r="33" spans="1:14" s="720" customFormat="1" ht="15.6">
      <c r="A33" s="723"/>
      <c r="B33" s="996" t="s">
        <v>757</v>
      </c>
      <c r="C33" s="800" t="s">
        <v>157</v>
      </c>
      <c r="D33" s="1301">
        <f>D31</f>
        <v>4</v>
      </c>
      <c r="E33" s="800">
        <f>E25</f>
        <v>900</v>
      </c>
      <c r="F33" s="801">
        <v>1</v>
      </c>
      <c r="G33" s="74">
        <f t="shared" si="0"/>
        <v>3600</v>
      </c>
      <c r="H33" s="75"/>
      <c r="I33" s="949"/>
      <c r="J33" s="949"/>
      <c r="L33" s="498"/>
      <c r="M33" s="721"/>
      <c r="N33" s="722"/>
    </row>
    <row r="34" spans="1:14" s="720" customFormat="1" ht="15.6">
      <c r="A34" s="723"/>
      <c r="B34" s="996" t="s">
        <v>760</v>
      </c>
      <c r="C34" s="800" t="s">
        <v>157</v>
      </c>
      <c r="D34" s="1301">
        <f>D31</f>
        <v>4</v>
      </c>
      <c r="E34" s="800">
        <f>E26</f>
        <v>400</v>
      </c>
      <c r="F34" s="801">
        <v>1</v>
      </c>
      <c r="G34" s="74">
        <f t="shared" si="0"/>
        <v>1600</v>
      </c>
      <c r="H34" s="75"/>
      <c r="I34" s="949"/>
      <c r="J34" s="949"/>
      <c r="L34" s="498"/>
      <c r="M34" s="721"/>
      <c r="N34" s="722"/>
    </row>
    <row r="35" spans="1:14" s="720" customFormat="1" ht="15.6">
      <c r="A35" s="1327"/>
      <c r="B35" s="1328" t="s">
        <v>761</v>
      </c>
      <c r="C35" s="1329" t="s">
        <v>157</v>
      </c>
      <c r="D35" s="1330">
        <f>D31</f>
        <v>4</v>
      </c>
      <c r="E35" s="1329">
        <v>1100</v>
      </c>
      <c r="F35" s="1331">
        <v>1</v>
      </c>
      <c r="G35" s="1332">
        <f t="shared" si="0"/>
        <v>4400</v>
      </c>
      <c r="H35" s="1333"/>
      <c r="I35" s="949"/>
      <c r="J35" s="949"/>
      <c r="L35" s="498"/>
      <c r="M35" s="721"/>
      <c r="N35" s="722"/>
    </row>
    <row r="36" spans="1:14" s="802" customFormat="1" ht="15.6">
      <c r="A36" s="1342">
        <f>A31+1</f>
        <v>15</v>
      </c>
      <c r="B36" s="1343" t="str">
        <f>'BKe TT'!BS5</f>
        <v>Cáp CXV25mm2</v>
      </c>
      <c r="C36" s="1344" t="s">
        <v>169</v>
      </c>
      <c r="D36" s="1351">
        <f>'BKe TT'!BS247</f>
        <v>21.5</v>
      </c>
      <c r="E36" s="1344">
        <f>0.541*20000</f>
        <v>10820</v>
      </c>
      <c r="F36" s="1346">
        <v>1</v>
      </c>
      <c r="G36" s="1347">
        <f t="shared" si="0"/>
        <v>232630</v>
      </c>
      <c r="H36" s="1348"/>
      <c r="I36" s="949"/>
      <c r="J36" s="949"/>
      <c r="K36" s="720"/>
      <c r="L36" s="498"/>
      <c r="M36" s="721"/>
      <c r="N36" s="803"/>
    </row>
    <row r="37" spans="1:14" s="720" customFormat="1" ht="15.6">
      <c r="A37" s="1342">
        <f t="shared" ref="A37" si="3">A36+1</f>
        <v>16</v>
      </c>
      <c r="B37" s="1343" t="str">
        <f>'BKe TT'!BK5</f>
        <v>Bộ dừng dây trung hòa</v>
      </c>
      <c r="C37" s="1344" t="s">
        <v>166</v>
      </c>
      <c r="D37" s="1345">
        <f>'BKe TT'!BK247</f>
        <v>52</v>
      </c>
      <c r="E37" s="1344"/>
      <c r="F37" s="1346">
        <v>1</v>
      </c>
      <c r="G37" s="1347">
        <f t="shared" si="0"/>
        <v>0</v>
      </c>
      <c r="H37" s="1348"/>
      <c r="I37" s="949"/>
      <c r="J37" s="949"/>
      <c r="L37" s="498"/>
      <c r="M37" s="721"/>
      <c r="N37" s="722"/>
    </row>
    <row r="38" spans="1:14" s="720" customFormat="1" ht="15.6">
      <c r="A38" s="1334"/>
      <c r="B38" s="1335" t="s">
        <v>756</v>
      </c>
      <c r="C38" s="1336" t="s">
        <v>157</v>
      </c>
      <c r="D38" s="1349">
        <f>D37</f>
        <v>52</v>
      </c>
      <c r="E38" s="1336">
        <v>2000</v>
      </c>
      <c r="F38" s="1350">
        <v>1</v>
      </c>
      <c r="G38" s="1340">
        <f t="shared" si="0"/>
        <v>104000</v>
      </c>
      <c r="H38" s="1341"/>
      <c r="I38" s="949"/>
      <c r="J38" s="949"/>
      <c r="L38" s="498"/>
      <c r="M38" s="721"/>
      <c r="N38" s="722"/>
    </row>
    <row r="39" spans="1:14" s="720" customFormat="1" ht="15.6">
      <c r="A39" s="1327"/>
      <c r="B39" s="1328" t="s">
        <v>757</v>
      </c>
      <c r="C39" s="1329" t="s">
        <v>157</v>
      </c>
      <c r="D39" s="1330">
        <f>D37</f>
        <v>52</v>
      </c>
      <c r="E39" s="1329">
        <f>E25</f>
        <v>900</v>
      </c>
      <c r="F39" s="1331">
        <v>1</v>
      </c>
      <c r="G39" s="1332">
        <f t="shared" si="0"/>
        <v>46800</v>
      </c>
      <c r="H39" s="1333"/>
      <c r="I39" s="949"/>
      <c r="J39" s="949"/>
      <c r="L39" s="498"/>
      <c r="M39" s="721"/>
      <c r="N39" s="722"/>
    </row>
    <row r="40" spans="1:14" s="720" customFormat="1" ht="15.6">
      <c r="A40" s="1342">
        <f>A37+1</f>
        <v>17</v>
      </c>
      <c r="B40" s="1352" t="s">
        <v>864</v>
      </c>
      <c r="C40" s="1344" t="s">
        <v>166</v>
      </c>
      <c r="D40" s="1345">
        <f>'BKe TT'!BW247</f>
        <v>4</v>
      </c>
      <c r="E40" s="1344">
        <v>1200</v>
      </c>
      <c r="F40" s="1346">
        <v>1</v>
      </c>
      <c r="G40" s="1347">
        <f t="shared" si="0"/>
        <v>4800</v>
      </c>
      <c r="H40" s="1348"/>
      <c r="I40" s="950"/>
      <c r="J40" s="950"/>
      <c r="K40" s="725"/>
      <c r="L40" s="498"/>
      <c r="M40" s="721"/>
      <c r="N40" s="722"/>
    </row>
    <row r="41" spans="1:14" s="720" customFormat="1" ht="15.6">
      <c r="A41" s="1342">
        <f>A40+1</f>
        <v>18</v>
      </c>
      <c r="B41" s="1352" t="s">
        <v>758</v>
      </c>
      <c r="C41" s="1344" t="s">
        <v>166</v>
      </c>
      <c r="D41" s="1345">
        <f>'BKe TT'!BV247</f>
        <v>6</v>
      </c>
      <c r="E41" s="1344">
        <v>1200</v>
      </c>
      <c r="F41" s="1346">
        <v>1</v>
      </c>
      <c r="G41" s="1347">
        <f t="shared" si="0"/>
        <v>7200</v>
      </c>
      <c r="H41" s="1348"/>
      <c r="I41" s="950"/>
      <c r="J41" s="950"/>
      <c r="K41" s="725"/>
      <c r="L41" s="498"/>
      <c r="M41" s="721"/>
      <c r="N41" s="722"/>
    </row>
    <row r="42" spans="1:14" s="724" customFormat="1" ht="15.6">
      <c r="A42" s="1342">
        <f>A41+1</f>
        <v>19</v>
      </c>
      <c r="B42" s="1343" t="s">
        <v>10</v>
      </c>
      <c r="C42" s="1344" t="s">
        <v>157</v>
      </c>
      <c r="D42" s="1345">
        <f>'BKe TT'!BT247</f>
        <v>48</v>
      </c>
      <c r="E42" s="1344">
        <v>3000</v>
      </c>
      <c r="F42" s="1346">
        <v>1</v>
      </c>
      <c r="G42" s="1347">
        <f>ROUND((E42*D42),0)</f>
        <v>144000</v>
      </c>
      <c r="H42" s="1348"/>
      <c r="I42" s="950"/>
      <c r="J42" s="950"/>
      <c r="K42" s="725"/>
      <c r="L42" s="498"/>
      <c r="M42" s="721"/>
      <c r="N42" s="722"/>
    </row>
    <row r="43" spans="1:14" s="724" customFormat="1" ht="15.6">
      <c r="A43" s="1342">
        <f>A42+1</f>
        <v>20</v>
      </c>
      <c r="B43" s="1343" t="s">
        <v>11</v>
      </c>
      <c r="C43" s="1344" t="s">
        <v>157</v>
      </c>
      <c r="D43" s="1345">
        <f>D42</f>
        <v>48</v>
      </c>
      <c r="E43" s="1344">
        <v>1000</v>
      </c>
      <c r="F43" s="1346">
        <v>1</v>
      </c>
      <c r="G43" s="1347">
        <f t="shared" ref="G43" si="4">ROUND((E43*D43),0)</f>
        <v>48000</v>
      </c>
      <c r="H43" s="1348"/>
      <c r="I43" s="950"/>
      <c r="J43" s="950"/>
      <c r="K43" s="725"/>
      <c r="L43" s="498"/>
      <c r="M43" s="721"/>
      <c r="N43" s="722"/>
    </row>
    <row r="44" spans="1:14" s="719" customFormat="1" ht="16.8">
      <c r="A44" s="726"/>
      <c r="B44" s="727" t="s">
        <v>527</v>
      </c>
      <c r="C44" s="728"/>
      <c r="D44" s="728"/>
      <c r="E44" s="729"/>
      <c r="F44" s="728"/>
      <c r="G44" s="788">
        <f>SUM(G7:G43)</f>
        <v>25088115</v>
      </c>
      <c r="H44" s="730"/>
      <c r="I44" s="951"/>
      <c r="J44" s="951"/>
      <c r="K44" s="731"/>
      <c r="L44" s="732"/>
      <c r="M44" s="732"/>
      <c r="N44" s="732"/>
    </row>
    <row r="45" spans="1:14" ht="13.8" hidden="1">
      <c r="A45" s="544"/>
      <c r="C45" s="733"/>
      <c r="D45" s="733"/>
      <c r="E45" s="734"/>
      <c r="F45" s="733"/>
      <c r="G45" s="733"/>
      <c r="H45" s="733"/>
      <c r="I45" s="733"/>
      <c r="J45" s="733"/>
    </row>
    <row r="46" spans="1:14" ht="15.6">
      <c r="A46" s="494" t="s">
        <v>469</v>
      </c>
      <c r="C46" s="733"/>
      <c r="D46" s="733"/>
      <c r="E46" s="733"/>
      <c r="F46" s="733"/>
      <c r="G46" s="733"/>
      <c r="H46" s="733"/>
      <c r="I46" s="733"/>
      <c r="J46" s="733"/>
    </row>
    <row r="47" spans="1:14" ht="15.6">
      <c r="A47" s="494" t="s">
        <v>470</v>
      </c>
      <c r="C47" s="733"/>
      <c r="D47" s="733"/>
      <c r="E47" s="733"/>
      <c r="F47" s="733"/>
      <c r="G47" s="733"/>
      <c r="H47" s="733"/>
      <c r="I47" s="733"/>
      <c r="J47" s="733"/>
    </row>
    <row r="48" spans="1:14">
      <c r="C48" s="733"/>
      <c r="D48" s="733"/>
      <c r="E48" s="733"/>
      <c r="F48" s="733"/>
      <c r="G48" s="733"/>
      <c r="H48" s="733"/>
      <c r="I48" s="733"/>
      <c r="J48" s="733"/>
    </row>
    <row r="49" spans="3:10">
      <c r="C49" s="733"/>
      <c r="D49" s="733"/>
      <c r="E49" s="733"/>
      <c r="F49" s="733"/>
      <c r="G49" s="733"/>
      <c r="H49" s="733"/>
      <c r="I49" s="733"/>
      <c r="J49" s="733"/>
    </row>
    <row r="50" spans="3:10">
      <c r="C50" s="733"/>
      <c r="D50" s="733"/>
      <c r="E50" s="733"/>
      <c r="F50" s="733"/>
      <c r="G50" s="733"/>
      <c r="H50" s="733"/>
      <c r="I50" s="733"/>
      <c r="J50" s="733"/>
    </row>
    <row r="51" spans="3:10">
      <c r="C51" s="733"/>
      <c r="D51" s="733"/>
      <c r="E51" s="733"/>
      <c r="F51" s="733"/>
      <c r="G51" s="733"/>
      <c r="H51" s="733"/>
      <c r="I51" s="733"/>
      <c r="J51" s="733"/>
    </row>
    <row r="52" spans="3:10">
      <c r="C52" s="733"/>
      <c r="D52" s="733"/>
      <c r="E52" s="733"/>
      <c r="F52" s="733"/>
      <c r="G52" s="733"/>
      <c r="H52" s="733"/>
      <c r="I52" s="733"/>
      <c r="J52" s="733"/>
    </row>
    <row r="53" spans="3:10">
      <c r="C53" s="733"/>
      <c r="D53" s="733"/>
      <c r="E53" s="733"/>
      <c r="F53" s="733"/>
      <c r="G53" s="733"/>
      <c r="H53" s="733"/>
      <c r="I53" s="733"/>
      <c r="J53" s="733"/>
    </row>
    <row r="54" spans="3:10">
      <c r="C54" s="733"/>
      <c r="D54" s="733"/>
      <c r="E54" s="733"/>
      <c r="F54" s="733"/>
      <c r="G54" s="733"/>
      <c r="H54" s="733"/>
      <c r="I54" s="733"/>
      <c r="J54" s="733"/>
    </row>
    <row r="55" spans="3:10">
      <c r="C55" s="733"/>
      <c r="D55" s="733"/>
      <c r="E55" s="733"/>
      <c r="F55" s="733"/>
      <c r="G55" s="733"/>
      <c r="H55" s="733"/>
      <c r="I55" s="733"/>
      <c r="J55" s="733"/>
    </row>
    <row r="56" spans="3:10">
      <c r="C56" s="733"/>
      <c r="D56" s="733"/>
      <c r="E56" s="733"/>
      <c r="F56" s="733"/>
      <c r="G56" s="733"/>
      <c r="H56" s="733"/>
      <c r="I56" s="733"/>
      <c r="J56" s="733"/>
    </row>
    <row r="57" spans="3:10">
      <c r="C57" s="733"/>
      <c r="D57" s="733"/>
      <c r="E57" s="733"/>
      <c r="F57" s="733"/>
      <c r="G57" s="733"/>
      <c r="H57" s="733"/>
      <c r="I57" s="733"/>
      <c r="J57" s="733"/>
    </row>
    <row r="58" spans="3:10">
      <c r="C58" s="733"/>
      <c r="D58" s="733"/>
      <c r="E58" s="733"/>
      <c r="F58" s="733"/>
      <c r="G58" s="733"/>
      <c r="H58" s="733"/>
      <c r="I58" s="733"/>
      <c r="J58" s="733"/>
    </row>
    <row r="59" spans="3:10">
      <c r="C59" s="733"/>
      <c r="D59" s="733"/>
      <c r="E59" s="733"/>
      <c r="F59" s="733"/>
      <c r="G59" s="733"/>
      <c r="H59" s="733"/>
      <c r="I59" s="733"/>
      <c r="J59" s="733"/>
    </row>
    <row r="60" spans="3:10">
      <c r="C60" s="733"/>
      <c r="D60" s="733"/>
      <c r="E60" s="733"/>
      <c r="F60" s="733"/>
      <c r="G60" s="733"/>
      <c r="H60" s="733"/>
      <c r="I60" s="733"/>
      <c r="J60" s="733"/>
    </row>
    <row r="61" spans="3:10">
      <c r="C61" s="733"/>
      <c r="D61" s="733"/>
      <c r="E61" s="733"/>
      <c r="F61" s="733"/>
      <c r="G61" s="733"/>
      <c r="H61" s="733"/>
      <c r="I61" s="733"/>
      <c r="J61" s="733"/>
    </row>
    <row r="62" spans="3:10">
      <c r="C62" s="733"/>
      <c r="D62" s="733"/>
      <c r="E62" s="733"/>
      <c r="F62" s="733"/>
      <c r="G62" s="733"/>
      <c r="H62" s="733"/>
      <c r="I62" s="733"/>
      <c r="J62" s="733"/>
    </row>
    <row r="79" spans="4:4">
      <c r="D79" s="736"/>
    </row>
    <row r="80" spans="4:4">
      <c r="D80" s="739"/>
    </row>
  </sheetData>
  <mergeCells count="3">
    <mergeCell ref="A1:H1"/>
    <mergeCell ref="A2:H2"/>
    <mergeCell ref="A3:H3"/>
  </mergeCells>
  <phoneticPr fontId="31" type="noConversion"/>
  <printOptions horizontalCentered="1"/>
  <pageMargins left="0.74803149606299213" right="0.74803149606299213" top="0.98425196850393704" bottom="0.47244094488188981" header="0.51181102362204722" footer="0.51181102362204722"/>
  <pageSetup paperSize="9" scale="87" fitToHeight="0" orientation="landscape" blackAndWhite="1" r:id="rId1"/>
  <headerFooter alignWithMargins="0"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8"/>
  <dimension ref="A1:L34"/>
  <sheetViews>
    <sheetView showGridLines="0" showZeros="0" view="pageBreakPreview" zoomScale="130" zoomScaleNormal="100" zoomScaleSheetLayoutView="130" workbookViewId="0">
      <selection activeCell="B20" sqref="B20"/>
    </sheetView>
  </sheetViews>
  <sheetFormatPr defaultColWidth="9.109375" defaultRowHeight="13.2" outlineLevelRow="1"/>
  <cols>
    <col min="1" max="1" width="10.33203125" style="6" customWidth="1"/>
    <col min="2" max="2" width="78.6640625" style="1" customWidth="1"/>
    <col min="3" max="3" width="22.5546875" style="1" customWidth="1"/>
    <col min="4" max="4" width="8" style="1" bestFit="1" customWidth="1"/>
    <col min="5" max="5" width="7" style="6" bestFit="1" customWidth="1"/>
    <col min="6" max="6" width="7" style="1" bestFit="1" customWidth="1"/>
    <col min="7" max="16384" width="9.109375" style="1"/>
  </cols>
  <sheetData>
    <row r="1" spans="1:12" outlineLevel="1">
      <c r="F1" s="1" t="s">
        <v>90</v>
      </c>
      <c r="G1" s="1" t="s">
        <v>184</v>
      </c>
      <c r="H1" s="277"/>
    </row>
    <row r="2" spans="1:12" s="30" customFormat="1" ht="15.6">
      <c r="A2" s="1475" t="s">
        <v>633</v>
      </c>
      <c r="B2" s="1475"/>
      <c r="C2" s="1475"/>
      <c r="E2" s="35"/>
      <c r="L2" s="36"/>
    </row>
    <row r="3" spans="1:12" s="30" customFormat="1" ht="30" customHeight="1">
      <c r="A3" s="1478" t="s">
        <v>735</v>
      </c>
      <c r="B3" s="1478"/>
      <c r="C3" s="1478"/>
      <c r="E3" s="35"/>
      <c r="L3" s="36"/>
    </row>
    <row r="4" spans="1:12" s="30" customFormat="1" ht="15.6">
      <c r="A4" s="1476" t="str">
        <f>BIA!A11</f>
        <v>Tên công trình: Sửa chữa đường dây trung thế huyện Cẩm Mỹ năm 2020.</v>
      </c>
      <c r="B4" s="1476"/>
      <c r="C4" s="1476"/>
      <c r="E4" s="35"/>
      <c r="L4" s="36"/>
    </row>
    <row r="5" spans="1:12" s="30" customFormat="1" ht="15.6" hidden="1">
      <c r="A5" s="1477" t="str">
        <f>BIA!A14</f>
        <v>Mã số tài sản: 1.37013000.0001217; 1.37013000.0001215; 1.37013000.0001216.</v>
      </c>
      <c r="B5" s="1477"/>
      <c r="C5" s="1477"/>
      <c r="E5" s="35"/>
      <c r="L5" s="36"/>
    </row>
    <row r="6" spans="1:12" s="30" customFormat="1" ht="15.6" hidden="1" outlineLevel="1">
      <c r="A6" s="37" t="s">
        <v>56</v>
      </c>
      <c r="B6" s="31" t="s">
        <v>55</v>
      </c>
      <c r="C6" s="7"/>
      <c r="E6" s="35">
        <f>E17</f>
        <v>1</v>
      </c>
    </row>
    <row r="7" spans="1:12" s="30" customFormat="1" ht="15" hidden="1" outlineLevel="1">
      <c r="A7" s="208" t="s">
        <v>134</v>
      </c>
      <c r="B7" s="70" t="s">
        <v>57</v>
      </c>
      <c r="C7" s="10"/>
      <c r="E7" s="38">
        <f>E8</f>
        <v>1</v>
      </c>
    </row>
    <row r="8" spans="1:12" s="295" customFormat="1" hidden="1" outlineLevel="1">
      <c r="A8" s="294">
        <f>ROUND(('BKe TT'!M247+'BKe TT'!N247)/10,0)</f>
        <v>2</v>
      </c>
      <c r="B8" s="295" t="str">
        <f>" chuyeán x 10 taán x 80km x6091 ñ x 1,3"</f>
        <v xml:space="preserve"> chuyeán x 10 taán x 80km x6091 ñ x 1,3</v>
      </c>
      <c r="C8" s="296">
        <f>A8*10*80*609*1.3</f>
        <v>1266720</v>
      </c>
      <c r="E8" s="297">
        <f>+IF(C8&lt;&gt;0,1,"")</f>
        <v>1</v>
      </c>
    </row>
    <row r="9" spans="1:12" s="29" customFormat="1" hidden="1" outlineLevel="1">
      <c r="A9" s="208" t="s">
        <v>39</v>
      </c>
      <c r="B9" t="s">
        <v>58</v>
      </c>
      <c r="C9" s="39"/>
      <c r="E9" s="40">
        <f>E10</f>
        <v>1</v>
      </c>
    </row>
    <row r="10" spans="1:12" s="29" customFormat="1" hidden="1" outlineLevel="1">
      <c r="A10" s="78">
        <f>ROUND(('BKe TT'!I247/1000),0)</f>
        <v>12</v>
      </c>
      <c r="B10" t="s">
        <v>348</v>
      </c>
      <c r="C10" s="39">
        <f>A10*5*80*609*1.3</f>
        <v>3800160</v>
      </c>
      <c r="E10" s="40">
        <f>+IF(C10&lt;&gt;0,1,"")</f>
        <v>1</v>
      </c>
    </row>
    <row r="11" spans="1:12" s="29" customFormat="1" hidden="1" outlineLevel="1">
      <c r="A11" s="208" t="s">
        <v>41</v>
      </c>
      <c r="B11" s="29" t="s">
        <v>98</v>
      </c>
      <c r="C11" s="39"/>
      <c r="E11" s="40">
        <f>E12</f>
        <v>1</v>
      </c>
    </row>
    <row r="12" spans="1:12" s="29" customFormat="1" hidden="1" outlineLevel="1">
      <c r="A12" s="78">
        <f>ROUND((A8+A10)/2,0)</f>
        <v>7</v>
      </c>
      <c r="B12" t="s">
        <v>330</v>
      </c>
      <c r="C12" s="39">
        <f>A12*576940*0.05*1.16</f>
        <v>234237.63999999998</v>
      </c>
      <c r="E12" s="40">
        <f>+IF(C12&lt;&gt;0,1,"")</f>
        <v>1</v>
      </c>
    </row>
    <row r="13" spans="1:12" s="29" customFormat="1" hidden="1" outlineLevel="1">
      <c r="A13" s="208" t="s">
        <v>111</v>
      </c>
      <c r="B13" s="29" t="s">
        <v>106</v>
      </c>
      <c r="C13" s="39"/>
      <c r="E13" s="40">
        <f>E14</f>
        <v>1</v>
      </c>
    </row>
    <row r="14" spans="1:12" s="29" customFormat="1" hidden="1" outlineLevel="1">
      <c r="A14" s="78">
        <f>A8</f>
        <v>2</v>
      </c>
      <c r="B14" t="s">
        <v>331</v>
      </c>
      <c r="C14" s="41">
        <f>A14*576940*0.05*1.16</f>
        <v>66925.039999999994</v>
      </c>
      <c r="E14" s="40">
        <f>+IF(C14&lt;&gt;0,1,"")</f>
        <v>1</v>
      </c>
    </row>
    <row r="15" spans="1:12" s="29" customFormat="1" hidden="1" outlineLevel="1">
      <c r="A15" s="208" t="s">
        <v>180</v>
      </c>
      <c r="B15" s="29" t="s">
        <v>137</v>
      </c>
      <c r="C15" s="39"/>
      <c r="E15" s="40">
        <f>E16</f>
        <v>1</v>
      </c>
    </row>
    <row r="16" spans="1:12" s="29" customFormat="1" hidden="1" outlineLevel="1">
      <c r="A16" s="78">
        <f>A10+A8</f>
        <v>14</v>
      </c>
      <c r="B16" t="s">
        <v>271</v>
      </c>
      <c r="C16" s="39">
        <f>A16*25000</f>
        <v>350000</v>
      </c>
      <c r="E16" s="40">
        <f>+IF(C16&lt;&gt;0,1,"")</f>
        <v>1</v>
      </c>
    </row>
    <row r="17" spans="1:8" s="29" customFormat="1" hidden="1" outlineLevel="1">
      <c r="A17" s="209"/>
      <c r="B17" s="42" t="s">
        <v>61</v>
      </c>
      <c r="C17" s="43">
        <f>SUM(C7:C16)</f>
        <v>5718042.6799999997</v>
      </c>
      <c r="E17" s="40">
        <f>+IF(C17&lt;&gt;0,1,"")</f>
        <v>1</v>
      </c>
    </row>
    <row r="18" spans="1:8" s="213" customFormat="1" ht="15.6" collapsed="1">
      <c r="A18" s="673" t="s">
        <v>56</v>
      </c>
      <c r="B18" s="674" t="s">
        <v>529</v>
      </c>
      <c r="C18" s="675"/>
      <c r="E18" s="672">
        <f>E17</f>
        <v>1</v>
      </c>
    </row>
    <row r="19" spans="1:8" s="213" customFormat="1" ht="15.6">
      <c r="A19" s="669" t="s">
        <v>134</v>
      </c>
      <c r="B19" s="670" t="s">
        <v>528</v>
      </c>
      <c r="C19" s="671"/>
      <c r="E19" s="672">
        <f>E18</f>
        <v>1</v>
      </c>
    </row>
    <row r="20" spans="1:8" s="213" customFormat="1" outlineLevel="1">
      <c r="A20" s="676">
        <v>3</v>
      </c>
      <c r="B20" s="213" t="str">
        <f>" chuyến x 10 tấn x 35km x 1057 đ x 1,3"</f>
        <v xml:space="preserve"> chuyến x 10 tấn x 35km x 1057 đ x 1,3</v>
      </c>
      <c r="C20" s="677">
        <f>ROUND(A20*10*35*1057*1.3,0)</f>
        <v>1442805</v>
      </c>
      <c r="E20" s="672">
        <f>E29</f>
        <v>1</v>
      </c>
    </row>
    <row r="21" spans="1:8" s="213" customFormat="1" outlineLevel="1">
      <c r="A21" s="669" t="s">
        <v>39</v>
      </c>
      <c r="B21" s="213" t="s">
        <v>530</v>
      </c>
      <c r="C21" s="677"/>
      <c r="E21" s="678">
        <f>E22</f>
        <v>1</v>
      </c>
    </row>
    <row r="22" spans="1:8" s="213" customFormat="1" outlineLevel="1">
      <c r="A22" s="679">
        <v>5</v>
      </c>
      <c r="B22" s="213" t="s">
        <v>734</v>
      </c>
      <c r="C22" s="677">
        <f>ROUND(A22*5*35*1057*1.3,0)</f>
        <v>1202338</v>
      </c>
      <c r="E22" s="678">
        <f>+IF(C22&lt;&gt;0,1,"")</f>
        <v>1</v>
      </c>
    </row>
    <row r="23" spans="1:8" s="213" customFormat="1" hidden="1" outlineLevel="1">
      <c r="A23" s="669" t="s">
        <v>41</v>
      </c>
      <c r="B23" s="213" t="s">
        <v>531</v>
      </c>
      <c r="C23" s="677"/>
      <c r="E23" s="678" t="str">
        <f>E24</f>
        <v/>
      </c>
    </row>
    <row r="24" spans="1:8" s="213" customFormat="1" hidden="1" outlineLevel="1">
      <c r="A24" s="679">
        <v>10</v>
      </c>
      <c r="B24" s="213" t="s">
        <v>648</v>
      </c>
      <c r="C24" s="677">
        <f>ROUND(A24*576940*0.05,0)*0</f>
        <v>0</v>
      </c>
      <c r="E24" s="678" t="str">
        <f>+IF(C24&lt;&gt;0,1,"")</f>
        <v/>
      </c>
    </row>
    <row r="25" spans="1:8" s="213" customFormat="1" hidden="1" outlineLevel="1">
      <c r="A25" s="669" t="s">
        <v>111</v>
      </c>
      <c r="B25" s="213" t="s">
        <v>532</v>
      </c>
      <c r="C25" s="677"/>
      <c r="E25" s="678" t="str">
        <f>E26</f>
        <v/>
      </c>
    </row>
    <row r="26" spans="1:8" s="213" customFormat="1" hidden="1" outlineLevel="1">
      <c r="A26" s="679">
        <f>1.3*9</f>
        <v>11.700000000000001</v>
      </c>
      <c r="B26" s="213" t="s">
        <v>648</v>
      </c>
      <c r="C26" s="552">
        <f>ROUND(A26*576940*0.05,0)*0</f>
        <v>0</v>
      </c>
      <c r="E26" s="678" t="str">
        <f>+IF(C26&lt;&gt;0,1,"")</f>
        <v/>
      </c>
    </row>
    <row r="27" spans="1:8" s="213" customFormat="1" hidden="1" outlineLevel="1">
      <c r="A27" s="669" t="s">
        <v>180</v>
      </c>
      <c r="B27" s="213" t="s">
        <v>533</v>
      </c>
      <c r="C27" s="677"/>
      <c r="E27" s="678" t="str">
        <f>E28</f>
        <v/>
      </c>
    </row>
    <row r="28" spans="1:8" s="213" customFormat="1" hidden="1" outlineLevel="1">
      <c r="A28" s="679">
        <v>7</v>
      </c>
      <c r="B28" s="213" t="s">
        <v>534</v>
      </c>
      <c r="C28" s="677">
        <f>ROUND(A28*25000,0)*0</f>
        <v>0</v>
      </c>
      <c r="E28" s="678" t="str">
        <f>+IF(C28&lt;&gt;0,1,"")</f>
        <v/>
      </c>
    </row>
    <row r="29" spans="1:8" s="213" customFormat="1" outlineLevel="1">
      <c r="A29" s="672"/>
      <c r="B29" s="680" t="s">
        <v>578</v>
      </c>
      <c r="C29" s="789">
        <f>ROUND(SUM(C19:C28),0)</f>
        <v>2645143</v>
      </c>
      <c r="E29" s="678">
        <f>+IF(C29&lt;&gt;0,1,"")</f>
        <v>1</v>
      </c>
    </row>
    <row r="30" spans="1:8">
      <c r="C30" s="1">
        <f>1.3*('BKe TT'!M247+'BKe TT'!N247)</f>
        <v>24.7</v>
      </c>
      <c r="D30" s="1">
        <f>33/25</f>
        <v>1.32</v>
      </c>
    </row>
    <row r="31" spans="1:8">
      <c r="C31" s="1" t="e">
        <f>0.734*'3.TH CHI TIET'!#REF!+500*'3.TH CHI TIET'!#REF!/1000</f>
        <v>#REF!</v>
      </c>
      <c r="D31" s="1" t="e">
        <f>26.55*'3.TH CHI TIET'!#REF!</f>
        <v>#REF!</v>
      </c>
      <c r="E31" s="6" t="e">
        <f>51.57*'3.TH CHI TIET'!#REF!</f>
        <v>#REF!</v>
      </c>
      <c r="F31" s="1" t="e">
        <f>56.95*('3.TH CHI TIET'!#REF!+'3.TH CHI TIET'!#REF!)</f>
        <v>#REF!</v>
      </c>
      <c r="G31" s="1" t="e">
        <f>29.42*'3.TH CHI TIET'!#REF!</f>
        <v>#REF!</v>
      </c>
      <c r="H31" s="1" t="e">
        <f>58.97*'3.TH CHI TIET'!#REF!</f>
        <v>#REF!</v>
      </c>
    </row>
    <row r="32" spans="1:8">
      <c r="C32" s="1" t="e">
        <f>SUM(C31:F31)</f>
        <v>#REF!</v>
      </c>
    </row>
    <row r="33" spans="3:5">
      <c r="C33" s="1" t="e">
        <f>C32/5000</f>
        <v>#REF!</v>
      </c>
      <c r="D33" s="1">
        <f>45000/160</f>
        <v>281.25</v>
      </c>
      <c r="E33" s="6">
        <f>D33/4</f>
        <v>70.3125</v>
      </c>
    </row>
    <row r="34" spans="3:5">
      <c r="E34" s="6">
        <f>2000000000/45000</f>
        <v>44444.444444444445</v>
      </c>
    </row>
  </sheetData>
  <dataConsolidate/>
  <mergeCells count="4">
    <mergeCell ref="A2:C2"/>
    <mergeCell ref="A4:C4"/>
    <mergeCell ref="A5:C5"/>
    <mergeCell ref="A3:C3"/>
  </mergeCells>
  <phoneticPr fontId="0" type="noConversion"/>
  <printOptions horizontalCentered="1"/>
  <pageMargins left="0.47244094488188981" right="0.23622047244094491" top="0.86614173228346458" bottom="0.70866141732283472" header="0.23622047244094491" footer="0.23622047244094491"/>
  <pageSetup paperSize="9" scale="96" orientation="portrait" blackAndWhite="1" useFirstPageNumber="1" r:id="rId1"/>
  <headerFooter alignWithMargins="0"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2">
    <pageSetUpPr fitToPage="1"/>
  </sheetPr>
  <dimension ref="A1:CB259"/>
  <sheetViews>
    <sheetView showGridLines="0" showZeros="0" tabSelected="1" view="pageBreakPreview" topLeftCell="A229" zoomScale="50" zoomScaleNormal="57" zoomScaleSheetLayoutView="50" workbookViewId="0">
      <selection activeCell="I248" sqref="I248"/>
    </sheetView>
  </sheetViews>
  <sheetFormatPr defaultColWidth="9.109375" defaultRowHeight="18"/>
  <cols>
    <col min="1" max="4" width="9.109375" style="843"/>
    <col min="5" max="5" width="15.33203125" style="843" customWidth="1"/>
    <col min="6" max="6" width="11.109375" style="843" customWidth="1"/>
    <col min="7" max="7" width="11.109375" style="843" bestFit="1" customWidth="1"/>
    <col min="8" max="9" width="16.5546875" style="843" bestFit="1" customWidth="1"/>
    <col min="10" max="10" width="18.109375" style="843" bestFit="1" customWidth="1"/>
    <col min="11" max="11" width="18.109375" style="843" customWidth="1"/>
    <col min="12" max="12" width="14" style="843" bestFit="1" customWidth="1"/>
    <col min="13" max="13" width="9" style="1188" bestFit="1" customWidth="1"/>
    <col min="14" max="14" width="8.6640625" style="843" hidden="1" customWidth="1"/>
    <col min="15" max="15" width="12.33203125" style="843" customWidth="1"/>
    <col min="16" max="18" width="8.109375" style="843" bestFit="1" customWidth="1"/>
    <col min="19" max="19" width="8" style="843" bestFit="1" customWidth="1"/>
    <col min="20" max="21" width="8.109375" style="843" bestFit="1" customWidth="1"/>
    <col min="22" max="22" width="8" style="843" customWidth="1"/>
    <col min="23" max="23" width="9.5546875" style="843" bestFit="1" customWidth="1"/>
    <col min="24" max="24" width="8.109375" style="843" bestFit="1" customWidth="1"/>
    <col min="25" max="25" width="9" style="843" customWidth="1"/>
    <col min="26" max="26" width="8.109375" style="843" bestFit="1" customWidth="1"/>
    <col min="27" max="27" width="8.33203125" style="843" customWidth="1"/>
    <col min="28" max="30" width="8.109375" style="843" bestFit="1" customWidth="1"/>
    <col min="31" max="31" width="8.109375" style="843" customWidth="1"/>
    <col min="32" max="32" width="10.33203125" style="843" bestFit="1" customWidth="1"/>
    <col min="33" max="34" width="8.109375" style="843" bestFit="1" customWidth="1"/>
    <col min="35" max="35" width="7.6640625" style="843" hidden="1" customWidth="1"/>
    <col min="36" max="36" width="8.109375" style="844" bestFit="1" customWidth="1"/>
    <col min="37" max="38" width="7.6640625" style="844" customWidth="1"/>
    <col min="39" max="42" width="8.109375" style="844" bestFit="1" customWidth="1"/>
    <col min="43" max="44" width="7.88671875" style="844" customWidth="1"/>
    <col min="45" max="45" width="8.109375" style="843" bestFit="1" customWidth="1"/>
    <col min="46" max="46" width="8.109375" style="843" customWidth="1"/>
    <col min="47" max="47" width="8.44140625" style="843" customWidth="1"/>
    <col min="48" max="48" width="8.109375" style="843" bestFit="1" customWidth="1"/>
    <col min="49" max="49" width="10.109375" style="843" bestFit="1" customWidth="1"/>
    <col min="50" max="50" width="10.109375" style="843" customWidth="1"/>
    <col min="51" max="51" width="9.5546875" style="843" customWidth="1"/>
    <col min="52" max="52" width="8.109375" style="843" customWidth="1"/>
    <col min="53" max="53" width="8" style="843" customWidth="1"/>
    <col min="54" max="54" width="15.109375" style="845" customWidth="1"/>
    <col min="55" max="55" width="8.44140625" style="843" customWidth="1"/>
    <col min="56" max="56" width="7.88671875" style="843" customWidth="1"/>
    <col min="57" max="57" width="8.109375" style="843" bestFit="1" customWidth="1"/>
    <col min="58" max="58" width="8.109375" style="843" customWidth="1"/>
    <col min="59" max="59" width="7" style="843" customWidth="1"/>
    <col min="60" max="60" width="8.109375" style="843" customWidth="1"/>
    <col min="61" max="61" width="7" style="843" customWidth="1"/>
    <col min="62" max="62" width="10.109375" style="843" hidden="1" customWidth="1"/>
    <col min="63" max="63" width="8.109375" style="843" customWidth="1"/>
    <col min="64" max="64" width="8.109375" style="843" bestFit="1" customWidth="1"/>
    <col min="65" max="65" width="7.88671875" style="843" hidden="1" customWidth="1"/>
    <col min="66" max="66" width="8.109375" style="843" bestFit="1" customWidth="1"/>
    <col min="67" max="67" width="10.6640625" style="843" bestFit="1" customWidth="1"/>
    <col min="68" max="68" width="8.109375" style="843" customWidth="1"/>
    <col min="69" max="69" width="8.109375" style="843" hidden="1" customWidth="1"/>
    <col min="70" max="70" width="7.88671875" style="843" customWidth="1"/>
    <col min="71" max="71" width="8.109375" style="843" customWidth="1"/>
    <col min="72" max="72" width="8.109375" style="843" bestFit="1" customWidth="1"/>
    <col min="73" max="73" width="7.88671875" style="843" hidden="1" customWidth="1"/>
    <col min="74" max="75" width="7.88671875" style="843" customWidth="1"/>
    <col min="76" max="76" width="19.33203125" style="843" hidden="1" customWidth="1"/>
    <col min="77" max="77" width="42.44140625" style="843" customWidth="1"/>
    <col min="78" max="78" width="26.44140625" style="843" bestFit="1" customWidth="1"/>
    <col min="79" max="79" width="16.5546875" style="843" customWidth="1"/>
    <col min="80" max="80" width="11.88671875" style="843" bestFit="1" customWidth="1"/>
    <col min="81" max="81" width="12.109375" style="843" bestFit="1" customWidth="1"/>
    <col min="82" max="16384" width="9.109375" style="843"/>
  </cols>
  <sheetData>
    <row r="1" spans="1:79" s="764" customFormat="1" ht="17.399999999999999">
      <c r="E1" s="1479" t="s">
        <v>538</v>
      </c>
      <c r="F1" s="1479"/>
      <c r="G1" s="1479"/>
      <c r="H1" s="1479"/>
      <c r="I1" s="1479"/>
      <c r="J1" s="1479"/>
      <c r="K1" s="1479"/>
      <c r="L1" s="1479"/>
      <c r="M1" s="1479"/>
      <c r="N1" s="1479"/>
      <c r="O1" s="1479"/>
      <c r="P1" s="1479"/>
      <c r="Q1" s="1479"/>
      <c r="R1" s="1479"/>
      <c r="S1" s="1479"/>
      <c r="T1" s="1479"/>
      <c r="U1" s="1479"/>
      <c r="V1" s="1479"/>
      <c r="W1" s="1479"/>
      <c r="X1" s="1479"/>
      <c r="Y1" s="1479"/>
      <c r="Z1" s="1479"/>
      <c r="AA1" s="1479"/>
      <c r="AB1" s="1479"/>
      <c r="AC1" s="1479"/>
      <c r="AD1" s="1479"/>
      <c r="AE1" s="1479"/>
      <c r="AF1" s="1479"/>
      <c r="AG1" s="1479"/>
      <c r="AH1" s="1479"/>
      <c r="AI1" s="1479"/>
      <c r="AJ1" s="1479"/>
      <c r="AK1" s="1479"/>
      <c r="AL1" s="1479"/>
      <c r="AM1" s="1479"/>
      <c r="AN1" s="1479"/>
      <c r="AO1" s="1479"/>
      <c r="AP1" s="1479"/>
      <c r="AQ1" s="1479"/>
      <c r="AR1" s="1479"/>
      <c r="AS1" s="1479"/>
      <c r="AT1" s="1479"/>
      <c r="AU1" s="1479"/>
      <c r="AV1" s="1479"/>
      <c r="AW1" s="1479"/>
      <c r="AX1" s="1479"/>
      <c r="AY1" s="1479"/>
      <c r="AZ1" s="1479"/>
      <c r="BA1" s="1479"/>
      <c r="BB1" s="1479"/>
      <c r="BC1" s="1479"/>
      <c r="BD1" s="1479"/>
      <c r="BE1" s="1479"/>
      <c r="BF1" s="1479"/>
      <c r="BG1" s="1479"/>
      <c r="BH1" s="1479"/>
      <c r="BI1" s="1479"/>
      <c r="BJ1" s="1479"/>
      <c r="BK1" s="1479"/>
      <c r="BL1" s="1479"/>
      <c r="BM1" s="1479"/>
      <c r="BN1" s="1479"/>
      <c r="BO1" s="1479"/>
      <c r="BP1" s="1479"/>
      <c r="BQ1" s="1479"/>
      <c r="BR1" s="1479"/>
      <c r="BS1" s="1479"/>
      <c r="BT1" s="1479"/>
      <c r="BU1" s="1479"/>
      <c r="BV1" s="1479"/>
      <c r="BW1" s="1479"/>
      <c r="BX1" s="1479"/>
      <c r="BY1" s="1479"/>
    </row>
    <row r="2" spans="1:79" s="764" customFormat="1" ht="17.399999999999999">
      <c r="E2" s="1473" t="str">
        <f>BIA!A11</f>
        <v>Tên công trình: Sửa chữa đường dây trung thế huyện Cẩm Mỹ năm 2020.</v>
      </c>
      <c r="F2" s="1473"/>
      <c r="G2" s="1473"/>
      <c r="H2" s="1473"/>
      <c r="I2" s="1473"/>
      <c r="J2" s="1473"/>
      <c r="K2" s="1473"/>
      <c r="L2" s="1473"/>
      <c r="M2" s="1473"/>
      <c r="N2" s="1473"/>
      <c r="O2" s="1473"/>
      <c r="P2" s="1473"/>
      <c r="Q2" s="1473"/>
      <c r="R2" s="1473"/>
      <c r="S2" s="1473"/>
      <c r="T2" s="1473"/>
      <c r="U2" s="1473"/>
      <c r="V2" s="1473"/>
      <c r="W2" s="1473"/>
      <c r="X2" s="1473"/>
      <c r="Y2" s="1473"/>
      <c r="Z2" s="1473"/>
      <c r="AA2" s="1473"/>
      <c r="AB2" s="1473"/>
      <c r="AC2" s="1473"/>
      <c r="AD2" s="1473"/>
      <c r="AE2" s="1473"/>
      <c r="AF2" s="1473"/>
      <c r="AG2" s="1473"/>
      <c r="AH2" s="1473"/>
      <c r="AI2" s="1473"/>
      <c r="AJ2" s="1473"/>
      <c r="AK2" s="1473"/>
      <c r="AL2" s="1473"/>
      <c r="AM2" s="1473"/>
      <c r="AN2" s="1473"/>
      <c r="AO2" s="1473"/>
      <c r="AP2" s="1473"/>
      <c r="AQ2" s="1473"/>
      <c r="AR2" s="1473"/>
      <c r="AS2" s="1473"/>
      <c r="AT2" s="1473"/>
      <c r="AU2" s="1473"/>
      <c r="AV2" s="1473"/>
      <c r="AW2" s="1473"/>
      <c r="AX2" s="1473"/>
      <c r="AY2" s="1473"/>
      <c r="AZ2" s="1473"/>
      <c r="BA2" s="1473"/>
      <c r="BB2" s="1473"/>
      <c r="BC2" s="1473"/>
      <c r="BD2" s="1473"/>
      <c r="BE2" s="1473"/>
      <c r="BF2" s="1473"/>
      <c r="BG2" s="1473"/>
      <c r="BH2" s="1473"/>
      <c r="BI2" s="1473"/>
      <c r="BJ2" s="1473"/>
      <c r="BK2" s="1473"/>
      <c r="BL2" s="1473"/>
      <c r="BM2" s="1473"/>
      <c r="BN2" s="1473"/>
      <c r="BO2" s="1473"/>
      <c r="BP2" s="1473"/>
      <c r="BQ2" s="1473"/>
      <c r="BR2" s="1473"/>
      <c r="BS2" s="1473"/>
      <c r="BT2" s="1473"/>
      <c r="BU2" s="1473"/>
      <c r="BV2" s="1473"/>
      <c r="BW2" s="1473"/>
      <c r="BX2" s="1473"/>
      <c r="BY2" s="1473"/>
    </row>
    <row r="3" spans="1:79" s="792" customFormat="1">
      <c r="E3" s="846"/>
      <c r="F3" s="847"/>
      <c r="G3" s="847"/>
      <c r="H3" s="847"/>
      <c r="I3" s="847"/>
      <c r="J3" s="847"/>
      <c r="K3" s="847"/>
      <c r="L3" s="847"/>
      <c r="M3" s="1175"/>
      <c r="N3" s="847"/>
      <c r="O3" s="847"/>
      <c r="P3" s="847"/>
      <c r="Q3" s="847"/>
      <c r="R3" s="847"/>
      <c r="S3" s="847"/>
      <c r="T3" s="847"/>
      <c r="U3" s="847"/>
      <c r="V3" s="847"/>
      <c r="W3" s="847"/>
      <c r="X3" s="847"/>
      <c r="Y3" s="847"/>
      <c r="Z3" s="847"/>
      <c r="AA3" s="847"/>
      <c r="AB3" s="847"/>
      <c r="AC3" s="847"/>
      <c r="AD3" s="847"/>
      <c r="AE3" s="847"/>
      <c r="AF3" s="847"/>
      <c r="AG3" s="847"/>
      <c r="AH3" s="847"/>
      <c r="AI3" s="847"/>
      <c r="AJ3" s="847"/>
      <c r="AK3" s="847"/>
      <c r="AL3" s="847"/>
      <c r="AM3" s="847"/>
      <c r="AN3" s="847"/>
      <c r="AO3" s="847"/>
      <c r="AP3" s="847"/>
      <c r="AQ3" s="847"/>
      <c r="AR3" s="847"/>
      <c r="AS3" s="847"/>
      <c r="AT3" s="847"/>
      <c r="AU3" s="847"/>
      <c r="AV3" s="847"/>
      <c r="AW3" s="847"/>
      <c r="AX3" s="847"/>
      <c r="AY3" s="847"/>
      <c r="AZ3" s="847"/>
      <c r="BA3" s="847"/>
      <c r="BB3" s="848"/>
      <c r="BC3" s="847"/>
      <c r="BD3" s="847"/>
      <c r="BE3" s="847"/>
      <c r="BF3" s="847"/>
      <c r="BG3" s="847"/>
      <c r="BH3" s="847"/>
      <c r="BI3" s="847"/>
      <c r="BJ3" s="847"/>
      <c r="BK3" s="847"/>
      <c r="BL3" s="847"/>
      <c r="BM3" s="847"/>
      <c r="BN3" s="847"/>
      <c r="BO3" s="849"/>
      <c r="BP3" s="849"/>
      <c r="BQ3" s="849"/>
      <c r="BR3" s="849"/>
      <c r="BS3" s="849"/>
      <c r="BT3" s="847"/>
      <c r="BU3" s="847"/>
      <c r="BV3" s="847"/>
      <c r="BW3" s="847"/>
      <c r="BX3" s="847"/>
      <c r="BY3" s="847"/>
      <c r="BZ3" s="847"/>
      <c r="CA3" s="847"/>
    </row>
    <row r="4" spans="1:79" s="929" customFormat="1" ht="58.2" customHeight="1">
      <c r="E4" s="1486" t="s">
        <v>375</v>
      </c>
      <c r="F4" s="1480" t="s">
        <v>364</v>
      </c>
      <c r="G4" s="1480" t="s">
        <v>365</v>
      </c>
      <c r="H4" s="1480" t="s">
        <v>544</v>
      </c>
      <c r="I4" s="1480" t="s">
        <v>546</v>
      </c>
      <c r="J4" s="1480" t="s">
        <v>366</v>
      </c>
      <c r="K4" s="1231"/>
      <c r="L4" s="1480" t="s">
        <v>807</v>
      </c>
      <c r="M4" s="1481" t="s">
        <v>367</v>
      </c>
      <c r="N4" s="1482"/>
      <c r="O4" s="1216" t="s">
        <v>368</v>
      </c>
      <c r="P4" s="1480" t="s">
        <v>481</v>
      </c>
      <c r="Q4" s="1480" t="s">
        <v>482</v>
      </c>
      <c r="R4" s="1480" t="s">
        <v>483</v>
      </c>
      <c r="S4" s="1480" t="s">
        <v>369</v>
      </c>
      <c r="T4" s="1480" t="s">
        <v>370</v>
      </c>
      <c r="U4" s="1485" t="s">
        <v>371</v>
      </c>
      <c r="V4" s="1173"/>
      <c r="W4" s="1480" t="s">
        <v>539</v>
      </c>
      <c r="X4" s="1480" t="s">
        <v>655</v>
      </c>
      <c r="Y4" s="1483" t="s">
        <v>692</v>
      </c>
      <c r="Z4" s="1480" t="s">
        <v>691</v>
      </c>
      <c r="AA4" s="1483" t="s">
        <v>693</v>
      </c>
      <c r="AB4" s="1480" t="s">
        <v>687</v>
      </c>
      <c r="AC4" s="1480" t="s">
        <v>478</v>
      </c>
      <c r="AD4" s="1480" t="s">
        <v>849</v>
      </c>
      <c r="AE4" s="1480" t="s">
        <v>850</v>
      </c>
      <c r="AF4" s="1480" t="s">
        <v>770</v>
      </c>
      <c r="AG4" s="1480" t="s">
        <v>685</v>
      </c>
      <c r="AH4" s="1480" t="s">
        <v>686</v>
      </c>
      <c r="AI4" s="1480" t="s">
        <v>637</v>
      </c>
      <c r="AJ4" s="1480" t="s">
        <v>699</v>
      </c>
      <c r="AK4" s="1480" t="s">
        <v>698</v>
      </c>
      <c r="AL4" s="1480" t="s">
        <v>697</v>
      </c>
      <c r="AM4" s="1480" t="s">
        <v>688</v>
      </c>
      <c r="AN4" s="1480" t="s">
        <v>373</v>
      </c>
      <c r="AO4" s="1480" t="s">
        <v>689</v>
      </c>
      <c r="AP4" s="1480" t="s">
        <v>690</v>
      </c>
      <c r="AQ4" s="1490" t="s">
        <v>745</v>
      </c>
      <c r="AR4" s="1490" t="s">
        <v>862</v>
      </c>
      <c r="AS4" s="1480" t="s">
        <v>842</v>
      </c>
      <c r="AT4" s="1480" t="s">
        <v>848</v>
      </c>
      <c r="AU4" s="1480" t="s">
        <v>477</v>
      </c>
      <c r="AV4" s="1480" t="s">
        <v>376</v>
      </c>
      <c r="AW4" s="1480" t="s">
        <v>485</v>
      </c>
      <c r="AX4" s="1215"/>
      <c r="AY4" s="1215"/>
      <c r="AZ4" s="1480" t="s">
        <v>837</v>
      </c>
      <c r="BA4" s="1487" t="s">
        <v>4</v>
      </c>
      <c r="BB4" s="1488"/>
      <c r="BC4" s="1488"/>
      <c r="BD4" s="1488"/>
      <c r="BE4" s="1488"/>
      <c r="BF4" s="1488"/>
      <c r="BG4" s="1488"/>
      <c r="BH4" s="1488"/>
      <c r="BI4" s="1488"/>
      <c r="BJ4" s="1488"/>
      <c r="BK4" s="1488"/>
      <c r="BL4" s="1488"/>
      <c r="BM4" s="1488"/>
      <c r="BN4" s="1488"/>
      <c r="BO4" s="1488"/>
      <c r="BP4" s="1488"/>
      <c r="BQ4" s="1488"/>
      <c r="BR4" s="1488"/>
      <c r="BS4" s="1488"/>
      <c r="BT4" s="1488"/>
      <c r="BU4" s="1488"/>
      <c r="BV4" s="1488"/>
      <c r="BW4" s="1488"/>
      <c r="BX4" s="1489"/>
      <c r="BY4" s="1484" t="s">
        <v>138</v>
      </c>
      <c r="BZ4" s="928"/>
      <c r="CA4" s="928"/>
    </row>
    <row r="5" spans="1:79" s="931" customFormat="1" ht="311.39999999999998" customHeight="1">
      <c r="D5" s="931" t="s">
        <v>935</v>
      </c>
      <c r="E5" s="1486"/>
      <c r="F5" s="1480"/>
      <c r="G5" s="1480"/>
      <c r="H5" s="1480"/>
      <c r="I5" s="1480"/>
      <c r="J5" s="1480"/>
      <c r="K5" s="1231" t="s">
        <v>893</v>
      </c>
      <c r="L5" s="1480"/>
      <c r="M5" s="1176" t="s">
        <v>3</v>
      </c>
      <c r="N5" s="1215" t="s">
        <v>638</v>
      </c>
      <c r="O5" s="1215" t="s">
        <v>91</v>
      </c>
      <c r="P5" s="1480"/>
      <c r="Q5" s="1480"/>
      <c r="R5" s="1480"/>
      <c r="S5" s="1480"/>
      <c r="T5" s="1480"/>
      <c r="U5" s="1485"/>
      <c r="V5" s="1217" t="s">
        <v>834</v>
      </c>
      <c r="W5" s="1480"/>
      <c r="X5" s="1480"/>
      <c r="Y5" s="1483"/>
      <c r="Z5" s="1480"/>
      <c r="AA5" s="1483"/>
      <c r="AB5" s="1480"/>
      <c r="AC5" s="1480"/>
      <c r="AD5" s="1480"/>
      <c r="AE5" s="1480"/>
      <c r="AF5" s="1480"/>
      <c r="AG5" s="1480"/>
      <c r="AH5" s="1480"/>
      <c r="AI5" s="1480"/>
      <c r="AJ5" s="1480"/>
      <c r="AK5" s="1480"/>
      <c r="AL5" s="1480"/>
      <c r="AM5" s="1480"/>
      <c r="AN5" s="1480"/>
      <c r="AO5" s="1480"/>
      <c r="AP5" s="1480"/>
      <c r="AQ5" s="1491"/>
      <c r="AR5" s="1491"/>
      <c r="AS5" s="1480"/>
      <c r="AT5" s="1480"/>
      <c r="AU5" s="1480"/>
      <c r="AV5" s="1480"/>
      <c r="AW5" s="1480"/>
      <c r="AX5" s="1217" t="s">
        <v>843</v>
      </c>
      <c r="AY5" s="1217" t="s">
        <v>844</v>
      </c>
      <c r="AZ5" s="1480"/>
      <c r="BA5" s="1218" t="s">
        <v>479</v>
      </c>
      <c r="BB5" s="1219" t="s">
        <v>610</v>
      </c>
      <c r="BC5" s="1220" t="s">
        <v>876</v>
      </c>
      <c r="BD5" s="1220" t="s">
        <v>863</v>
      </c>
      <c r="BE5" s="1220" t="s">
        <v>694</v>
      </c>
      <c r="BF5" s="1220" t="s">
        <v>695</v>
      </c>
      <c r="BG5" s="1220" t="s">
        <v>484</v>
      </c>
      <c r="BH5" s="1218" t="s">
        <v>5</v>
      </c>
      <c r="BI5" s="1218" t="s">
        <v>284</v>
      </c>
      <c r="BJ5" s="1218" t="s">
        <v>547</v>
      </c>
      <c r="BK5" s="1218" t="s">
        <v>865</v>
      </c>
      <c r="BL5" s="1220" t="s">
        <v>771</v>
      </c>
      <c r="BM5" s="1220" t="s">
        <v>772</v>
      </c>
      <c r="BN5" s="1220" t="s">
        <v>372</v>
      </c>
      <c r="BO5" s="1220" t="s">
        <v>845</v>
      </c>
      <c r="BP5" s="1220" t="s">
        <v>846</v>
      </c>
      <c r="BQ5" s="1220" t="s">
        <v>759</v>
      </c>
      <c r="BR5" s="1220" t="s">
        <v>853</v>
      </c>
      <c r="BS5" s="1220" t="s">
        <v>480</v>
      </c>
      <c r="BT5" s="1220" t="s">
        <v>197</v>
      </c>
      <c r="BU5" s="1220" t="s">
        <v>689</v>
      </c>
      <c r="BV5" s="1220" t="s">
        <v>746</v>
      </c>
      <c r="BW5" s="1220" t="s">
        <v>864</v>
      </c>
      <c r="BX5" s="1220" t="s">
        <v>696</v>
      </c>
      <c r="BY5" s="1484"/>
      <c r="BZ5" s="930"/>
      <c r="CA5" s="930"/>
    </row>
    <row r="6" spans="1:79" s="933" customFormat="1" ht="21.6">
      <c r="A6" s="1372"/>
      <c r="B6" s="1372"/>
      <c r="C6" s="1372"/>
      <c r="D6" s="1372" t="s">
        <v>935</v>
      </c>
      <c r="E6" s="1092" t="s">
        <v>775</v>
      </c>
      <c r="F6" s="1093"/>
      <c r="G6" s="1093"/>
      <c r="H6" s="1093"/>
      <c r="I6" s="1093"/>
      <c r="J6" s="1093"/>
      <c r="K6" s="1093"/>
      <c r="L6" s="1093"/>
      <c r="M6" s="1176"/>
      <c r="N6" s="1093"/>
      <c r="O6" s="1093"/>
      <c r="P6" s="1093"/>
      <c r="Q6" s="1093"/>
      <c r="R6" s="1093"/>
      <c r="S6" s="1093"/>
      <c r="T6" s="1093"/>
      <c r="U6" s="1093"/>
      <c r="V6" s="1174"/>
      <c r="W6" s="1093"/>
      <c r="X6" s="1093"/>
      <c r="Y6" s="1093"/>
      <c r="Z6" s="1093"/>
      <c r="AA6" s="1093"/>
      <c r="AB6" s="1093"/>
      <c r="AC6" s="1093"/>
      <c r="AD6" s="1093"/>
      <c r="AE6" s="1093"/>
      <c r="AF6" s="1093"/>
      <c r="AG6" s="1094"/>
      <c r="AH6" s="1093"/>
      <c r="AI6" s="1093"/>
      <c r="AJ6" s="1093"/>
      <c r="AK6" s="1093"/>
      <c r="AL6" s="1093"/>
      <c r="AM6" s="1093"/>
      <c r="AN6" s="1093"/>
      <c r="AO6" s="1093"/>
      <c r="AP6" s="1093"/>
      <c r="AQ6" s="1093"/>
      <c r="AR6" s="1093"/>
      <c r="AS6" s="1093"/>
      <c r="AT6" s="1093"/>
      <c r="AU6" s="1093"/>
      <c r="AV6" s="1093"/>
      <c r="AW6" s="1093"/>
      <c r="AX6" s="1093"/>
      <c r="AY6" s="1095"/>
      <c r="AZ6" s="1093"/>
      <c r="BA6" s="1094"/>
      <c r="BB6" s="1096"/>
      <c r="BC6" s="1097"/>
      <c r="BD6" s="1097"/>
      <c r="BE6" s="1097"/>
      <c r="BF6" s="1097"/>
      <c r="BG6" s="1097"/>
      <c r="BH6" s="1094"/>
      <c r="BI6" s="1094"/>
      <c r="BJ6" s="1094"/>
      <c r="BK6" s="1094"/>
      <c r="BL6" s="1097"/>
      <c r="BM6" s="1097"/>
      <c r="BN6" s="1097"/>
      <c r="BO6" s="1097"/>
      <c r="BP6" s="1097"/>
      <c r="BQ6" s="1097"/>
      <c r="BR6" s="1097"/>
      <c r="BS6" s="1097"/>
      <c r="BT6" s="1097"/>
      <c r="BU6" s="1097"/>
      <c r="BV6" s="1097"/>
      <c r="BW6" s="1097"/>
      <c r="BX6" s="1097"/>
      <c r="BY6" s="1214"/>
      <c r="BZ6" s="932"/>
      <c r="CA6" s="932"/>
    </row>
    <row r="7" spans="1:79" s="934" customFormat="1" ht="21.6">
      <c r="A7" s="1085"/>
      <c r="B7" s="1085"/>
      <c r="C7" s="1085"/>
      <c r="D7" s="1085"/>
      <c r="E7" s="1042" t="s">
        <v>776</v>
      </c>
      <c r="F7" s="1043" t="s">
        <v>377</v>
      </c>
      <c r="G7" s="1043" t="s">
        <v>377</v>
      </c>
      <c r="H7" s="1043">
        <v>0</v>
      </c>
      <c r="I7" s="1043">
        <f>H7</f>
        <v>0</v>
      </c>
      <c r="J7" s="1044">
        <f>I7</f>
        <v>0</v>
      </c>
      <c r="K7" s="1044"/>
      <c r="L7" s="1044">
        <f t="shared" ref="L7:L19" si="0">I7</f>
        <v>0</v>
      </c>
      <c r="M7" s="1177"/>
      <c r="N7" s="1043"/>
      <c r="O7" s="1046">
        <f>M7+N7</f>
        <v>0</v>
      </c>
      <c r="P7" s="1043"/>
      <c r="Q7" s="1047"/>
      <c r="R7" s="1047"/>
      <c r="S7" s="933"/>
      <c r="T7" s="933">
        <f>R7</f>
        <v>0</v>
      </c>
      <c r="U7" s="1047"/>
      <c r="V7" s="1047"/>
      <c r="W7" s="1043"/>
      <c r="X7" s="1043"/>
      <c r="Y7" s="1043"/>
      <c r="Z7" s="1043"/>
      <c r="AA7" s="1043"/>
      <c r="AB7" s="1043"/>
      <c r="AC7" s="934">
        <v>1</v>
      </c>
      <c r="AD7" s="1048"/>
      <c r="AE7" s="1086">
        <v>1</v>
      </c>
      <c r="AF7" s="1043">
        <f>AD7+AE7</f>
        <v>1</v>
      </c>
      <c r="AG7" s="1050"/>
      <c r="AH7" s="1043"/>
      <c r="AI7" s="1043"/>
      <c r="AJ7" s="1043"/>
      <c r="AK7" s="1043"/>
      <c r="AL7" s="1043"/>
      <c r="AM7" s="1043"/>
      <c r="AN7" s="1049">
        <f t="shared" ref="AN7:AN17" si="1">AJ7+AM7</f>
        <v>0</v>
      </c>
      <c r="AO7" s="1043"/>
      <c r="AP7" s="1043"/>
      <c r="AQ7" s="1043"/>
      <c r="AR7" s="1043"/>
      <c r="AS7" s="1043"/>
      <c r="AT7" s="1043">
        <v>0.5</v>
      </c>
      <c r="AU7" s="1043">
        <f>AS7+AT7</f>
        <v>0.5</v>
      </c>
      <c r="AV7" s="1043"/>
      <c r="AW7" s="1043"/>
      <c r="AX7" s="1043">
        <v>1</v>
      </c>
      <c r="AY7" s="1222">
        <f t="shared" ref="AY7:AY19" si="2">AA7*2+Z7*2</f>
        <v>0</v>
      </c>
      <c r="AZ7" s="1043"/>
      <c r="BA7" s="1048">
        <f t="shared" ref="BA7:BA19" si="3">IF(F7="2DT",2,IF(F7="DT",1,IF(F7="2DT-90",2,0)))</f>
        <v>1</v>
      </c>
      <c r="BB7" s="1051">
        <f t="shared" ref="BB7:BB19" si="4">J7</f>
        <v>0</v>
      </c>
      <c r="BC7" s="1052"/>
      <c r="BD7" s="934">
        <f t="shared" ref="BD7:BD19" si="5">AZ7</f>
        <v>0</v>
      </c>
      <c r="BE7" s="1052"/>
      <c r="BF7" s="1052"/>
      <c r="BG7" s="1053"/>
      <c r="BH7" s="1054">
        <f t="shared" ref="BH7:BH19" si="6">Q7</f>
        <v>0</v>
      </c>
      <c r="BI7" s="1059">
        <f t="shared" ref="BI7:BI19" si="7">R7</f>
        <v>0</v>
      </c>
      <c r="BJ7" s="1050"/>
      <c r="BK7" s="1050">
        <v>1</v>
      </c>
      <c r="BL7" s="1052"/>
      <c r="BM7" s="1052"/>
      <c r="BN7" s="1052"/>
      <c r="BO7" s="1052"/>
      <c r="BP7" s="1052">
        <v>1</v>
      </c>
      <c r="BQ7" s="1052"/>
      <c r="BR7" s="1052"/>
      <c r="BS7" s="1052"/>
      <c r="BT7" s="1052"/>
      <c r="BU7" s="1052"/>
      <c r="BV7" s="1052"/>
      <c r="BW7" s="1052"/>
      <c r="BX7" s="1052"/>
      <c r="BY7" s="1055"/>
      <c r="BZ7" s="935"/>
      <c r="CA7" s="935"/>
    </row>
    <row r="8" spans="1:79" s="934" customFormat="1" ht="21.6">
      <c r="E8" s="1056" t="s">
        <v>777</v>
      </c>
      <c r="F8" s="1049" t="s">
        <v>80</v>
      </c>
      <c r="G8" s="1049" t="s">
        <v>80</v>
      </c>
      <c r="H8" s="1049">
        <v>65.3</v>
      </c>
      <c r="I8" s="1049">
        <f>H8</f>
        <v>65.3</v>
      </c>
      <c r="J8" s="1049">
        <f t="shared" ref="J8:J19" si="8">H8</f>
        <v>65.3</v>
      </c>
      <c r="K8" s="1049"/>
      <c r="L8" s="1049">
        <f t="shared" si="0"/>
        <v>65.3</v>
      </c>
      <c r="M8" s="1178"/>
      <c r="N8" s="1049"/>
      <c r="O8" s="1058">
        <f t="shared" ref="O8:O19" si="9">N8+M8</f>
        <v>0</v>
      </c>
      <c r="P8" s="1049"/>
      <c r="T8" s="934">
        <f t="shared" ref="T8:T19" si="10">R8</f>
        <v>0</v>
      </c>
      <c r="W8" s="1049">
        <v>1</v>
      </c>
      <c r="X8" s="1049"/>
      <c r="Y8" s="1049">
        <v>1</v>
      </c>
      <c r="Z8" s="1049"/>
      <c r="AA8" s="1049"/>
      <c r="AB8" s="1049"/>
      <c r="AD8" s="1048"/>
      <c r="AE8" s="1048"/>
      <c r="AF8" s="1049">
        <f>AD8+AE8</f>
        <v>0</v>
      </c>
      <c r="AG8" s="1059"/>
      <c r="AH8" s="1049"/>
      <c r="AI8" s="1049"/>
      <c r="AJ8" s="1049"/>
      <c r="AK8" s="1049"/>
      <c r="AL8" s="1049"/>
      <c r="AM8" s="1049"/>
      <c r="AN8" s="1049">
        <f t="shared" si="1"/>
        <v>0</v>
      </c>
      <c r="AO8" s="1049"/>
      <c r="AP8" s="1049"/>
      <c r="AQ8" s="1049"/>
      <c r="AR8" s="1049"/>
      <c r="AS8" s="1049"/>
      <c r="AT8" s="1049"/>
      <c r="AU8" s="1049">
        <f>AS8+AT8</f>
        <v>0</v>
      </c>
      <c r="AV8" s="1049"/>
      <c r="AW8" s="1049"/>
      <c r="AX8" s="1049">
        <v>1</v>
      </c>
      <c r="AY8" s="1049">
        <f t="shared" si="2"/>
        <v>0</v>
      </c>
      <c r="AZ8" s="1049"/>
      <c r="BA8" s="1048">
        <f t="shared" si="3"/>
        <v>0</v>
      </c>
      <c r="BB8" s="1061">
        <f t="shared" si="4"/>
        <v>65.3</v>
      </c>
      <c r="BC8" s="1062"/>
      <c r="BD8" s="934">
        <f t="shared" si="5"/>
        <v>0</v>
      </c>
      <c r="BE8" s="1062">
        <v>2</v>
      </c>
      <c r="BF8" s="1062"/>
      <c r="BG8" s="1062"/>
      <c r="BH8" s="1059">
        <f t="shared" si="6"/>
        <v>0</v>
      </c>
      <c r="BI8" s="1059">
        <f t="shared" si="7"/>
        <v>0</v>
      </c>
      <c r="BJ8" s="1059"/>
      <c r="BK8" s="1059"/>
      <c r="BL8" s="1062">
        <v>1</v>
      </c>
      <c r="BM8" s="1062"/>
      <c r="BN8" s="1062"/>
      <c r="BO8" s="1062"/>
      <c r="BP8" s="1062"/>
      <c r="BQ8" s="1062"/>
      <c r="BR8" s="1062"/>
      <c r="BS8" s="1063"/>
      <c r="BT8" s="1062"/>
      <c r="BU8" s="1062"/>
      <c r="BV8" s="1062"/>
      <c r="BW8" s="1062"/>
      <c r="BX8" s="1062"/>
      <c r="BY8" s="1064"/>
      <c r="BZ8" s="935"/>
      <c r="CA8" s="935"/>
    </row>
    <row r="9" spans="1:79" s="934" customFormat="1" ht="21.6">
      <c r="E9" s="1056" t="s">
        <v>778</v>
      </c>
      <c r="F9" s="1049" t="s">
        <v>148</v>
      </c>
      <c r="G9" s="1049" t="s">
        <v>148</v>
      </c>
      <c r="H9" s="1049">
        <v>60.3</v>
      </c>
      <c r="I9" s="1049">
        <f t="shared" ref="I9:I19" si="11">H9</f>
        <v>60.3</v>
      </c>
      <c r="J9" s="1049">
        <f t="shared" si="8"/>
        <v>60.3</v>
      </c>
      <c r="K9" s="1049"/>
      <c r="L9" s="1049">
        <f t="shared" si="0"/>
        <v>60.3</v>
      </c>
      <c r="M9" s="1178"/>
      <c r="N9" s="1049"/>
      <c r="O9" s="1058">
        <f t="shared" si="9"/>
        <v>0</v>
      </c>
      <c r="P9" s="1049"/>
      <c r="Q9" s="934">
        <v>2</v>
      </c>
      <c r="T9" s="934">
        <f t="shared" si="10"/>
        <v>0</v>
      </c>
      <c r="U9" s="934">
        <v>1</v>
      </c>
      <c r="W9" s="1049"/>
      <c r="X9" s="1049"/>
      <c r="Y9" s="1049"/>
      <c r="Z9" s="1049"/>
      <c r="AA9" s="1049"/>
      <c r="AB9" s="1049"/>
      <c r="AC9" s="934">
        <v>2</v>
      </c>
      <c r="AD9" s="1048">
        <v>2</v>
      </c>
      <c r="AE9" s="1048"/>
      <c r="AF9" s="1049">
        <f t="shared" ref="AF9:AF19" si="12">AD9+AE9</f>
        <v>2</v>
      </c>
      <c r="AG9" s="1059"/>
      <c r="AH9" s="1049"/>
      <c r="AI9" s="1049"/>
      <c r="AJ9" s="1049"/>
      <c r="AK9" s="1049"/>
      <c r="AL9" s="1049"/>
      <c r="AM9" s="1049"/>
      <c r="AN9" s="1049">
        <f t="shared" si="1"/>
        <v>0</v>
      </c>
      <c r="AO9" s="1049"/>
      <c r="AP9" s="1049"/>
      <c r="AQ9" s="1049"/>
      <c r="AR9" s="1049"/>
      <c r="AS9" s="1049">
        <v>1</v>
      </c>
      <c r="AT9" s="1049"/>
      <c r="AU9" s="1049">
        <f t="shared" ref="AU9:AU19" si="13">AS9+AT9</f>
        <v>1</v>
      </c>
      <c r="AV9" s="1049"/>
      <c r="AW9" s="1049"/>
      <c r="AX9" s="1049"/>
      <c r="AY9" s="1049">
        <f t="shared" si="2"/>
        <v>0</v>
      </c>
      <c r="AZ9" s="1049"/>
      <c r="BA9" s="1048">
        <f t="shared" si="3"/>
        <v>2</v>
      </c>
      <c r="BB9" s="1061">
        <f t="shared" si="4"/>
        <v>60.3</v>
      </c>
      <c r="BC9" s="1062"/>
      <c r="BD9" s="934">
        <f t="shared" si="5"/>
        <v>0</v>
      </c>
      <c r="BE9" s="1062">
        <v>2</v>
      </c>
      <c r="BF9" s="1062"/>
      <c r="BG9" s="1062"/>
      <c r="BH9" s="1059">
        <f t="shared" si="6"/>
        <v>2</v>
      </c>
      <c r="BI9" s="1059">
        <f t="shared" si="7"/>
        <v>0</v>
      </c>
      <c r="BJ9" s="1059"/>
      <c r="BK9" s="1059">
        <v>2</v>
      </c>
      <c r="BL9" s="1062">
        <v>1</v>
      </c>
      <c r="BM9" s="1062"/>
      <c r="BN9" s="1062"/>
      <c r="BO9" s="1062">
        <v>2</v>
      </c>
      <c r="BP9" s="1062"/>
      <c r="BQ9" s="1062"/>
      <c r="BR9" s="1062"/>
      <c r="BS9" s="1062"/>
      <c r="BT9" s="1062"/>
      <c r="BU9" s="1062"/>
      <c r="BV9" s="1062"/>
      <c r="BW9" s="1062"/>
      <c r="BX9" s="1062"/>
      <c r="BY9" s="1064" t="s">
        <v>847</v>
      </c>
      <c r="BZ9" s="935"/>
      <c r="CA9" s="935"/>
    </row>
    <row r="10" spans="1:79" s="934" customFormat="1" ht="21.6">
      <c r="E10" s="1056" t="s">
        <v>779</v>
      </c>
      <c r="F10" s="1049" t="s">
        <v>374</v>
      </c>
      <c r="G10" s="1049" t="s">
        <v>374</v>
      </c>
      <c r="H10" s="1049">
        <v>66.3</v>
      </c>
      <c r="I10" s="1049">
        <f t="shared" si="11"/>
        <v>66.3</v>
      </c>
      <c r="J10" s="1049">
        <f t="shared" si="8"/>
        <v>66.3</v>
      </c>
      <c r="K10" s="1049"/>
      <c r="L10" s="1049">
        <f t="shared" si="0"/>
        <v>66.3</v>
      </c>
      <c r="M10" s="1178"/>
      <c r="N10" s="1049"/>
      <c r="O10" s="1058">
        <f t="shared" si="9"/>
        <v>0</v>
      </c>
      <c r="P10" s="1049"/>
      <c r="Q10" s="934">
        <v>1</v>
      </c>
      <c r="T10" s="934">
        <f t="shared" si="10"/>
        <v>0</v>
      </c>
      <c r="W10" s="1049">
        <v>2</v>
      </c>
      <c r="X10" s="1049"/>
      <c r="Y10" s="1049"/>
      <c r="Z10" s="1049"/>
      <c r="AA10" s="1049">
        <v>1</v>
      </c>
      <c r="AB10" s="1049"/>
      <c r="AD10" s="1048"/>
      <c r="AE10" s="1048"/>
      <c r="AF10" s="1049">
        <f t="shared" si="12"/>
        <v>0</v>
      </c>
      <c r="AG10" s="1059"/>
      <c r="AH10" s="1049"/>
      <c r="AI10" s="1049"/>
      <c r="AJ10" s="1049"/>
      <c r="AK10" s="1049"/>
      <c r="AL10" s="1049"/>
      <c r="AM10" s="1049">
        <v>1</v>
      </c>
      <c r="AN10" s="1049">
        <f t="shared" si="1"/>
        <v>1</v>
      </c>
      <c r="AO10" s="1049"/>
      <c r="AP10" s="1049"/>
      <c r="AQ10" s="1049"/>
      <c r="AR10" s="1049"/>
      <c r="AS10" s="1049"/>
      <c r="AT10" s="1049"/>
      <c r="AU10" s="1049">
        <f t="shared" si="13"/>
        <v>0</v>
      </c>
      <c r="AV10" s="1049"/>
      <c r="AW10" s="1049"/>
      <c r="AX10" s="1049"/>
      <c r="AY10" s="1049">
        <f t="shared" si="2"/>
        <v>2</v>
      </c>
      <c r="AZ10" s="1049"/>
      <c r="BA10" s="1048">
        <f t="shared" si="3"/>
        <v>0</v>
      </c>
      <c r="BB10" s="1061">
        <f t="shared" si="4"/>
        <v>66.3</v>
      </c>
      <c r="BC10" s="1062"/>
      <c r="BD10" s="934">
        <f t="shared" si="5"/>
        <v>0</v>
      </c>
      <c r="BE10" s="1062"/>
      <c r="BF10" s="1062">
        <v>2</v>
      </c>
      <c r="BG10" s="1062"/>
      <c r="BH10" s="1059">
        <f t="shared" si="6"/>
        <v>1</v>
      </c>
      <c r="BI10" s="1059">
        <f t="shared" si="7"/>
        <v>0</v>
      </c>
      <c r="BJ10" s="1059"/>
      <c r="BK10" s="1059"/>
      <c r="BL10" s="1062">
        <v>2</v>
      </c>
      <c r="BM10" s="1062"/>
      <c r="BN10" s="1062"/>
      <c r="BO10" s="1062"/>
      <c r="BP10" s="1062"/>
      <c r="BQ10" s="1062"/>
      <c r="BR10" s="1062"/>
      <c r="BS10" s="1062"/>
      <c r="BT10" s="1062"/>
      <c r="BU10" s="1062"/>
      <c r="BV10" s="1062"/>
      <c r="BW10" s="1062"/>
      <c r="BX10" s="1062"/>
      <c r="BY10" s="1064"/>
      <c r="BZ10" s="935"/>
      <c r="CA10" s="935"/>
    </row>
    <row r="11" spans="1:79" s="934" customFormat="1" ht="21.6">
      <c r="E11" s="1056" t="s">
        <v>780</v>
      </c>
      <c r="F11" s="1049" t="s">
        <v>374</v>
      </c>
      <c r="G11" s="1049" t="s">
        <v>374</v>
      </c>
      <c r="H11" s="1049">
        <v>60.2</v>
      </c>
      <c r="I11" s="1049">
        <f t="shared" si="11"/>
        <v>60.2</v>
      </c>
      <c r="J11" s="1049">
        <f t="shared" si="8"/>
        <v>60.2</v>
      </c>
      <c r="K11" s="1049"/>
      <c r="L11" s="1049">
        <f t="shared" si="0"/>
        <v>60.2</v>
      </c>
      <c r="M11" s="1178"/>
      <c r="N11" s="1049"/>
      <c r="O11" s="1058">
        <f t="shared" si="9"/>
        <v>0</v>
      </c>
      <c r="P11" s="1049"/>
      <c r="Q11" s="934">
        <v>1</v>
      </c>
      <c r="T11" s="934">
        <f t="shared" si="10"/>
        <v>0</v>
      </c>
      <c r="W11" s="1049">
        <v>2</v>
      </c>
      <c r="X11" s="1049"/>
      <c r="Y11" s="1049"/>
      <c r="Z11" s="1049"/>
      <c r="AA11" s="1049">
        <v>1</v>
      </c>
      <c r="AB11" s="1049"/>
      <c r="AD11" s="1048"/>
      <c r="AE11" s="1048"/>
      <c r="AF11" s="1049">
        <f t="shared" si="12"/>
        <v>0</v>
      </c>
      <c r="AG11" s="1059"/>
      <c r="AH11" s="1049"/>
      <c r="AI11" s="1049"/>
      <c r="AJ11" s="1049"/>
      <c r="AK11" s="1049"/>
      <c r="AL11" s="1049"/>
      <c r="AM11" s="1049"/>
      <c r="AN11" s="1049">
        <f t="shared" si="1"/>
        <v>0</v>
      </c>
      <c r="AO11" s="1049"/>
      <c r="AP11" s="1049"/>
      <c r="AQ11" s="1049"/>
      <c r="AR11" s="1049"/>
      <c r="AS11" s="1049"/>
      <c r="AT11" s="1049"/>
      <c r="AU11" s="1049">
        <f t="shared" si="13"/>
        <v>0</v>
      </c>
      <c r="AV11" s="1049"/>
      <c r="AW11" s="1049"/>
      <c r="AX11" s="1049"/>
      <c r="AY11" s="1049">
        <f t="shared" si="2"/>
        <v>2</v>
      </c>
      <c r="AZ11" s="1049"/>
      <c r="BA11" s="1048">
        <f t="shared" si="3"/>
        <v>0</v>
      </c>
      <c r="BB11" s="1061">
        <f t="shared" si="4"/>
        <v>60.2</v>
      </c>
      <c r="BC11" s="1062"/>
      <c r="BD11" s="934">
        <f t="shared" si="5"/>
        <v>0</v>
      </c>
      <c r="BE11" s="1062"/>
      <c r="BF11" s="1062">
        <v>2</v>
      </c>
      <c r="BG11" s="1062"/>
      <c r="BH11" s="1059">
        <f t="shared" si="6"/>
        <v>1</v>
      </c>
      <c r="BI11" s="1059">
        <f t="shared" si="7"/>
        <v>0</v>
      </c>
      <c r="BJ11" s="1059"/>
      <c r="BK11" s="1059"/>
      <c r="BL11" s="1062">
        <v>2</v>
      </c>
      <c r="BM11" s="1062"/>
      <c r="BN11" s="1062"/>
      <c r="BO11" s="1062"/>
      <c r="BP11" s="1062"/>
      <c r="BQ11" s="1062"/>
      <c r="BR11" s="1062"/>
      <c r="BS11" s="1062"/>
      <c r="BT11" s="1062"/>
      <c r="BU11" s="1062"/>
      <c r="BV11" s="1062"/>
      <c r="BW11" s="1062"/>
      <c r="BX11" s="1062"/>
      <c r="BY11" s="1064"/>
      <c r="BZ11" s="935"/>
      <c r="CA11" s="935"/>
    </row>
    <row r="12" spans="1:79" s="934" customFormat="1" ht="21.6">
      <c r="E12" s="1056" t="s">
        <v>781</v>
      </c>
      <c r="F12" s="1049" t="s">
        <v>80</v>
      </c>
      <c r="G12" s="1049" t="s">
        <v>80</v>
      </c>
      <c r="H12" s="1049">
        <v>66.099999999999994</v>
      </c>
      <c r="I12" s="1049">
        <f t="shared" si="11"/>
        <v>66.099999999999994</v>
      </c>
      <c r="J12" s="1049">
        <f t="shared" si="8"/>
        <v>66.099999999999994</v>
      </c>
      <c r="K12" s="1049"/>
      <c r="L12" s="1049">
        <f t="shared" si="0"/>
        <v>66.099999999999994</v>
      </c>
      <c r="M12" s="1178"/>
      <c r="N12" s="1049"/>
      <c r="O12" s="1058">
        <f t="shared" si="9"/>
        <v>0</v>
      </c>
      <c r="P12" s="1049"/>
      <c r="T12" s="934">
        <f t="shared" si="10"/>
        <v>0</v>
      </c>
      <c r="W12" s="1049">
        <v>1</v>
      </c>
      <c r="X12" s="1049"/>
      <c r="Y12" s="1049">
        <v>1</v>
      </c>
      <c r="Z12" s="1049"/>
      <c r="AA12" s="1049"/>
      <c r="AB12" s="1049"/>
      <c r="AD12" s="1048"/>
      <c r="AE12" s="1048"/>
      <c r="AF12" s="1049">
        <f t="shared" si="12"/>
        <v>0</v>
      </c>
      <c r="AG12" s="1059"/>
      <c r="AH12" s="1049"/>
      <c r="AI12" s="1049"/>
      <c r="AJ12" s="1049"/>
      <c r="AK12" s="1049"/>
      <c r="AL12" s="1049"/>
      <c r="AM12" s="1049"/>
      <c r="AN12" s="1049">
        <f t="shared" si="1"/>
        <v>0</v>
      </c>
      <c r="AO12" s="1049"/>
      <c r="AP12" s="1049"/>
      <c r="AQ12" s="1049"/>
      <c r="AR12" s="1049"/>
      <c r="AS12" s="1049"/>
      <c r="AT12" s="1049"/>
      <c r="AU12" s="1049">
        <f t="shared" si="13"/>
        <v>0</v>
      </c>
      <c r="AV12" s="1049"/>
      <c r="AW12" s="1049"/>
      <c r="AX12" s="1049">
        <v>1</v>
      </c>
      <c r="AY12" s="1049">
        <f t="shared" si="2"/>
        <v>0</v>
      </c>
      <c r="AZ12" s="1049"/>
      <c r="BA12" s="1048">
        <f t="shared" si="3"/>
        <v>0</v>
      </c>
      <c r="BB12" s="1061">
        <f t="shared" si="4"/>
        <v>66.099999999999994</v>
      </c>
      <c r="BC12" s="1062"/>
      <c r="BD12" s="934">
        <f t="shared" si="5"/>
        <v>0</v>
      </c>
      <c r="BE12" s="1062">
        <v>2</v>
      </c>
      <c r="BF12" s="1062"/>
      <c r="BG12" s="1062"/>
      <c r="BH12" s="1059">
        <f t="shared" si="6"/>
        <v>0</v>
      </c>
      <c r="BI12" s="1059">
        <f t="shared" si="7"/>
        <v>0</v>
      </c>
      <c r="BJ12" s="1059"/>
      <c r="BK12" s="1059"/>
      <c r="BL12" s="1062">
        <v>1</v>
      </c>
      <c r="BM12" s="1062"/>
      <c r="BN12" s="1062"/>
      <c r="BO12" s="1062"/>
      <c r="BP12" s="1062"/>
      <c r="BQ12" s="1062"/>
      <c r="BR12" s="1062"/>
      <c r="BS12" s="1062"/>
      <c r="BT12" s="1062"/>
      <c r="BU12" s="1062"/>
      <c r="BV12" s="1062"/>
      <c r="BW12" s="1062"/>
      <c r="BX12" s="1062"/>
      <c r="BY12" s="1064"/>
      <c r="BZ12" s="935"/>
      <c r="CA12" s="935"/>
    </row>
    <row r="13" spans="1:79" s="934" customFormat="1" ht="21.6">
      <c r="E13" s="1056" t="s">
        <v>782</v>
      </c>
      <c r="F13" s="1049" t="s">
        <v>80</v>
      </c>
      <c r="G13" s="1049" t="s">
        <v>80</v>
      </c>
      <c r="H13" s="1049">
        <v>59.2</v>
      </c>
      <c r="I13" s="1049">
        <f t="shared" si="11"/>
        <v>59.2</v>
      </c>
      <c r="J13" s="1049">
        <f t="shared" si="8"/>
        <v>59.2</v>
      </c>
      <c r="K13" s="1049"/>
      <c r="L13" s="1049">
        <f t="shared" si="0"/>
        <v>59.2</v>
      </c>
      <c r="M13" s="1178"/>
      <c r="N13" s="1049"/>
      <c r="O13" s="1058">
        <f t="shared" si="9"/>
        <v>0</v>
      </c>
      <c r="P13" s="1049"/>
      <c r="T13" s="934">
        <f t="shared" si="10"/>
        <v>0</v>
      </c>
      <c r="U13" s="934">
        <v>1</v>
      </c>
      <c r="W13" s="1049">
        <v>1</v>
      </c>
      <c r="X13" s="1049"/>
      <c r="Y13" s="1049">
        <v>1</v>
      </c>
      <c r="Z13" s="1049"/>
      <c r="AA13" s="1049"/>
      <c r="AB13" s="1049"/>
      <c r="AD13" s="1048"/>
      <c r="AE13" s="1048"/>
      <c r="AF13" s="1049">
        <f t="shared" si="12"/>
        <v>0</v>
      </c>
      <c r="AG13" s="1059"/>
      <c r="AH13" s="1049"/>
      <c r="AI13" s="1049"/>
      <c r="AJ13" s="1049"/>
      <c r="AK13" s="1049"/>
      <c r="AL13" s="1049"/>
      <c r="AM13" s="1049"/>
      <c r="AN13" s="1049">
        <f t="shared" si="1"/>
        <v>0</v>
      </c>
      <c r="AO13" s="1049"/>
      <c r="AP13" s="1049"/>
      <c r="AQ13" s="1049"/>
      <c r="AR13" s="1049"/>
      <c r="AS13" s="1049"/>
      <c r="AT13" s="1049"/>
      <c r="AU13" s="1049">
        <f t="shared" si="13"/>
        <v>0</v>
      </c>
      <c r="AV13" s="1049"/>
      <c r="AW13" s="1049"/>
      <c r="AX13" s="1049">
        <v>1</v>
      </c>
      <c r="AY13" s="1049">
        <f t="shared" si="2"/>
        <v>0</v>
      </c>
      <c r="AZ13" s="1049"/>
      <c r="BA13" s="1048">
        <f t="shared" si="3"/>
        <v>0</v>
      </c>
      <c r="BB13" s="1061">
        <f t="shared" si="4"/>
        <v>59.2</v>
      </c>
      <c r="BC13" s="1062"/>
      <c r="BD13" s="934">
        <f t="shared" si="5"/>
        <v>0</v>
      </c>
      <c r="BE13" s="1062">
        <v>2</v>
      </c>
      <c r="BF13" s="1062"/>
      <c r="BG13" s="1062"/>
      <c r="BH13" s="1059">
        <f t="shared" si="6"/>
        <v>0</v>
      </c>
      <c r="BI13" s="1059">
        <f t="shared" si="7"/>
        <v>0</v>
      </c>
      <c r="BJ13" s="1059"/>
      <c r="BK13" s="1059"/>
      <c r="BL13" s="1062">
        <v>1</v>
      </c>
      <c r="BM13" s="1062"/>
      <c r="BN13" s="1062"/>
      <c r="BO13" s="1062"/>
      <c r="BP13" s="1062"/>
      <c r="BQ13" s="1062"/>
      <c r="BR13" s="1062"/>
      <c r="BS13" s="1062"/>
      <c r="BT13" s="1062"/>
      <c r="BU13" s="1062"/>
      <c r="BV13" s="1062"/>
      <c r="BW13" s="1062"/>
      <c r="BX13" s="1062"/>
      <c r="BY13" s="1064"/>
      <c r="BZ13" s="935"/>
      <c r="CA13" s="935"/>
    </row>
    <row r="14" spans="1:79" s="934" customFormat="1" ht="21.6">
      <c r="E14" s="1056" t="s">
        <v>783</v>
      </c>
      <c r="F14" s="1049" t="s">
        <v>80</v>
      </c>
      <c r="G14" s="1049" t="s">
        <v>80</v>
      </c>
      <c r="H14" s="1049">
        <v>61.8</v>
      </c>
      <c r="I14" s="1049">
        <f t="shared" si="11"/>
        <v>61.8</v>
      </c>
      <c r="J14" s="1049">
        <f t="shared" si="8"/>
        <v>61.8</v>
      </c>
      <c r="K14" s="1049"/>
      <c r="L14" s="1049">
        <f t="shared" si="0"/>
        <v>61.8</v>
      </c>
      <c r="M14" s="1178"/>
      <c r="N14" s="1049"/>
      <c r="O14" s="1058">
        <f t="shared" si="9"/>
        <v>0</v>
      </c>
      <c r="P14" s="1049"/>
      <c r="T14" s="934">
        <f t="shared" si="10"/>
        <v>0</v>
      </c>
      <c r="W14" s="1049">
        <v>1</v>
      </c>
      <c r="X14" s="1049"/>
      <c r="Y14" s="1049">
        <v>1</v>
      </c>
      <c r="Z14" s="1049"/>
      <c r="AA14" s="1049"/>
      <c r="AB14" s="1049"/>
      <c r="AD14" s="1048"/>
      <c r="AE14" s="1048"/>
      <c r="AF14" s="1049">
        <f t="shared" si="12"/>
        <v>0</v>
      </c>
      <c r="AG14" s="1059"/>
      <c r="AH14" s="1049"/>
      <c r="AI14" s="1049"/>
      <c r="AJ14" s="1049"/>
      <c r="AK14" s="1049"/>
      <c r="AL14" s="1049"/>
      <c r="AM14" s="1049"/>
      <c r="AN14" s="1049">
        <f t="shared" si="1"/>
        <v>0</v>
      </c>
      <c r="AO14" s="1049"/>
      <c r="AP14" s="1049"/>
      <c r="AQ14" s="1049"/>
      <c r="AR14" s="1049"/>
      <c r="AS14" s="1049">
        <v>1</v>
      </c>
      <c r="AT14" s="1049"/>
      <c r="AU14" s="1049">
        <f t="shared" si="13"/>
        <v>1</v>
      </c>
      <c r="AV14" s="1049"/>
      <c r="AW14" s="1049"/>
      <c r="AX14" s="1049">
        <v>1</v>
      </c>
      <c r="AY14" s="1049">
        <f t="shared" si="2"/>
        <v>0</v>
      </c>
      <c r="AZ14" s="1049"/>
      <c r="BA14" s="1048">
        <f t="shared" si="3"/>
        <v>0</v>
      </c>
      <c r="BB14" s="1061">
        <f t="shared" si="4"/>
        <v>61.8</v>
      </c>
      <c r="BC14" s="1062"/>
      <c r="BD14" s="934">
        <f t="shared" si="5"/>
        <v>0</v>
      </c>
      <c r="BE14" s="1062">
        <v>2</v>
      </c>
      <c r="BF14" s="1062"/>
      <c r="BG14" s="1062"/>
      <c r="BH14" s="1059">
        <f t="shared" si="6"/>
        <v>0</v>
      </c>
      <c r="BI14" s="1059">
        <f t="shared" si="7"/>
        <v>0</v>
      </c>
      <c r="BJ14" s="1059"/>
      <c r="BK14" s="1059"/>
      <c r="BL14" s="1062">
        <v>1</v>
      </c>
      <c r="BM14" s="1062"/>
      <c r="BN14" s="1062"/>
      <c r="BO14" s="1062"/>
      <c r="BP14" s="1062"/>
      <c r="BQ14" s="1062"/>
      <c r="BR14" s="1062"/>
      <c r="BS14" s="1062"/>
      <c r="BT14" s="1062"/>
      <c r="BU14" s="1062"/>
      <c r="BV14" s="1062"/>
      <c r="BW14" s="1062"/>
      <c r="BX14" s="1062"/>
      <c r="BY14" s="1064"/>
      <c r="BZ14" s="935"/>
      <c r="CA14" s="935"/>
    </row>
    <row r="15" spans="1:79" s="934" customFormat="1" ht="21.6">
      <c r="E15" s="1056" t="s">
        <v>784</v>
      </c>
      <c r="F15" s="1049" t="s">
        <v>80</v>
      </c>
      <c r="G15" s="1049" t="s">
        <v>80</v>
      </c>
      <c r="H15" s="1049">
        <v>49.4</v>
      </c>
      <c r="I15" s="1049">
        <f t="shared" si="11"/>
        <v>49.4</v>
      </c>
      <c r="J15" s="1049">
        <f t="shared" si="8"/>
        <v>49.4</v>
      </c>
      <c r="K15" s="1049"/>
      <c r="L15" s="1049">
        <f t="shared" si="0"/>
        <v>49.4</v>
      </c>
      <c r="M15" s="1178"/>
      <c r="N15" s="1049"/>
      <c r="O15" s="1058">
        <f t="shared" si="9"/>
        <v>0</v>
      </c>
      <c r="P15" s="1049"/>
      <c r="T15" s="934">
        <f t="shared" si="10"/>
        <v>0</v>
      </c>
      <c r="W15" s="1049">
        <v>1</v>
      </c>
      <c r="X15" s="1049"/>
      <c r="Y15" s="1049">
        <v>1</v>
      </c>
      <c r="Z15" s="1049"/>
      <c r="AA15" s="1049"/>
      <c r="AB15" s="1049"/>
      <c r="AD15" s="1048"/>
      <c r="AE15" s="1048"/>
      <c r="AF15" s="1049">
        <f t="shared" si="12"/>
        <v>0</v>
      </c>
      <c r="AG15" s="1059"/>
      <c r="AH15" s="1049"/>
      <c r="AI15" s="1049"/>
      <c r="AJ15" s="1049"/>
      <c r="AK15" s="1049"/>
      <c r="AL15" s="1049"/>
      <c r="AM15" s="1049"/>
      <c r="AN15" s="1049">
        <f t="shared" si="1"/>
        <v>0</v>
      </c>
      <c r="AO15" s="1049"/>
      <c r="AP15" s="1049"/>
      <c r="AQ15" s="1049"/>
      <c r="AR15" s="1049"/>
      <c r="AS15" s="1049"/>
      <c r="AT15" s="1049"/>
      <c r="AU15" s="1049">
        <f t="shared" si="13"/>
        <v>0</v>
      </c>
      <c r="AV15" s="1049"/>
      <c r="AW15" s="1049"/>
      <c r="AX15" s="1049">
        <v>1</v>
      </c>
      <c r="AY15" s="1049">
        <f t="shared" si="2"/>
        <v>0</v>
      </c>
      <c r="AZ15" s="1049"/>
      <c r="BA15" s="1048">
        <f t="shared" si="3"/>
        <v>0</v>
      </c>
      <c r="BB15" s="1061">
        <f t="shared" si="4"/>
        <v>49.4</v>
      </c>
      <c r="BC15" s="1062"/>
      <c r="BD15" s="934">
        <f t="shared" si="5"/>
        <v>0</v>
      </c>
      <c r="BE15" s="1062">
        <v>2</v>
      </c>
      <c r="BF15" s="1062"/>
      <c r="BG15" s="1062"/>
      <c r="BH15" s="1059">
        <f t="shared" si="6"/>
        <v>0</v>
      </c>
      <c r="BI15" s="1059">
        <f t="shared" si="7"/>
        <v>0</v>
      </c>
      <c r="BJ15" s="1059"/>
      <c r="BK15" s="1059"/>
      <c r="BL15" s="1062">
        <v>1</v>
      </c>
      <c r="BM15" s="1062"/>
      <c r="BN15" s="1062"/>
      <c r="BO15" s="1062"/>
      <c r="BP15" s="1062"/>
      <c r="BQ15" s="1062"/>
      <c r="BR15" s="1062"/>
      <c r="BS15" s="1062"/>
      <c r="BT15" s="1062"/>
      <c r="BU15" s="1062"/>
      <c r="BV15" s="1062"/>
      <c r="BW15" s="1062"/>
      <c r="BX15" s="1062"/>
      <c r="BY15" s="1064"/>
      <c r="BZ15" s="935"/>
      <c r="CA15" s="935"/>
    </row>
    <row r="16" spans="1:79" s="934" customFormat="1" ht="21.6">
      <c r="E16" s="1056" t="s">
        <v>785</v>
      </c>
      <c r="F16" s="1049" t="s">
        <v>374</v>
      </c>
      <c r="G16" s="1049" t="s">
        <v>374</v>
      </c>
      <c r="H16" s="1066">
        <v>53</v>
      </c>
      <c r="I16" s="1049">
        <f t="shared" si="11"/>
        <v>53</v>
      </c>
      <c r="J16" s="1049">
        <f t="shared" si="8"/>
        <v>53</v>
      </c>
      <c r="K16" s="1049"/>
      <c r="L16" s="1049">
        <f t="shared" si="0"/>
        <v>53</v>
      </c>
      <c r="M16" s="1178"/>
      <c r="N16" s="1049"/>
      <c r="O16" s="1058">
        <f t="shared" si="9"/>
        <v>0</v>
      </c>
      <c r="P16" s="1049"/>
      <c r="R16" s="934">
        <v>1</v>
      </c>
      <c r="W16" s="1049">
        <v>2</v>
      </c>
      <c r="X16" s="1049"/>
      <c r="Y16" s="1049"/>
      <c r="Z16" s="1049"/>
      <c r="AA16" s="1049">
        <v>1</v>
      </c>
      <c r="AB16" s="1049"/>
      <c r="AD16" s="1048"/>
      <c r="AE16" s="1048"/>
      <c r="AF16" s="1049">
        <f t="shared" si="12"/>
        <v>0</v>
      </c>
      <c r="AG16" s="1059"/>
      <c r="AH16" s="1049"/>
      <c r="AI16" s="1049"/>
      <c r="AJ16" s="1049"/>
      <c r="AK16" s="1049"/>
      <c r="AL16" s="1049"/>
      <c r="AM16" s="1049"/>
      <c r="AN16" s="1049">
        <f t="shared" si="1"/>
        <v>0</v>
      </c>
      <c r="AO16" s="1049"/>
      <c r="AP16" s="1049"/>
      <c r="AQ16" s="1049"/>
      <c r="AR16" s="1049"/>
      <c r="AS16" s="1049"/>
      <c r="AT16" s="1049"/>
      <c r="AU16" s="1049">
        <f t="shared" si="13"/>
        <v>0</v>
      </c>
      <c r="AV16" s="1049"/>
      <c r="AW16" s="1049"/>
      <c r="AX16" s="1049"/>
      <c r="AY16" s="1049">
        <f t="shared" si="2"/>
        <v>2</v>
      </c>
      <c r="AZ16" s="1049"/>
      <c r="BA16" s="1048">
        <f t="shared" si="3"/>
        <v>0</v>
      </c>
      <c r="BB16" s="1061">
        <f t="shared" si="4"/>
        <v>53</v>
      </c>
      <c r="BC16" s="1062"/>
      <c r="BD16" s="934">
        <f t="shared" si="5"/>
        <v>0</v>
      </c>
      <c r="BE16" s="1062"/>
      <c r="BF16" s="1062">
        <v>2</v>
      </c>
      <c r="BG16" s="1062"/>
      <c r="BH16" s="1059">
        <f t="shared" si="6"/>
        <v>0</v>
      </c>
      <c r="BI16" s="1059">
        <f t="shared" si="7"/>
        <v>1</v>
      </c>
      <c r="BJ16" s="1059"/>
      <c r="BK16" s="1059"/>
      <c r="BL16" s="1062">
        <v>2</v>
      </c>
      <c r="BM16" s="1062"/>
      <c r="BN16" s="1062"/>
      <c r="BO16" s="1062"/>
      <c r="BP16" s="1062"/>
      <c r="BQ16" s="1062"/>
      <c r="BR16" s="1062"/>
      <c r="BS16" s="1062"/>
      <c r="BT16" s="1062"/>
      <c r="BU16" s="1062"/>
      <c r="BV16" s="1062"/>
      <c r="BW16" s="1062"/>
      <c r="BX16" s="1062"/>
      <c r="BY16" s="1064"/>
      <c r="BZ16" s="935"/>
      <c r="CA16" s="935"/>
    </row>
    <row r="17" spans="1:79" s="934" customFormat="1" ht="21.6">
      <c r="E17" s="1056" t="s">
        <v>786</v>
      </c>
      <c r="F17" s="1049" t="s">
        <v>374</v>
      </c>
      <c r="G17" s="1049" t="s">
        <v>374</v>
      </c>
      <c r="H17" s="1049">
        <v>50.3</v>
      </c>
      <c r="I17" s="1049">
        <f t="shared" si="11"/>
        <v>50.3</v>
      </c>
      <c r="J17" s="1049">
        <f t="shared" si="8"/>
        <v>50.3</v>
      </c>
      <c r="K17" s="1049"/>
      <c r="L17" s="1049">
        <f t="shared" si="0"/>
        <v>50.3</v>
      </c>
      <c r="M17" s="1178"/>
      <c r="N17" s="1049"/>
      <c r="O17" s="1058">
        <f t="shared" si="9"/>
        <v>0</v>
      </c>
      <c r="P17" s="1049"/>
      <c r="R17" s="934">
        <v>1</v>
      </c>
      <c r="W17" s="1049">
        <v>2</v>
      </c>
      <c r="X17" s="1049"/>
      <c r="Y17" s="1049"/>
      <c r="Z17" s="1049"/>
      <c r="AA17" s="1049">
        <v>1</v>
      </c>
      <c r="AB17" s="1049"/>
      <c r="AD17" s="1048"/>
      <c r="AE17" s="1048"/>
      <c r="AF17" s="1049">
        <f t="shared" si="12"/>
        <v>0</v>
      </c>
      <c r="AG17" s="1059"/>
      <c r="AH17" s="1049"/>
      <c r="AI17" s="1049"/>
      <c r="AJ17" s="1049"/>
      <c r="AK17" s="1049"/>
      <c r="AL17" s="1049"/>
      <c r="AM17" s="1049"/>
      <c r="AN17" s="1049">
        <f t="shared" si="1"/>
        <v>0</v>
      </c>
      <c r="AO17" s="1049"/>
      <c r="AP17" s="1049"/>
      <c r="AQ17" s="1049"/>
      <c r="AR17" s="1049"/>
      <c r="AS17" s="1049"/>
      <c r="AT17" s="1049"/>
      <c r="AU17" s="1049">
        <f t="shared" si="13"/>
        <v>0</v>
      </c>
      <c r="AV17" s="1049"/>
      <c r="AW17" s="1049"/>
      <c r="AX17" s="1049"/>
      <c r="AY17" s="1049">
        <f t="shared" si="2"/>
        <v>2</v>
      </c>
      <c r="AZ17" s="1049"/>
      <c r="BA17" s="1048">
        <f t="shared" si="3"/>
        <v>0</v>
      </c>
      <c r="BB17" s="1061">
        <f t="shared" si="4"/>
        <v>50.3</v>
      </c>
      <c r="BC17" s="1062"/>
      <c r="BD17" s="934">
        <f t="shared" si="5"/>
        <v>0</v>
      </c>
      <c r="BE17" s="1062"/>
      <c r="BF17" s="1062">
        <v>2</v>
      </c>
      <c r="BG17" s="1062"/>
      <c r="BH17" s="1059">
        <f t="shared" si="6"/>
        <v>0</v>
      </c>
      <c r="BI17" s="1059">
        <f t="shared" si="7"/>
        <v>1</v>
      </c>
      <c r="BJ17" s="1059"/>
      <c r="BK17" s="1059"/>
      <c r="BL17" s="1062">
        <v>2</v>
      </c>
      <c r="BM17" s="1062"/>
      <c r="BN17" s="1062"/>
      <c r="BO17" s="1062"/>
      <c r="BP17" s="1062"/>
      <c r="BQ17" s="1062"/>
      <c r="BR17" s="1062"/>
      <c r="BS17" s="1062"/>
      <c r="BT17" s="1062"/>
      <c r="BU17" s="1062"/>
      <c r="BV17" s="1062"/>
      <c r="BW17" s="1062"/>
      <c r="BX17" s="1062"/>
      <c r="BY17" s="1064"/>
      <c r="BZ17" s="935"/>
      <c r="CA17" s="935"/>
    </row>
    <row r="18" spans="1:79" s="934" customFormat="1" ht="21.6">
      <c r="E18" s="1056" t="s">
        <v>787</v>
      </c>
      <c r="F18" s="1049" t="s">
        <v>374</v>
      </c>
      <c r="G18" s="1049" t="s">
        <v>374</v>
      </c>
      <c r="H18" s="1049">
        <v>64.7</v>
      </c>
      <c r="I18" s="1049">
        <f t="shared" si="11"/>
        <v>64.7</v>
      </c>
      <c r="J18" s="1049">
        <f t="shared" si="8"/>
        <v>64.7</v>
      </c>
      <c r="K18" s="1049"/>
      <c r="L18" s="1049">
        <f t="shared" si="0"/>
        <v>64.7</v>
      </c>
      <c r="M18" s="1178"/>
      <c r="N18" s="1049"/>
      <c r="O18" s="1058">
        <f t="shared" si="9"/>
        <v>0</v>
      </c>
      <c r="P18" s="1049"/>
      <c r="Q18" s="934">
        <v>1</v>
      </c>
      <c r="U18" s="934">
        <v>1</v>
      </c>
      <c r="W18" s="1049">
        <v>2</v>
      </c>
      <c r="X18" s="1049"/>
      <c r="Y18" s="1049"/>
      <c r="Z18" s="1049"/>
      <c r="AA18" s="1049">
        <v>1</v>
      </c>
      <c r="AB18" s="1049"/>
      <c r="AD18" s="1048"/>
      <c r="AE18" s="1048"/>
      <c r="AF18" s="1049">
        <f t="shared" si="12"/>
        <v>0</v>
      </c>
      <c r="AG18" s="1059"/>
      <c r="AH18" s="1049"/>
      <c r="AI18" s="1049"/>
      <c r="AJ18" s="1049"/>
      <c r="AK18" s="1049"/>
      <c r="AL18" s="1049"/>
      <c r="AM18" s="1049"/>
      <c r="AN18" s="1049">
        <f>AJ18+AM18</f>
        <v>0</v>
      </c>
      <c r="AO18" s="1049"/>
      <c r="AP18" s="1049"/>
      <c r="AQ18" s="1049"/>
      <c r="AR18" s="1049"/>
      <c r="AS18" s="1049"/>
      <c r="AT18" s="1049"/>
      <c r="AU18" s="1049">
        <f t="shared" si="13"/>
        <v>0</v>
      </c>
      <c r="AV18" s="1049"/>
      <c r="AW18" s="1049"/>
      <c r="AX18" s="1049"/>
      <c r="AY18" s="1049">
        <f t="shared" si="2"/>
        <v>2</v>
      </c>
      <c r="AZ18" s="1049"/>
      <c r="BA18" s="1048">
        <f t="shared" si="3"/>
        <v>0</v>
      </c>
      <c r="BB18" s="1061">
        <f t="shared" si="4"/>
        <v>64.7</v>
      </c>
      <c r="BC18" s="1062"/>
      <c r="BD18" s="934">
        <f t="shared" si="5"/>
        <v>0</v>
      </c>
      <c r="BE18" s="1062"/>
      <c r="BF18" s="1062">
        <v>2</v>
      </c>
      <c r="BG18" s="1062"/>
      <c r="BH18" s="1059">
        <f t="shared" si="6"/>
        <v>1</v>
      </c>
      <c r="BI18" s="1059">
        <f t="shared" si="7"/>
        <v>0</v>
      </c>
      <c r="BJ18" s="1059"/>
      <c r="BK18" s="1059"/>
      <c r="BL18" s="1062">
        <v>2</v>
      </c>
      <c r="BM18" s="1062"/>
      <c r="BN18" s="1062"/>
      <c r="BO18" s="1062"/>
      <c r="BP18" s="1062"/>
      <c r="BQ18" s="1062"/>
      <c r="BR18" s="1062"/>
      <c r="BS18" s="1062"/>
      <c r="BT18" s="1062"/>
      <c r="BU18" s="1062"/>
      <c r="BV18" s="1062"/>
      <c r="BW18" s="1062"/>
      <c r="BX18" s="1062"/>
      <c r="BY18" s="1064"/>
      <c r="BZ18" s="935"/>
      <c r="CA18" s="935"/>
    </row>
    <row r="19" spans="1:79" s="934" customFormat="1" ht="43.2">
      <c r="E19" s="1056" t="s">
        <v>788</v>
      </c>
      <c r="F19" s="1049" t="s">
        <v>377</v>
      </c>
      <c r="G19" s="1049" t="s">
        <v>377</v>
      </c>
      <c r="H19" s="1066">
        <v>57</v>
      </c>
      <c r="I19" s="1049">
        <f t="shared" si="11"/>
        <v>57</v>
      </c>
      <c r="J19" s="1049">
        <f t="shared" si="8"/>
        <v>57</v>
      </c>
      <c r="K19" s="1049"/>
      <c r="L19" s="1049">
        <f t="shared" si="0"/>
        <v>57</v>
      </c>
      <c r="M19" s="1178"/>
      <c r="N19" s="1049"/>
      <c r="O19" s="1058">
        <f t="shared" si="9"/>
        <v>0</v>
      </c>
      <c r="P19" s="1049"/>
      <c r="Q19" s="934">
        <v>1</v>
      </c>
      <c r="T19" s="934">
        <f t="shared" si="10"/>
        <v>0</v>
      </c>
      <c r="W19" s="1049">
        <v>1</v>
      </c>
      <c r="X19" s="1049"/>
      <c r="Y19" s="1049">
        <v>1</v>
      </c>
      <c r="Z19" s="1049"/>
      <c r="AA19" s="1049"/>
      <c r="AB19" s="1049"/>
      <c r="AC19" s="934">
        <v>1</v>
      </c>
      <c r="AD19" s="1048">
        <v>1</v>
      </c>
      <c r="AE19" s="1048"/>
      <c r="AF19" s="1049">
        <f t="shared" si="12"/>
        <v>1</v>
      </c>
      <c r="AG19" s="1059"/>
      <c r="AH19" s="1049"/>
      <c r="AI19" s="1049"/>
      <c r="AJ19" s="1049"/>
      <c r="AK19" s="1049"/>
      <c r="AL19" s="1049"/>
      <c r="AM19" s="1049"/>
      <c r="AN19" s="1049">
        <f>AJ19+AM19</f>
        <v>0</v>
      </c>
      <c r="AO19" s="1049"/>
      <c r="AP19" s="1049"/>
      <c r="AQ19" s="1049"/>
      <c r="AR19" s="1049"/>
      <c r="AS19" s="1049">
        <v>0.5</v>
      </c>
      <c r="AT19" s="1049"/>
      <c r="AU19" s="1049">
        <f t="shared" si="13"/>
        <v>0.5</v>
      </c>
      <c r="AV19" s="1049"/>
      <c r="AW19" s="1049"/>
      <c r="AX19" s="1049">
        <v>1</v>
      </c>
      <c r="AY19" s="1221">
        <f t="shared" si="2"/>
        <v>0</v>
      </c>
      <c r="AZ19" s="1049"/>
      <c r="BA19" s="1048">
        <f t="shared" si="3"/>
        <v>1</v>
      </c>
      <c r="BB19" s="1061">
        <f t="shared" si="4"/>
        <v>57</v>
      </c>
      <c r="BC19" s="1062"/>
      <c r="BD19" s="934">
        <f t="shared" si="5"/>
        <v>0</v>
      </c>
      <c r="BE19" s="1062"/>
      <c r="BF19" s="1062"/>
      <c r="BG19" s="1062"/>
      <c r="BH19" s="1059">
        <f t="shared" si="6"/>
        <v>1</v>
      </c>
      <c r="BI19" s="1059">
        <f t="shared" si="7"/>
        <v>0</v>
      </c>
      <c r="BJ19" s="1059"/>
      <c r="BK19" s="1059">
        <v>1</v>
      </c>
      <c r="BL19" s="1062"/>
      <c r="BM19" s="1062"/>
      <c r="BN19" s="1062"/>
      <c r="BO19" s="1062">
        <v>1</v>
      </c>
      <c r="BP19" s="1062"/>
      <c r="BQ19" s="1062"/>
      <c r="BR19" s="1062"/>
      <c r="BS19" s="1062"/>
      <c r="BT19" s="1062"/>
      <c r="BU19" s="1062"/>
      <c r="BV19" s="1062"/>
      <c r="BW19" s="1062"/>
      <c r="BX19" s="1062"/>
      <c r="BY19" s="1064" t="s">
        <v>872</v>
      </c>
      <c r="BZ19" s="935"/>
      <c r="CA19" s="935"/>
    </row>
    <row r="20" spans="1:79" s="934" customFormat="1" ht="21.6">
      <c r="A20" s="1373"/>
      <c r="B20" s="1373"/>
      <c r="C20" s="1373"/>
      <c r="D20" s="1373" t="s">
        <v>935</v>
      </c>
      <c r="E20" s="1098" t="s">
        <v>639</v>
      </c>
      <c r="F20" s="1099"/>
      <c r="G20" s="1099"/>
      <c r="H20" s="1100">
        <f>SUM(H7:H19)</f>
        <v>713.59999999999991</v>
      </c>
      <c r="I20" s="1100">
        <f t="shared" ref="I20:BT20" si="14">SUM(I7:I19)</f>
        <v>713.59999999999991</v>
      </c>
      <c r="J20" s="1100">
        <f t="shared" si="14"/>
        <v>713.59999999999991</v>
      </c>
      <c r="K20" s="1100">
        <f t="shared" si="14"/>
        <v>0</v>
      </c>
      <c r="L20" s="1100">
        <f t="shared" si="14"/>
        <v>713.59999999999991</v>
      </c>
      <c r="M20" s="1100">
        <f t="shared" si="14"/>
        <v>0</v>
      </c>
      <c r="N20" s="1100">
        <f t="shared" si="14"/>
        <v>0</v>
      </c>
      <c r="O20" s="1100">
        <f t="shared" si="14"/>
        <v>0</v>
      </c>
      <c r="P20" s="1100">
        <f t="shared" si="14"/>
        <v>0</v>
      </c>
      <c r="Q20" s="1100">
        <f t="shared" si="14"/>
        <v>6</v>
      </c>
      <c r="R20" s="1100">
        <f t="shared" si="14"/>
        <v>2</v>
      </c>
      <c r="S20" s="1100">
        <f t="shared" si="14"/>
        <v>0</v>
      </c>
      <c r="T20" s="1100">
        <f t="shared" si="14"/>
        <v>0</v>
      </c>
      <c r="U20" s="1100">
        <f t="shared" si="14"/>
        <v>3</v>
      </c>
      <c r="V20" s="1100">
        <f t="shared" si="14"/>
        <v>0</v>
      </c>
      <c r="W20" s="1100">
        <f t="shared" si="14"/>
        <v>16</v>
      </c>
      <c r="X20" s="1100">
        <f t="shared" si="14"/>
        <v>0</v>
      </c>
      <c r="Y20" s="1100">
        <f t="shared" si="14"/>
        <v>6</v>
      </c>
      <c r="Z20" s="1100">
        <f t="shared" si="14"/>
        <v>0</v>
      </c>
      <c r="AA20" s="1100">
        <f t="shared" si="14"/>
        <v>5</v>
      </c>
      <c r="AB20" s="1100">
        <f t="shared" si="14"/>
        <v>0</v>
      </c>
      <c r="AC20" s="1100">
        <f t="shared" si="14"/>
        <v>4</v>
      </c>
      <c r="AD20" s="1100">
        <f t="shared" si="14"/>
        <v>3</v>
      </c>
      <c r="AE20" s="1100">
        <f t="shared" si="14"/>
        <v>1</v>
      </c>
      <c r="AF20" s="1100">
        <f t="shared" si="14"/>
        <v>4</v>
      </c>
      <c r="AG20" s="1100">
        <f t="shared" si="14"/>
        <v>0</v>
      </c>
      <c r="AH20" s="1100">
        <f t="shared" si="14"/>
        <v>0</v>
      </c>
      <c r="AI20" s="1100">
        <f t="shared" si="14"/>
        <v>0</v>
      </c>
      <c r="AJ20" s="1100">
        <f t="shared" si="14"/>
        <v>0</v>
      </c>
      <c r="AK20" s="1100">
        <f t="shared" si="14"/>
        <v>0</v>
      </c>
      <c r="AL20" s="1100">
        <f t="shared" si="14"/>
        <v>0</v>
      </c>
      <c r="AM20" s="1100">
        <f t="shared" si="14"/>
        <v>1</v>
      </c>
      <c r="AN20" s="1100">
        <f t="shared" si="14"/>
        <v>1</v>
      </c>
      <c r="AO20" s="1100">
        <f t="shared" si="14"/>
        <v>0</v>
      </c>
      <c r="AP20" s="1100">
        <f t="shared" si="14"/>
        <v>0</v>
      </c>
      <c r="AQ20" s="1100">
        <f t="shared" si="14"/>
        <v>0</v>
      </c>
      <c r="AR20" s="1100">
        <f t="shared" si="14"/>
        <v>0</v>
      </c>
      <c r="AS20" s="1100">
        <f t="shared" si="14"/>
        <v>2.5</v>
      </c>
      <c r="AT20" s="1100">
        <f t="shared" si="14"/>
        <v>0.5</v>
      </c>
      <c r="AU20" s="1100">
        <f t="shared" si="14"/>
        <v>3</v>
      </c>
      <c r="AV20" s="1100">
        <f t="shared" si="14"/>
        <v>0</v>
      </c>
      <c r="AW20" s="1100">
        <f t="shared" si="14"/>
        <v>0</v>
      </c>
      <c r="AX20" s="1100">
        <f t="shared" si="14"/>
        <v>7</v>
      </c>
      <c r="AY20" s="1100">
        <f t="shared" si="14"/>
        <v>10</v>
      </c>
      <c r="AZ20" s="1100">
        <f t="shared" si="14"/>
        <v>0</v>
      </c>
      <c r="BA20" s="1100">
        <f t="shared" si="14"/>
        <v>4</v>
      </c>
      <c r="BB20" s="1100">
        <f t="shared" si="14"/>
        <v>713.59999999999991</v>
      </c>
      <c r="BC20" s="1100">
        <f t="shared" si="14"/>
        <v>0</v>
      </c>
      <c r="BD20" s="1100">
        <f t="shared" si="14"/>
        <v>0</v>
      </c>
      <c r="BE20" s="1100">
        <f t="shared" si="14"/>
        <v>12</v>
      </c>
      <c r="BF20" s="1100">
        <f t="shared" si="14"/>
        <v>10</v>
      </c>
      <c r="BG20" s="1100">
        <f t="shared" si="14"/>
        <v>0</v>
      </c>
      <c r="BH20" s="1100">
        <f t="shared" si="14"/>
        <v>6</v>
      </c>
      <c r="BI20" s="1100">
        <f t="shared" si="14"/>
        <v>2</v>
      </c>
      <c r="BJ20" s="1100">
        <f t="shared" si="14"/>
        <v>0</v>
      </c>
      <c r="BK20" s="1100">
        <f t="shared" si="14"/>
        <v>4</v>
      </c>
      <c r="BL20" s="1100">
        <f t="shared" si="14"/>
        <v>16</v>
      </c>
      <c r="BM20" s="1100">
        <f t="shared" si="14"/>
        <v>0</v>
      </c>
      <c r="BN20" s="1100">
        <f t="shared" si="14"/>
        <v>0</v>
      </c>
      <c r="BO20" s="1100">
        <f t="shared" si="14"/>
        <v>3</v>
      </c>
      <c r="BP20" s="1100">
        <f t="shared" si="14"/>
        <v>1</v>
      </c>
      <c r="BQ20" s="1100">
        <f t="shared" si="14"/>
        <v>0</v>
      </c>
      <c r="BR20" s="1100">
        <f t="shared" si="14"/>
        <v>0</v>
      </c>
      <c r="BS20" s="1100">
        <f t="shared" si="14"/>
        <v>0</v>
      </c>
      <c r="BT20" s="1100">
        <f t="shared" si="14"/>
        <v>0</v>
      </c>
      <c r="BU20" s="1100">
        <f t="shared" ref="BU20:BW20" si="15">SUM(BU7:BU19)</f>
        <v>0</v>
      </c>
      <c r="BV20" s="1100">
        <f t="shared" si="15"/>
        <v>0</v>
      </c>
      <c r="BW20" s="1100">
        <f t="shared" si="15"/>
        <v>0</v>
      </c>
      <c r="BX20" s="1101">
        <f>SUM(BX7:BX19)</f>
        <v>0</v>
      </c>
      <c r="BY20" s="1102"/>
      <c r="BZ20" s="935"/>
      <c r="CA20" s="935"/>
    </row>
    <row r="21" spans="1:79" s="937" customFormat="1" ht="21.6">
      <c r="D21" s="1372" t="s">
        <v>935</v>
      </c>
      <c r="E21" s="1103" t="s">
        <v>789</v>
      </c>
      <c r="F21" s="1104"/>
      <c r="G21" s="1104"/>
      <c r="H21" s="1105"/>
      <c r="I21" s="1104"/>
      <c r="J21" s="1104"/>
      <c r="K21" s="1104"/>
      <c r="L21" s="1104"/>
      <c r="M21" s="1180"/>
      <c r="N21" s="1104"/>
      <c r="O21" s="1104"/>
      <c r="P21" s="1104"/>
      <c r="Q21" s="1104"/>
      <c r="R21" s="1104"/>
      <c r="S21" s="1104"/>
      <c r="T21" s="1104"/>
      <c r="U21" s="1104"/>
      <c r="V21" s="1104"/>
      <c r="W21" s="1104"/>
      <c r="X21" s="1104"/>
      <c r="Y21" s="1104"/>
      <c r="Z21" s="1104"/>
      <c r="AA21" s="1104"/>
      <c r="AB21" s="1104"/>
      <c r="AC21" s="1104"/>
      <c r="AD21" s="1104"/>
      <c r="AE21" s="1104"/>
      <c r="AF21" s="1104"/>
      <c r="AG21" s="1106"/>
      <c r="AH21" s="1104"/>
      <c r="AI21" s="1104"/>
      <c r="AJ21" s="1104"/>
      <c r="AK21" s="1104"/>
      <c r="AL21" s="1104"/>
      <c r="AM21" s="1104"/>
      <c r="AN21" s="1104"/>
      <c r="AO21" s="1104"/>
      <c r="AP21" s="1104"/>
      <c r="AQ21" s="1104"/>
      <c r="AR21" s="1104"/>
      <c r="AS21" s="1104"/>
      <c r="AT21" s="1104"/>
      <c r="AU21" s="1104"/>
      <c r="AV21" s="1104"/>
      <c r="AW21" s="1104"/>
      <c r="AX21" s="1104"/>
      <c r="AY21" s="1104"/>
      <c r="AZ21" s="1104"/>
      <c r="BA21" s="1106"/>
      <c r="BB21" s="1107"/>
      <c r="BC21" s="1108"/>
      <c r="BD21" s="1108"/>
      <c r="BE21" s="1108"/>
      <c r="BF21" s="1108"/>
      <c r="BG21" s="1108"/>
      <c r="BH21" s="1106"/>
      <c r="BI21" s="1106"/>
      <c r="BJ21" s="1106"/>
      <c r="BK21" s="1106"/>
      <c r="BL21" s="1108"/>
      <c r="BM21" s="1108"/>
      <c r="BN21" s="1108"/>
      <c r="BO21" s="1108"/>
      <c r="BP21" s="1108"/>
      <c r="BQ21" s="1108"/>
      <c r="BR21" s="1108"/>
      <c r="BS21" s="1108"/>
      <c r="BT21" s="1108"/>
      <c r="BU21" s="1108"/>
      <c r="BV21" s="1108"/>
      <c r="BW21" s="1108"/>
      <c r="BX21" s="1108"/>
      <c r="BY21" s="1109"/>
      <c r="BZ21" s="936"/>
      <c r="CA21" s="936"/>
    </row>
    <row r="22" spans="1:79" s="977" customFormat="1" ht="21.6">
      <c r="E22" s="1042" t="s">
        <v>776</v>
      </c>
      <c r="F22" s="1067" t="s">
        <v>377</v>
      </c>
      <c r="G22" s="1067" t="s">
        <v>377</v>
      </c>
      <c r="H22" s="1068"/>
      <c r="I22" s="1068">
        <f>H22</f>
        <v>0</v>
      </c>
      <c r="J22" s="1068">
        <f t="shared" ref="J22:J40" si="16">H22</f>
        <v>0</v>
      </c>
      <c r="K22" s="1068"/>
      <c r="L22" s="1068">
        <f t="shared" ref="L22:L40" si="17">I22</f>
        <v>0</v>
      </c>
      <c r="M22" s="1177"/>
      <c r="N22" s="1045"/>
      <c r="O22" s="1046">
        <f t="shared" ref="O22:O40" si="18">N22+M22</f>
        <v>0</v>
      </c>
      <c r="P22" s="933"/>
      <c r="Q22" s="933"/>
      <c r="R22" s="933"/>
      <c r="S22" s="933"/>
      <c r="T22" s="933"/>
      <c r="U22" s="933"/>
      <c r="V22" s="933"/>
      <c r="W22" s="933"/>
      <c r="X22" s="933"/>
      <c r="Y22" s="933"/>
      <c r="Z22" s="933"/>
      <c r="AA22" s="933"/>
      <c r="AB22" s="933"/>
      <c r="AC22" s="933">
        <v>1</v>
      </c>
      <c r="AD22" s="1069"/>
      <c r="AE22" s="1069">
        <v>1</v>
      </c>
      <c r="AF22" s="1069">
        <f>AE22+AD22</f>
        <v>1</v>
      </c>
      <c r="AG22" s="1069"/>
      <c r="AH22" s="933"/>
      <c r="AI22" s="933"/>
      <c r="AJ22" s="1070"/>
      <c r="AK22" s="1070"/>
      <c r="AL22" s="1070"/>
      <c r="AM22" s="1070"/>
      <c r="AN22" s="1049">
        <f t="shared" ref="AN22:AN23" si="19">AJ22+AM22</f>
        <v>0</v>
      </c>
      <c r="AO22" s="1071"/>
      <c r="AP22" s="1071"/>
      <c r="AQ22" s="1071"/>
      <c r="AR22" s="1071"/>
      <c r="AS22" s="1069"/>
      <c r="AT22" s="1069">
        <v>0.5</v>
      </c>
      <c r="AU22" s="1069">
        <f>AS22+AT22</f>
        <v>0.5</v>
      </c>
      <c r="AV22" s="1069"/>
      <c r="AW22" s="1069"/>
      <c r="AX22" s="1069">
        <v>1</v>
      </c>
      <c r="AY22" s="1069"/>
      <c r="AZ22" s="1069"/>
      <c r="BA22" s="933">
        <v>1</v>
      </c>
      <c r="BB22" s="1051">
        <f t="shared" ref="BB22:BB40" si="20">J22</f>
        <v>0</v>
      </c>
      <c r="BC22" s="933"/>
      <c r="BD22" s="934">
        <f t="shared" ref="BD22:BD40" si="21">AZ22</f>
        <v>0</v>
      </c>
      <c r="BE22" s="933"/>
      <c r="BF22" s="933"/>
      <c r="BG22" s="933"/>
      <c r="BH22" s="933"/>
      <c r="BI22" s="933"/>
      <c r="BJ22" s="933"/>
      <c r="BK22" s="933">
        <v>1</v>
      </c>
      <c r="BL22" s="933"/>
      <c r="BM22" s="933"/>
      <c r="BN22" s="933"/>
      <c r="BO22" s="1069"/>
      <c r="BP22" s="1069">
        <v>1</v>
      </c>
      <c r="BQ22" s="1069"/>
      <c r="BR22" s="1069"/>
      <c r="BS22" s="1069"/>
      <c r="BT22" s="933"/>
      <c r="BU22" s="933"/>
      <c r="BV22" s="933"/>
      <c r="BW22" s="933"/>
      <c r="BX22" s="933"/>
      <c r="BY22" s="933"/>
      <c r="BZ22" s="1072"/>
      <c r="CA22" s="1072"/>
    </row>
    <row r="23" spans="1:79" s="977" customFormat="1" ht="21.6">
      <c r="E23" s="1056" t="s">
        <v>614</v>
      </c>
      <c r="F23" s="1073" t="s">
        <v>148</v>
      </c>
      <c r="G23" s="1073" t="s">
        <v>148</v>
      </c>
      <c r="H23" s="1066">
        <v>55.3</v>
      </c>
      <c r="I23" s="1066">
        <f>H23</f>
        <v>55.3</v>
      </c>
      <c r="J23" s="1066">
        <f t="shared" si="16"/>
        <v>55.3</v>
      </c>
      <c r="K23" s="1066"/>
      <c r="L23" s="1066">
        <f t="shared" si="17"/>
        <v>55.3</v>
      </c>
      <c r="M23" s="1178"/>
      <c r="N23" s="1057"/>
      <c r="O23" s="1058">
        <f t="shared" si="18"/>
        <v>0</v>
      </c>
      <c r="P23" s="934"/>
      <c r="Q23" s="934">
        <v>1</v>
      </c>
      <c r="R23" s="934"/>
      <c r="S23" s="934"/>
      <c r="T23" s="934"/>
      <c r="U23" s="934"/>
      <c r="V23" s="934"/>
      <c r="W23" s="934"/>
      <c r="X23" s="934"/>
      <c r="Y23" s="934"/>
      <c r="Z23" s="934"/>
      <c r="AA23" s="934"/>
      <c r="AB23" s="934"/>
      <c r="AC23" s="934">
        <v>2</v>
      </c>
      <c r="AD23" s="1048">
        <v>2</v>
      </c>
      <c r="AE23" s="1048"/>
      <c r="AF23" s="1048">
        <f>AE23+AD23</f>
        <v>2</v>
      </c>
      <c r="AG23" s="1048"/>
      <c r="AH23" s="934"/>
      <c r="AI23" s="934"/>
      <c r="AJ23" s="1074"/>
      <c r="AK23" s="1074"/>
      <c r="AL23" s="1074"/>
      <c r="AM23" s="1074"/>
      <c r="AN23" s="1049">
        <f t="shared" si="19"/>
        <v>0</v>
      </c>
      <c r="AO23" s="1049">
        <v>1</v>
      </c>
      <c r="AP23" s="1049"/>
      <c r="AQ23" s="1049">
        <v>1</v>
      </c>
      <c r="AR23" s="1049"/>
      <c r="AS23" s="934">
        <v>1</v>
      </c>
      <c r="AT23" s="934"/>
      <c r="AU23" s="934">
        <f>AS23+AT23</f>
        <v>1</v>
      </c>
      <c r="AV23" s="934"/>
      <c r="AW23" s="934">
        <v>1</v>
      </c>
      <c r="AX23" s="934"/>
      <c r="AY23" s="1060"/>
      <c r="AZ23" s="1049">
        <v>1</v>
      </c>
      <c r="BA23" s="934">
        <v>2</v>
      </c>
      <c r="BB23" s="1061">
        <f t="shared" si="20"/>
        <v>55.3</v>
      </c>
      <c r="BC23" s="934"/>
      <c r="BD23" s="934">
        <f t="shared" si="21"/>
        <v>1</v>
      </c>
      <c r="BE23" s="934"/>
      <c r="BF23" s="934"/>
      <c r="BG23" s="934"/>
      <c r="BH23" s="934">
        <v>1</v>
      </c>
      <c r="BI23" s="934"/>
      <c r="BJ23" s="934"/>
      <c r="BK23" s="934">
        <v>2</v>
      </c>
      <c r="BL23" s="934"/>
      <c r="BM23" s="934"/>
      <c r="BN23" s="934"/>
      <c r="BO23" s="1048">
        <v>2</v>
      </c>
      <c r="BP23" s="1048"/>
      <c r="BQ23" s="1048"/>
      <c r="BR23" s="1048"/>
      <c r="BS23" s="1048">
        <v>2</v>
      </c>
      <c r="BT23" s="934">
        <v>2</v>
      </c>
      <c r="BU23" s="934"/>
      <c r="BV23" s="934">
        <v>1</v>
      </c>
      <c r="BW23" s="934"/>
      <c r="BX23" s="934"/>
      <c r="BY23" s="934" t="s">
        <v>851</v>
      </c>
      <c r="CA23" s="1072"/>
    </row>
    <row r="24" spans="1:79" s="1072" customFormat="1" ht="21.6">
      <c r="E24" s="1056" t="s">
        <v>615</v>
      </c>
      <c r="F24" s="1073" t="s">
        <v>80</v>
      </c>
      <c r="G24" s="1073" t="s">
        <v>80</v>
      </c>
      <c r="H24" s="1066">
        <v>60</v>
      </c>
      <c r="I24" s="1066">
        <f>H24</f>
        <v>60</v>
      </c>
      <c r="J24" s="1066">
        <f t="shared" si="16"/>
        <v>60</v>
      </c>
      <c r="K24" s="1066"/>
      <c r="L24" s="1066">
        <f t="shared" si="17"/>
        <v>60</v>
      </c>
      <c r="M24" s="1178"/>
      <c r="N24" s="1057"/>
      <c r="O24" s="1058">
        <f t="shared" si="18"/>
        <v>0</v>
      </c>
      <c r="P24" s="1048"/>
      <c r="Q24" s="1048"/>
      <c r="R24" s="1048"/>
      <c r="S24" s="1048"/>
      <c r="T24" s="1048"/>
      <c r="U24" s="1048"/>
      <c r="V24" s="1048"/>
      <c r="W24" s="1048">
        <v>1</v>
      </c>
      <c r="X24" s="1048"/>
      <c r="Y24" s="1048">
        <v>1</v>
      </c>
      <c r="Z24" s="1048"/>
      <c r="AA24" s="1048"/>
      <c r="AB24" s="1048"/>
      <c r="AC24" s="1048"/>
      <c r="AD24" s="1048"/>
      <c r="AE24" s="1048"/>
      <c r="AF24" s="1048">
        <f t="shared" ref="AF24:AF40" si="22">AE24+AD24</f>
        <v>0</v>
      </c>
      <c r="AG24" s="1048"/>
      <c r="AH24" s="1048"/>
      <c r="AI24" s="1048"/>
      <c r="AJ24" s="1075"/>
      <c r="AK24" s="1075"/>
      <c r="AL24" s="1075"/>
      <c r="AM24" s="1223">
        <v>1</v>
      </c>
      <c r="AN24" s="1049">
        <v>1</v>
      </c>
      <c r="AO24" s="1049"/>
      <c r="AP24" s="1049"/>
      <c r="AQ24" s="1049"/>
      <c r="AR24" s="1049"/>
      <c r="AS24" s="1048"/>
      <c r="AT24" s="1048"/>
      <c r="AU24" s="934">
        <f t="shared" ref="AU24:AU40" si="23">AS24+AT24</f>
        <v>0</v>
      </c>
      <c r="AV24" s="1048"/>
      <c r="AW24" s="1048"/>
      <c r="AX24" s="1048">
        <v>1</v>
      </c>
      <c r="AY24" s="1048"/>
      <c r="AZ24" s="1048"/>
      <c r="BA24" s="1048">
        <f t="shared" ref="BA24:BA40" si="24">IF(F24="2DT",2,IF(F24="DT",1,IF(F24="2DT-90",2,0)))</f>
        <v>0</v>
      </c>
      <c r="BB24" s="1073">
        <f t="shared" si="20"/>
        <v>60</v>
      </c>
      <c r="BC24" s="1048"/>
      <c r="BD24" s="934">
        <f t="shared" si="21"/>
        <v>0</v>
      </c>
      <c r="BE24" s="1048">
        <v>2</v>
      </c>
      <c r="BF24" s="1048"/>
      <c r="BG24" s="1048"/>
      <c r="BH24" s="1048"/>
      <c r="BI24" s="1048"/>
      <c r="BJ24" s="1048"/>
      <c r="BK24" s="1048"/>
      <c r="BL24" s="1048">
        <v>1</v>
      </c>
      <c r="BM24" s="1048"/>
      <c r="BN24" s="1048"/>
      <c r="BO24" s="1048"/>
      <c r="BP24" s="1048"/>
      <c r="BQ24" s="1048"/>
      <c r="BR24" s="1048"/>
      <c r="BS24" s="1048"/>
      <c r="BT24" s="1048">
        <v>1</v>
      </c>
      <c r="BU24" s="1048"/>
      <c r="BV24" s="1048"/>
      <c r="BW24" s="1048"/>
      <c r="BX24" s="1048"/>
      <c r="BY24" s="1075" t="s">
        <v>852</v>
      </c>
    </row>
    <row r="25" spans="1:79" s="977" customFormat="1" ht="21.6">
      <c r="E25" s="1056" t="s">
        <v>616</v>
      </c>
      <c r="F25" s="1073" t="s">
        <v>148</v>
      </c>
      <c r="G25" s="1073" t="s">
        <v>148</v>
      </c>
      <c r="H25" s="1066">
        <v>60.9</v>
      </c>
      <c r="I25" s="1066">
        <f t="shared" ref="I25:I40" si="25">H25</f>
        <v>60.9</v>
      </c>
      <c r="J25" s="1066">
        <f t="shared" si="16"/>
        <v>60.9</v>
      </c>
      <c r="K25" s="1066"/>
      <c r="L25" s="1066">
        <f t="shared" si="17"/>
        <v>60.9</v>
      </c>
      <c r="M25" s="1178"/>
      <c r="N25" s="1057"/>
      <c r="O25" s="1058">
        <f t="shared" si="18"/>
        <v>0</v>
      </c>
      <c r="P25" s="934"/>
      <c r="Q25" s="934">
        <v>2</v>
      </c>
      <c r="R25" s="934"/>
      <c r="S25" s="934"/>
      <c r="T25" s="934"/>
      <c r="U25" s="934"/>
      <c r="V25" s="934"/>
      <c r="W25" s="934">
        <v>1</v>
      </c>
      <c r="X25" s="934"/>
      <c r="Y25" s="934">
        <v>1</v>
      </c>
      <c r="Z25" s="934"/>
      <c r="AA25" s="934"/>
      <c r="AB25" s="934"/>
      <c r="AC25" s="934">
        <v>2</v>
      </c>
      <c r="AD25" s="1048">
        <v>2</v>
      </c>
      <c r="AE25" s="1048"/>
      <c r="AF25" s="1048">
        <f t="shared" si="22"/>
        <v>2</v>
      </c>
      <c r="AG25" s="1048"/>
      <c r="AH25" s="934"/>
      <c r="AI25" s="934"/>
      <c r="AJ25" s="1074"/>
      <c r="AK25" s="1074"/>
      <c r="AL25" s="1074"/>
      <c r="AM25" s="1074"/>
      <c r="AN25" s="1049">
        <f t="shared" ref="AN25:AN40" si="26">AJ25+AM25</f>
        <v>0</v>
      </c>
      <c r="AO25" s="1049"/>
      <c r="AP25" s="1049"/>
      <c r="AQ25" s="1049"/>
      <c r="AR25" s="1049"/>
      <c r="AS25" s="934">
        <v>0.5</v>
      </c>
      <c r="AT25" s="934"/>
      <c r="AU25" s="934">
        <f t="shared" si="23"/>
        <v>0.5</v>
      </c>
      <c r="AV25" s="934"/>
      <c r="AW25" s="934"/>
      <c r="AX25" s="934">
        <v>1</v>
      </c>
      <c r="AY25" s="934"/>
      <c r="AZ25" s="934"/>
      <c r="BA25" s="1048">
        <f t="shared" si="24"/>
        <v>2</v>
      </c>
      <c r="BB25" s="1061">
        <f t="shared" si="20"/>
        <v>60.9</v>
      </c>
      <c r="BC25" s="934"/>
      <c r="BD25" s="934">
        <f t="shared" si="21"/>
        <v>0</v>
      </c>
      <c r="BE25" s="934"/>
      <c r="BF25" s="934">
        <v>2</v>
      </c>
      <c r="BG25" s="934"/>
      <c r="BH25" s="934">
        <v>2</v>
      </c>
      <c r="BI25" s="934"/>
      <c r="BJ25" s="934"/>
      <c r="BK25" s="934">
        <v>2</v>
      </c>
      <c r="BL25" s="934">
        <v>2</v>
      </c>
      <c r="BM25" s="934"/>
      <c r="BN25" s="934"/>
      <c r="BO25" s="1048">
        <v>2</v>
      </c>
      <c r="BP25" s="1048"/>
      <c r="BQ25" s="1048"/>
      <c r="BR25" s="1048"/>
      <c r="BS25" s="1048"/>
      <c r="BT25" s="934"/>
      <c r="BU25" s="934"/>
      <c r="BV25" s="934"/>
      <c r="BW25" s="934"/>
      <c r="BX25" s="934"/>
      <c r="BY25" s="934"/>
      <c r="CA25" s="1072"/>
    </row>
    <row r="26" spans="1:79" s="977" customFormat="1" ht="21.6">
      <c r="E26" s="1056" t="s">
        <v>617</v>
      </c>
      <c r="F26" s="1073" t="s">
        <v>80</v>
      </c>
      <c r="G26" s="1073" t="s">
        <v>80</v>
      </c>
      <c r="H26" s="1066">
        <v>67.7</v>
      </c>
      <c r="I26" s="1066">
        <f t="shared" si="25"/>
        <v>67.7</v>
      </c>
      <c r="J26" s="1066">
        <f t="shared" si="16"/>
        <v>67.7</v>
      </c>
      <c r="K26" s="1066"/>
      <c r="L26" s="1066">
        <f t="shared" si="17"/>
        <v>67.7</v>
      </c>
      <c r="M26" s="1178"/>
      <c r="N26" s="1057"/>
      <c r="O26" s="1058">
        <f t="shared" si="18"/>
        <v>0</v>
      </c>
      <c r="P26" s="934"/>
      <c r="Q26" s="934"/>
      <c r="R26" s="934"/>
      <c r="S26" s="934"/>
      <c r="T26" s="934"/>
      <c r="U26" s="934"/>
      <c r="V26" s="934"/>
      <c r="W26" s="934">
        <v>1</v>
      </c>
      <c r="X26" s="934"/>
      <c r="Y26" s="934">
        <v>1</v>
      </c>
      <c r="Z26" s="934"/>
      <c r="AA26" s="934"/>
      <c r="AB26" s="934"/>
      <c r="AC26" s="934"/>
      <c r="AD26" s="1048"/>
      <c r="AE26" s="1048"/>
      <c r="AF26" s="1048">
        <f t="shared" si="22"/>
        <v>0</v>
      </c>
      <c r="AG26" s="1048"/>
      <c r="AH26" s="934"/>
      <c r="AI26" s="934"/>
      <c r="AJ26" s="1074"/>
      <c r="AK26" s="1074"/>
      <c r="AL26" s="1074"/>
      <c r="AM26" s="1074"/>
      <c r="AN26" s="1049">
        <f t="shared" si="26"/>
        <v>0</v>
      </c>
      <c r="AO26" s="1049"/>
      <c r="AP26" s="1049"/>
      <c r="AQ26" s="1049"/>
      <c r="AR26" s="1049"/>
      <c r="AS26" s="934"/>
      <c r="AT26" s="934"/>
      <c r="AU26" s="934">
        <f t="shared" si="23"/>
        <v>0</v>
      </c>
      <c r="AV26" s="934"/>
      <c r="AW26" s="934"/>
      <c r="AX26" s="934">
        <v>1</v>
      </c>
      <c r="AY26" s="934"/>
      <c r="AZ26" s="934"/>
      <c r="BA26" s="1048">
        <f t="shared" si="24"/>
        <v>0</v>
      </c>
      <c r="BB26" s="1061">
        <f t="shared" si="20"/>
        <v>67.7</v>
      </c>
      <c r="BC26" s="934"/>
      <c r="BD26" s="934">
        <f t="shared" si="21"/>
        <v>0</v>
      </c>
      <c r="BE26" s="934">
        <v>2</v>
      </c>
      <c r="BF26" s="934"/>
      <c r="BG26" s="934"/>
      <c r="BH26" s="934"/>
      <c r="BI26" s="934"/>
      <c r="BJ26" s="934"/>
      <c r="BK26" s="934"/>
      <c r="BL26" s="934">
        <v>1</v>
      </c>
      <c r="BM26" s="934"/>
      <c r="BN26" s="934"/>
      <c r="BO26" s="1048"/>
      <c r="BP26" s="1048"/>
      <c r="BQ26" s="1048"/>
      <c r="BR26" s="1048"/>
      <c r="BS26" s="1048"/>
      <c r="BT26" s="934"/>
      <c r="BU26" s="934"/>
      <c r="BV26" s="934"/>
      <c r="BW26" s="934"/>
      <c r="BX26" s="934"/>
      <c r="BY26" s="934"/>
      <c r="BZ26" s="1077"/>
      <c r="CA26" s="1072"/>
    </row>
    <row r="27" spans="1:79" s="977" customFormat="1" ht="21.6">
      <c r="E27" s="1056" t="s">
        <v>618</v>
      </c>
      <c r="F27" s="1073" t="s">
        <v>744</v>
      </c>
      <c r="G27" s="1073" t="s">
        <v>148</v>
      </c>
      <c r="H27" s="1066">
        <v>56.2</v>
      </c>
      <c r="I27" s="1066">
        <f t="shared" si="25"/>
        <v>56.2</v>
      </c>
      <c r="J27" s="1066">
        <f t="shared" si="16"/>
        <v>56.2</v>
      </c>
      <c r="K27" s="1066"/>
      <c r="L27" s="1066">
        <f t="shared" si="17"/>
        <v>56.2</v>
      </c>
      <c r="M27" s="1178"/>
      <c r="N27" s="1057"/>
      <c r="O27" s="1058">
        <f t="shared" si="18"/>
        <v>0</v>
      </c>
      <c r="P27" s="934"/>
      <c r="Q27" s="934">
        <v>1</v>
      </c>
      <c r="R27" s="934"/>
      <c r="S27" s="934"/>
      <c r="T27" s="934"/>
      <c r="U27" s="934"/>
      <c r="V27" s="934"/>
      <c r="W27" s="934">
        <v>1</v>
      </c>
      <c r="X27" s="934"/>
      <c r="Y27" s="934">
        <v>1</v>
      </c>
      <c r="Z27" s="934"/>
      <c r="AA27" s="934"/>
      <c r="AB27" s="934"/>
      <c r="AC27" s="934"/>
      <c r="AD27" s="1048">
        <v>2</v>
      </c>
      <c r="AE27" s="1048"/>
      <c r="AF27" s="1048">
        <f t="shared" si="22"/>
        <v>2</v>
      </c>
      <c r="AG27" s="1048"/>
      <c r="AH27" s="934"/>
      <c r="AI27" s="934"/>
      <c r="AJ27" s="1074"/>
      <c r="AK27" s="1074"/>
      <c r="AL27" s="1074"/>
      <c r="AM27" s="1074"/>
      <c r="AN27" s="1049">
        <f t="shared" si="26"/>
        <v>0</v>
      </c>
      <c r="AO27" s="1049"/>
      <c r="AP27" s="1049"/>
      <c r="AQ27" s="1049"/>
      <c r="AR27" s="1049"/>
      <c r="AS27" s="934">
        <v>0.5</v>
      </c>
      <c r="AT27" s="934"/>
      <c r="AU27" s="934">
        <f t="shared" si="23"/>
        <v>0.5</v>
      </c>
      <c r="AV27" s="934"/>
      <c r="AW27" s="934"/>
      <c r="AX27" s="934">
        <v>1</v>
      </c>
      <c r="AY27" s="934"/>
      <c r="AZ27" s="934"/>
      <c r="BA27" s="1048">
        <f t="shared" si="24"/>
        <v>0</v>
      </c>
      <c r="BB27" s="1061">
        <f t="shared" si="20"/>
        <v>56.2</v>
      </c>
      <c r="BC27" s="934"/>
      <c r="BD27" s="934">
        <f t="shared" si="21"/>
        <v>0</v>
      </c>
      <c r="BE27" s="934"/>
      <c r="BF27" s="934"/>
      <c r="BG27" s="934"/>
      <c r="BH27" s="934">
        <v>1</v>
      </c>
      <c r="BI27" s="934"/>
      <c r="BJ27" s="934"/>
      <c r="BK27" s="934"/>
      <c r="BL27" s="934"/>
      <c r="BM27" s="934"/>
      <c r="BN27" s="934"/>
      <c r="BO27" s="1048"/>
      <c r="BP27" s="1048"/>
      <c r="BQ27" s="1048"/>
      <c r="BR27" s="1048">
        <v>1</v>
      </c>
      <c r="BS27" s="1048"/>
      <c r="BT27" s="934"/>
      <c r="BU27" s="934"/>
      <c r="BV27" s="934"/>
      <c r="BW27" s="934"/>
      <c r="BX27" s="934"/>
      <c r="BY27" s="934" t="s">
        <v>854</v>
      </c>
      <c r="CA27" s="1072"/>
    </row>
    <row r="28" spans="1:79" s="977" customFormat="1" ht="21.6">
      <c r="E28" s="1056" t="s">
        <v>619</v>
      </c>
      <c r="F28" s="1073" t="s">
        <v>374</v>
      </c>
      <c r="G28" s="1073" t="s">
        <v>374</v>
      </c>
      <c r="H28" s="1066">
        <v>69.099999999999994</v>
      </c>
      <c r="I28" s="1066">
        <f t="shared" si="25"/>
        <v>69.099999999999994</v>
      </c>
      <c r="J28" s="1066">
        <f t="shared" si="16"/>
        <v>69.099999999999994</v>
      </c>
      <c r="K28" s="1066"/>
      <c r="L28" s="1066">
        <f t="shared" si="17"/>
        <v>69.099999999999994</v>
      </c>
      <c r="M28" s="1178"/>
      <c r="N28" s="1057"/>
      <c r="O28" s="1058">
        <f t="shared" si="18"/>
        <v>0</v>
      </c>
      <c r="P28" s="934"/>
      <c r="Q28" s="934"/>
      <c r="R28" s="934">
        <v>1</v>
      </c>
      <c r="S28" s="934"/>
      <c r="T28" s="934"/>
      <c r="U28" s="934"/>
      <c r="V28" s="934"/>
      <c r="W28" s="934">
        <v>2</v>
      </c>
      <c r="X28" s="934"/>
      <c r="Y28" s="934"/>
      <c r="Z28" s="934"/>
      <c r="AA28" s="934">
        <v>1</v>
      </c>
      <c r="AB28" s="934"/>
      <c r="AC28" s="934"/>
      <c r="AD28" s="1048"/>
      <c r="AE28" s="1048"/>
      <c r="AF28" s="1048">
        <f t="shared" si="22"/>
        <v>0</v>
      </c>
      <c r="AG28" s="1048"/>
      <c r="AH28" s="934"/>
      <c r="AI28" s="934"/>
      <c r="AJ28" s="1074"/>
      <c r="AK28" s="1074"/>
      <c r="AL28" s="1074"/>
      <c r="AM28" s="1074"/>
      <c r="AN28" s="1049">
        <f t="shared" si="26"/>
        <v>0</v>
      </c>
      <c r="AO28" s="1049"/>
      <c r="AP28" s="1049"/>
      <c r="AQ28" s="1049"/>
      <c r="AR28" s="1049"/>
      <c r="AS28" s="934"/>
      <c r="AT28" s="934"/>
      <c r="AU28" s="934">
        <f t="shared" si="23"/>
        <v>0</v>
      </c>
      <c r="AV28" s="934"/>
      <c r="AW28" s="934"/>
      <c r="AX28" s="934"/>
      <c r="AY28" s="934">
        <v>2</v>
      </c>
      <c r="AZ28" s="934"/>
      <c r="BA28" s="1048">
        <f t="shared" si="24"/>
        <v>0</v>
      </c>
      <c r="BB28" s="1061">
        <f t="shared" si="20"/>
        <v>69.099999999999994</v>
      </c>
      <c r="BC28" s="934"/>
      <c r="BD28" s="934">
        <f t="shared" si="21"/>
        <v>0</v>
      </c>
      <c r="BE28" s="934"/>
      <c r="BF28" s="934">
        <v>2</v>
      </c>
      <c r="BG28" s="934"/>
      <c r="BH28" s="934"/>
      <c r="BI28" s="934">
        <v>1</v>
      </c>
      <c r="BJ28" s="934"/>
      <c r="BK28" s="934"/>
      <c r="BL28" s="934">
        <v>2</v>
      </c>
      <c r="BM28" s="934"/>
      <c r="BN28" s="934"/>
      <c r="BO28" s="1048"/>
      <c r="BP28" s="1048"/>
      <c r="BQ28" s="1048"/>
      <c r="BR28" s="1048"/>
      <c r="BS28" s="1048"/>
      <c r="BT28" s="934"/>
      <c r="BU28" s="934"/>
      <c r="BV28" s="934"/>
      <c r="BW28" s="934"/>
      <c r="BX28" s="934"/>
      <c r="BY28" s="934"/>
      <c r="BZ28" s="1077"/>
      <c r="CA28" s="1072"/>
    </row>
    <row r="29" spans="1:79" s="1187" customFormat="1" ht="21.6">
      <c r="E29" s="1189" t="s">
        <v>790</v>
      </c>
      <c r="F29" s="1190"/>
      <c r="G29" s="1190" t="s">
        <v>80</v>
      </c>
      <c r="H29" s="1191">
        <v>39.5</v>
      </c>
      <c r="I29" s="1191">
        <f t="shared" si="25"/>
        <v>39.5</v>
      </c>
      <c r="J29" s="1191">
        <f t="shared" si="16"/>
        <v>39.5</v>
      </c>
      <c r="K29" s="1191"/>
      <c r="L29" s="1191">
        <f t="shared" si="17"/>
        <v>39.5</v>
      </c>
      <c r="M29" s="1178">
        <v>1</v>
      </c>
      <c r="N29" s="1178"/>
      <c r="O29" s="1194">
        <f t="shared" si="18"/>
        <v>1</v>
      </c>
      <c r="P29" s="1195"/>
      <c r="Q29" s="1195"/>
      <c r="R29" s="1195"/>
      <c r="S29" s="1195"/>
      <c r="T29" s="1195"/>
      <c r="U29" s="1195">
        <v>1</v>
      </c>
      <c r="V29" s="1195"/>
      <c r="W29" s="1195"/>
      <c r="X29" s="1195">
        <v>1</v>
      </c>
      <c r="Y29" s="1195"/>
      <c r="Z29" s="1195"/>
      <c r="AA29" s="1195"/>
      <c r="AB29" s="1195">
        <v>1</v>
      </c>
      <c r="AC29" s="1195"/>
      <c r="AD29" s="1196"/>
      <c r="AE29" s="1196"/>
      <c r="AF29" s="1048">
        <f t="shared" si="22"/>
        <v>0</v>
      </c>
      <c r="AG29" s="1196"/>
      <c r="AH29" s="1195"/>
      <c r="AI29" s="1195"/>
      <c r="AJ29" s="1197"/>
      <c r="AK29" s="1197"/>
      <c r="AL29" s="1197"/>
      <c r="AM29" s="1197"/>
      <c r="AN29" s="1049">
        <f t="shared" si="26"/>
        <v>0</v>
      </c>
      <c r="AO29" s="1193"/>
      <c r="AP29" s="1193"/>
      <c r="AQ29" s="1193"/>
      <c r="AR29" s="1193"/>
      <c r="AS29" s="1195"/>
      <c r="AT29" s="1195"/>
      <c r="AU29" s="934">
        <f t="shared" si="23"/>
        <v>0</v>
      </c>
      <c r="AV29" s="1195"/>
      <c r="AW29" s="1195"/>
      <c r="AX29" s="1195">
        <v>1</v>
      </c>
      <c r="AY29" s="1195"/>
      <c r="AZ29" s="1195"/>
      <c r="BA29" s="1048">
        <f t="shared" si="24"/>
        <v>0</v>
      </c>
      <c r="BB29" s="1199">
        <f t="shared" si="20"/>
        <v>39.5</v>
      </c>
      <c r="BC29" s="1195"/>
      <c r="BD29" s="934">
        <f t="shared" si="21"/>
        <v>0</v>
      </c>
      <c r="BE29" s="1195"/>
      <c r="BF29" s="1195"/>
      <c r="BG29" s="1195"/>
      <c r="BH29" s="1195"/>
      <c r="BI29" s="1195"/>
      <c r="BJ29" s="1195"/>
      <c r="BK29" s="1195"/>
      <c r="BL29" s="1195"/>
      <c r="BM29" s="1195"/>
      <c r="BN29" s="1195"/>
      <c r="BO29" s="1196"/>
      <c r="BP29" s="1196"/>
      <c r="BQ29" s="1196"/>
      <c r="BR29" s="1196"/>
      <c r="BS29" s="1196"/>
      <c r="BT29" s="1195"/>
      <c r="BU29" s="1195"/>
      <c r="BV29" s="1195"/>
      <c r="BW29" s="1195"/>
      <c r="BX29" s="1195"/>
      <c r="BY29" s="1195"/>
      <c r="CA29" s="1200"/>
    </row>
    <row r="30" spans="1:79" s="977" customFormat="1" ht="21.6">
      <c r="E30" s="1056" t="s">
        <v>620</v>
      </c>
      <c r="F30" s="1073" t="s">
        <v>80</v>
      </c>
      <c r="G30" s="1073" t="s">
        <v>80</v>
      </c>
      <c r="H30" s="1066">
        <v>39.5</v>
      </c>
      <c r="I30" s="1066">
        <f t="shared" si="25"/>
        <v>39.5</v>
      </c>
      <c r="J30" s="1066">
        <f t="shared" si="16"/>
        <v>39.5</v>
      </c>
      <c r="K30" s="1066"/>
      <c r="L30" s="1066">
        <f t="shared" si="17"/>
        <v>39.5</v>
      </c>
      <c r="M30" s="1178"/>
      <c r="N30" s="1057"/>
      <c r="O30" s="1058">
        <f t="shared" si="18"/>
        <v>0</v>
      </c>
      <c r="P30" s="934"/>
      <c r="Q30" s="934"/>
      <c r="R30" s="934"/>
      <c r="S30" s="934"/>
      <c r="T30" s="934"/>
      <c r="U30" s="934"/>
      <c r="V30" s="934"/>
      <c r="W30" s="934">
        <v>1</v>
      </c>
      <c r="X30" s="934"/>
      <c r="Y30" s="934">
        <v>1</v>
      </c>
      <c r="Z30" s="934"/>
      <c r="AA30" s="934"/>
      <c r="AB30" s="934"/>
      <c r="AC30" s="934"/>
      <c r="AD30" s="1048"/>
      <c r="AE30" s="1048"/>
      <c r="AF30" s="1048">
        <f t="shared" si="22"/>
        <v>0</v>
      </c>
      <c r="AG30" s="1048"/>
      <c r="AH30" s="934"/>
      <c r="AI30" s="934"/>
      <c r="AJ30" s="1074"/>
      <c r="AK30" s="1074"/>
      <c r="AL30" s="1074"/>
      <c r="AM30" s="1074"/>
      <c r="AN30" s="1049">
        <f t="shared" si="26"/>
        <v>0</v>
      </c>
      <c r="AO30" s="1049"/>
      <c r="AP30" s="1049"/>
      <c r="AQ30" s="1049"/>
      <c r="AR30" s="1049"/>
      <c r="AS30" s="934"/>
      <c r="AT30" s="934"/>
      <c r="AU30" s="934">
        <f t="shared" si="23"/>
        <v>0</v>
      </c>
      <c r="AV30" s="934"/>
      <c r="AW30" s="934"/>
      <c r="AX30" s="934">
        <v>1</v>
      </c>
      <c r="AY30" s="934"/>
      <c r="AZ30" s="934"/>
      <c r="BA30" s="1048">
        <f t="shared" si="24"/>
        <v>0</v>
      </c>
      <c r="BB30" s="1061">
        <f t="shared" si="20"/>
        <v>39.5</v>
      </c>
      <c r="BC30" s="934"/>
      <c r="BD30" s="934">
        <f t="shared" si="21"/>
        <v>0</v>
      </c>
      <c r="BE30" s="934">
        <v>2</v>
      </c>
      <c r="BF30" s="934"/>
      <c r="BG30" s="934"/>
      <c r="BH30" s="934"/>
      <c r="BI30" s="934"/>
      <c r="BJ30" s="934"/>
      <c r="BK30" s="934"/>
      <c r="BL30" s="934">
        <v>1</v>
      </c>
      <c r="BM30" s="934"/>
      <c r="BN30" s="934"/>
      <c r="BO30" s="1048"/>
      <c r="BP30" s="1048"/>
      <c r="BQ30" s="1048"/>
      <c r="BR30" s="1048"/>
      <c r="BS30" s="1048"/>
      <c r="BT30" s="934"/>
      <c r="BU30" s="934"/>
      <c r="BV30" s="934"/>
      <c r="BW30" s="934"/>
      <c r="BX30" s="934"/>
      <c r="BY30" s="1076"/>
      <c r="BZ30" s="1077"/>
      <c r="CA30" s="1072"/>
    </row>
    <row r="31" spans="1:79" s="1187" customFormat="1" ht="21.6">
      <c r="E31" s="1189" t="s">
        <v>791</v>
      </c>
      <c r="F31" s="1190"/>
      <c r="G31" s="1190" t="s">
        <v>80</v>
      </c>
      <c r="H31" s="1191">
        <v>39.5</v>
      </c>
      <c r="I31" s="1201">
        <f t="shared" si="25"/>
        <v>39.5</v>
      </c>
      <c r="J31" s="1191">
        <f t="shared" si="16"/>
        <v>39.5</v>
      </c>
      <c r="K31" s="1191"/>
      <c r="L31" s="1201">
        <f t="shared" si="17"/>
        <v>39.5</v>
      </c>
      <c r="M31" s="1178">
        <v>1</v>
      </c>
      <c r="N31" s="1178"/>
      <c r="O31" s="1194">
        <f t="shared" si="18"/>
        <v>1</v>
      </c>
      <c r="P31" s="1195"/>
      <c r="Q31" s="1195"/>
      <c r="R31" s="1195"/>
      <c r="S31" s="1195"/>
      <c r="T31" s="1195"/>
      <c r="U31" s="1195"/>
      <c r="V31" s="1195"/>
      <c r="W31" s="1195"/>
      <c r="X31" s="1195">
        <v>1</v>
      </c>
      <c r="Y31" s="1195"/>
      <c r="Z31" s="1195"/>
      <c r="AA31" s="1195"/>
      <c r="AB31" s="1195">
        <v>1</v>
      </c>
      <c r="AC31" s="1195"/>
      <c r="AD31" s="1196"/>
      <c r="AE31" s="1196"/>
      <c r="AF31" s="1048">
        <f t="shared" si="22"/>
        <v>0</v>
      </c>
      <c r="AG31" s="1196"/>
      <c r="AH31" s="1195"/>
      <c r="AI31" s="1195"/>
      <c r="AJ31" s="1197"/>
      <c r="AK31" s="1197"/>
      <c r="AL31" s="1197"/>
      <c r="AM31" s="1197"/>
      <c r="AN31" s="1049">
        <f t="shared" si="26"/>
        <v>0</v>
      </c>
      <c r="AO31" s="1193"/>
      <c r="AP31" s="1193"/>
      <c r="AQ31" s="1193"/>
      <c r="AR31" s="1193"/>
      <c r="AS31" s="1195"/>
      <c r="AT31" s="1195"/>
      <c r="AU31" s="934">
        <f t="shared" si="23"/>
        <v>0</v>
      </c>
      <c r="AV31" s="1195"/>
      <c r="AW31" s="1195"/>
      <c r="AX31" s="1195">
        <v>1</v>
      </c>
      <c r="AY31" s="1195"/>
      <c r="AZ31" s="1195"/>
      <c r="BA31" s="1048">
        <f t="shared" si="24"/>
        <v>0</v>
      </c>
      <c r="BB31" s="1199">
        <f t="shared" si="20"/>
        <v>39.5</v>
      </c>
      <c r="BC31" s="1195"/>
      <c r="BD31" s="934">
        <f t="shared" si="21"/>
        <v>0</v>
      </c>
      <c r="BE31" s="1195"/>
      <c r="BF31" s="1195"/>
      <c r="BG31" s="1195"/>
      <c r="BH31" s="1195"/>
      <c r="BI31" s="1195"/>
      <c r="BJ31" s="1195"/>
      <c r="BK31" s="1195"/>
      <c r="BL31" s="1195"/>
      <c r="BM31" s="1195"/>
      <c r="BN31" s="1195"/>
      <c r="BO31" s="1196"/>
      <c r="BP31" s="1196"/>
      <c r="BQ31" s="1196"/>
      <c r="BR31" s="1196"/>
      <c r="BS31" s="1196"/>
      <c r="BT31" s="1195"/>
      <c r="BU31" s="1195"/>
      <c r="BV31" s="1195"/>
      <c r="BW31" s="1195"/>
      <c r="BX31" s="1195"/>
      <c r="BY31" s="1198"/>
      <c r="BZ31" s="1213"/>
      <c r="CA31" s="1200"/>
    </row>
    <row r="32" spans="1:79" s="977" customFormat="1" ht="21.6">
      <c r="E32" s="1056" t="s">
        <v>621</v>
      </c>
      <c r="F32" s="1073" t="s">
        <v>374</v>
      </c>
      <c r="G32" s="1073" t="s">
        <v>374</v>
      </c>
      <c r="H32" s="1066">
        <v>39.5</v>
      </c>
      <c r="I32" s="1066">
        <f t="shared" si="25"/>
        <v>39.5</v>
      </c>
      <c r="J32" s="1066">
        <f t="shared" si="16"/>
        <v>39.5</v>
      </c>
      <c r="K32" s="1066"/>
      <c r="L32" s="1066">
        <f t="shared" si="17"/>
        <v>39.5</v>
      </c>
      <c r="M32" s="1178"/>
      <c r="N32" s="1057"/>
      <c r="O32" s="1058">
        <f t="shared" si="18"/>
        <v>0</v>
      </c>
      <c r="P32" s="934"/>
      <c r="Q32" s="934">
        <v>1</v>
      </c>
      <c r="R32" s="934"/>
      <c r="S32" s="934"/>
      <c r="T32" s="934"/>
      <c r="U32" s="934"/>
      <c r="V32" s="934"/>
      <c r="W32" s="934">
        <v>2</v>
      </c>
      <c r="X32" s="934"/>
      <c r="Y32" s="934"/>
      <c r="Z32" s="934"/>
      <c r="AA32" s="934">
        <v>1</v>
      </c>
      <c r="AB32" s="934"/>
      <c r="AC32" s="934"/>
      <c r="AD32" s="1048"/>
      <c r="AE32" s="1048"/>
      <c r="AF32" s="1048">
        <f t="shared" si="22"/>
        <v>0</v>
      </c>
      <c r="AG32" s="1048"/>
      <c r="AH32" s="934"/>
      <c r="AI32" s="934"/>
      <c r="AJ32" s="1074"/>
      <c r="AK32" s="1074"/>
      <c r="AL32" s="1074"/>
      <c r="AM32" s="1074"/>
      <c r="AN32" s="1049">
        <f t="shared" si="26"/>
        <v>0</v>
      </c>
      <c r="AO32" s="1049"/>
      <c r="AP32" s="1049"/>
      <c r="AQ32" s="1049"/>
      <c r="AR32" s="1049"/>
      <c r="AS32" s="934"/>
      <c r="AT32" s="934"/>
      <c r="AU32" s="934">
        <f t="shared" si="23"/>
        <v>0</v>
      </c>
      <c r="AV32" s="934"/>
      <c r="AW32" s="934"/>
      <c r="AX32" s="934"/>
      <c r="AY32" s="934">
        <v>2</v>
      </c>
      <c r="AZ32" s="934"/>
      <c r="BA32" s="1048">
        <f t="shared" si="24"/>
        <v>0</v>
      </c>
      <c r="BB32" s="1061">
        <f t="shared" si="20"/>
        <v>39.5</v>
      </c>
      <c r="BC32" s="934"/>
      <c r="BD32" s="934">
        <f t="shared" si="21"/>
        <v>0</v>
      </c>
      <c r="BE32" s="934"/>
      <c r="BF32" s="934">
        <v>2</v>
      </c>
      <c r="BG32" s="934"/>
      <c r="BH32" s="934">
        <v>1</v>
      </c>
      <c r="BI32" s="934"/>
      <c r="BJ32" s="934"/>
      <c r="BK32" s="934"/>
      <c r="BL32" s="934">
        <v>2</v>
      </c>
      <c r="BM32" s="934"/>
      <c r="BN32" s="934"/>
      <c r="BO32" s="1048"/>
      <c r="BP32" s="1048"/>
      <c r="BQ32" s="1048"/>
      <c r="BR32" s="1048"/>
      <c r="BS32" s="1048"/>
      <c r="BT32" s="934"/>
      <c r="BU32" s="934"/>
      <c r="BV32" s="934"/>
      <c r="BW32" s="934"/>
      <c r="BX32" s="934"/>
      <c r="BY32" s="934"/>
      <c r="BZ32" s="1077"/>
      <c r="CA32" s="1072"/>
    </row>
    <row r="33" spans="4:79" s="977" customFormat="1" ht="21.6">
      <c r="E33" s="1056" t="s">
        <v>622</v>
      </c>
      <c r="F33" s="1073" t="s">
        <v>744</v>
      </c>
      <c r="G33" s="1073" t="s">
        <v>374</v>
      </c>
      <c r="H33" s="1066">
        <v>51.6</v>
      </c>
      <c r="I33" s="1066">
        <f t="shared" si="25"/>
        <v>51.6</v>
      </c>
      <c r="J33" s="1066">
        <f t="shared" si="16"/>
        <v>51.6</v>
      </c>
      <c r="K33" s="1066"/>
      <c r="L33" s="1066">
        <f t="shared" si="17"/>
        <v>51.6</v>
      </c>
      <c r="M33" s="1178"/>
      <c r="N33" s="1057"/>
      <c r="O33" s="1058">
        <f t="shared" si="18"/>
        <v>0</v>
      </c>
      <c r="P33" s="934">
        <v>1</v>
      </c>
      <c r="Q33" s="934">
        <v>1</v>
      </c>
      <c r="R33" s="934"/>
      <c r="S33" s="934"/>
      <c r="T33" s="934"/>
      <c r="U33" s="934"/>
      <c r="V33" s="934"/>
      <c r="W33" s="934"/>
      <c r="X33" s="934"/>
      <c r="Y33" s="934"/>
      <c r="Z33" s="934">
        <v>1</v>
      </c>
      <c r="AA33" s="934"/>
      <c r="AB33" s="934"/>
      <c r="AC33" s="934"/>
      <c r="AD33" s="1048"/>
      <c r="AE33" s="1048"/>
      <c r="AF33" s="1048">
        <f t="shared" si="22"/>
        <v>0</v>
      </c>
      <c r="AG33" s="1048"/>
      <c r="AH33" s="934"/>
      <c r="AI33" s="934"/>
      <c r="AJ33" s="1074"/>
      <c r="AK33" s="1074"/>
      <c r="AL33" s="1074"/>
      <c r="AM33" s="1074"/>
      <c r="AN33" s="1049">
        <f t="shared" si="26"/>
        <v>0</v>
      </c>
      <c r="AO33" s="1049"/>
      <c r="AP33" s="1049"/>
      <c r="AQ33" s="1049"/>
      <c r="AR33" s="1049"/>
      <c r="AS33" s="934"/>
      <c r="AT33" s="934"/>
      <c r="AU33" s="934">
        <f t="shared" si="23"/>
        <v>0</v>
      </c>
      <c r="AV33" s="934"/>
      <c r="AW33" s="934"/>
      <c r="AX33" s="934"/>
      <c r="AY33" s="934">
        <v>2</v>
      </c>
      <c r="AZ33" s="934"/>
      <c r="BA33" s="1048">
        <f t="shared" si="24"/>
        <v>0</v>
      </c>
      <c r="BB33" s="1061">
        <f t="shared" si="20"/>
        <v>51.6</v>
      </c>
      <c r="BC33" s="934"/>
      <c r="BD33" s="934">
        <f t="shared" si="21"/>
        <v>0</v>
      </c>
      <c r="BE33" s="934"/>
      <c r="BF33" s="934"/>
      <c r="BG33" s="934">
        <v>1</v>
      </c>
      <c r="BH33" s="934">
        <v>1</v>
      </c>
      <c r="BI33" s="934"/>
      <c r="BJ33" s="934"/>
      <c r="BK33" s="934"/>
      <c r="BL33" s="934"/>
      <c r="BM33" s="934"/>
      <c r="BN33" s="934"/>
      <c r="BO33" s="1048"/>
      <c r="BP33" s="1048"/>
      <c r="BQ33" s="1048"/>
      <c r="BR33" s="1048">
        <v>1</v>
      </c>
      <c r="BS33" s="1048"/>
      <c r="BT33" s="934"/>
      <c r="BU33" s="934"/>
      <c r="BV33" s="934"/>
      <c r="BW33" s="934"/>
      <c r="BX33" s="934"/>
      <c r="BY33" s="934" t="s">
        <v>855</v>
      </c>
      <c r="CA33" s="1072"/>
    </row>
    <row r="34" spans="4:79" s="977" customFormat="1" ht="21.6">
      <c r="E34" s="1056" t="s">
        <v>623</v>
      </c>
      <c r="F34" s="1073" t="s">
        <v>374</v>
      </c>
      <c r="G34" s="1073" t="s">
        <v>374</v>
      </c>
      <c r="H34" s="1066">
        <v>56.2</v>
      </c>
      <c r="I34" s="1066">
        <f t="shared" si="25"/>
        <v>56.2</v>
      </c>
      <c r="J34" s="1066">
        <f t="shared" si="16"/>
        <v>56.2</v>
      </c>
      <c r="K34" s="1066"/>
      <c r="L34" s="1066">
        <f t="shared" si="17"/>
        <v>56.2</v>
      </c>
      <c r="M34" s="1178"/>
      <c r="N34" s="1057"/>
      <c r="O34" s="1058">
        <f t="shared" si="18"/>
        <v>0</v>
      </c>
      <c r="P34" s="934"/>
      <c r="Q34" s="934"/>
      <c r="R34" s="934">
        <v>1</v>
      </c>
      <c r="S34" s="934"/>
      <c r="T34" s="934"/>
      <c r="U34" s="934"/>
      <c r="V34" s="934"/>
      <c r="W34" s="934">
        <v>2</v>
      </c>
      <c r="X34" s="934"/>
      <c r="Y34" s="934"/>
      <c r="Z34" s="934"/>
      <c r="AA34" s="934">
        <v>1</v>
      </c>
      <c r="AB34" s="934"/>
      <c r="AC34" s="934"/>
      <c r="AD34" s="1048"/>
      <c r="AE34" s="1048"/>
      <c r="AF34" s="1048">
        <f t="shared" si="22"/>
        <v>0</v>
      </c>
      <c r="AG34" s="1048"/>
      <c r="AH34" s="934"/>
      <c r="AI34" s="934"/>
      <c r="AJ34" s="1074"/>
      <c r="AK34" s="1074"/>
      <c r="AL34" s="1074"/>
      <c r="AM34" s="1074"/>
      <c r="AN34" s="1049">
        <f t="shared" si="26"/>
        <v>0</v>
      </c>
      <c r="AO34" s="1049"/>
      <c r="AP34" s="1049"/>
      <c r="AQ34" s="1049"/>
      <c r="AR34" s="1049"/>
      <c r="AS34" s="934"/>
      <c r="AT34" s="934"/>
      <c r="AU34" s="934">
        <f t="shared" si="23"/>
        <v>0</v>
      </c>
      <c r="AV34" s="934"/>
      <c r="AW34" s="934"/>
      <c r="AX34" s="934"/>
      <c r="AY34" s="934">
        <v>2</v>
      </c>
      <c r="AZ34" s="934"/>
      <c r="BA34" s="1048">
        <f t="shared" si="24"/>
        <v>0</v>
      </c>
      <c r="BB34" s="1061">
        <f t="shared" si="20"/>
        <v>56.2</v>
      </c>
      <c r="BC34" s="934"/>
      <c r="BD34" s="934">
        <f t="shared" si="21"/>
        <v>0</v>
      </c>
      <c r="BE34" s="934"/>
      <c r="BF34" s="934">
        <v>2</v>
      </c>
      <c r="BG34" s="934"/>
      <c r="BH34" s="934"/>
      <c r="BI34" s="934">
        <v>1</v>
      </c>
      <c r="BJ34" s="934"/>
      <c r="BK34" s="934"/>
      <c r="BL34" s="934">
        <v>2</v>
      </c>
      <c r="BM34" s="934"/>
      <c r="BN34" s="934"/>
      <c r="BO34" s="1048"/>
      <c r="BP34" s="1048"/>
      <c r="BQ34" s="1048"/>
      <c r="BR34" s="1048"/>
      <c r="BS34" s="1048"/>
      <c r="BT34" s="934"/>
      <c r="BU34" s="934"/>
      <c r="BV34" s="934"/>
      <c r="BW34" s="934"/>
      <c r="BX34" s="934"/>
      <c r="BY34" s="934"/>
      <c r="CA34" s="1072"/>
    </row>
    <row r="35" spans="4:79" s="977" customFormat="1" ht="21.6">
      <c r="E35" s="1056" t="s">
        <v>624</v>
      </c>
      <c r="F35" s="1073" t="s">
        <v>374</v>
      </c>
      <c r="G35" s="1073" t="s">
        <v>374</v>
      </c>
      <c r="H35" s="1066">
        <v>65.400000000000006</v>
      </c>
      <c r="I35" s="1066">
        <f t="shared" si="25"/>
        <v>65.400000000000006</v>
      </c>
      <c r="J35" s="1066">
        <f t="shared" si="16"/>
        <v>65.400000000000006</v>
      </c>
      <c r="K35" s="1066"/>
      <c r="L35" s="1066">
        <f t="shared" si="17"/>
        <v>65.400000000000006</v>
      </c>
      <c r="M35" s="1178"/>
      <c r="N35" s="1057"/>
      <c r="O35" s="1058">
        <f t="shared" si="18"/>
        <v>0</v>
      </c>
      <c r="P35" s="934"/>
      <c r="Q35" s="934">
        <v>1</v>
      </c>
      <c r="R35" s="934"/>
      <c r="S35" s="934"/>
      <c r="T35" s="934"/>
      <c r="U35" s="934">
        <v>1</v>
      </c>
      <c r="V35" s="934"/>
      <c r="W35" s="934">
        <v>2</v>
      </c>
      <c r="X35" s="934"/>
      <c r="Y35" s="934"/>
      <c r="Z35" s="934"/>
      <c r="AA35" s="934">
        <v>1</v>
      </c>
      <c r="AB35" s="934"/>
      <c r="AC35" s="934"/>
      <c r="AD35" s="1048"/>
      <c r="AE35" s="1048"/>
      <c r="AF35" s="1048">
        <f t="shared" si="22"/>
        <v>0</v>
      </c>
      <c r="AG35" s="1048"/>
      <c r="AH35" s="934"/>
      <c r="AI35" s="934"/>
      <c r="AJ35" s="1074"/>
      <c r="AK35" s="1074"/>
      <c r="AL35" s="1074"/>
      <c r="AM35" s="1074"/>
      <c r="AN35" s="1049">
        <f t="shared" si="26"/>
        <v>0</v>
      </c>
      <c r="AO35" s="1049"/>
      <c r="AP35" s="1049"/>
      <c r="AQ35" s="1049"/>
      <c r="AR35" s="1049"/>
      <c r="AS35" s="934"/>
      <c r="AT35" s="934"/>
      <c r="AU35" s="934">
        <f t="shared" si="23"/>
        <v>0</v>
      </c>
      <c r="AV35" s="934"/>
      <c r="AW35" s="934"/>
      <c r="AX35" s="934"/>
      <c r="AY35" s="934">
        <v>2</v>
      </c>
      <c r="AZ35" s="934"/>
      <c r="BA35" s="1048">
        <f t="shared" si="24"/>
        <v>0</v>
      </c>
      <c r="BB35" s="1061">
        <f t="shared" si="20"/>
        <v>65.400000000000006</v>
      </c>
      <c r="BC35" s="934"/>
      <c r="BD35" s="934">
        <f t="shared" si="21"/>
        <v>0</v>
      </c>
      <c r="BE35" s="934"/>
      <c r="BF35" s="934">
        <v>2</v>
      </c>
      <c r="BG35" s="934"/>
      <c r="BH35" s="934">
        <v>1</v>
      </c>
      <c r="BI35" s="934"/>
      <c r="BJ35" s="934"/>
      <c r="BK35" s="934"/>
      <c r="BL35" s="934">
        <v>2</v>
      </c>
      <c r="BM35" s="934"/>
      <c r="BN35" s="934"/>
      <c r="BO35" s="1048"/>
      <c r="BP35" s="1048"/>
      <c r="BQ35" s="1048"/>
      <c r="BR35" s="1048"/>
      <c r="BS35" s="1048"/>
      <c r="BT35" s="934"/>
      <c r="BU35" s="934"/>
      <c r="BV35" s="934"/>
      <c r="BW35" s="934"/>
      <c r="BX35" s="934"/>
      <c r="BY35" s="934"/>
      <c r="CA35" s="1072"/>
    </row>
    <row r="36" spans="4:79" s="977" customFormat="1" ht="21.6">
      <c r="E36" s="1056" t="s">
        <v>625</v>
      </c>
      <c r="F36" s="1073" t="s">
        <v>80</v>
      </c>
      <c r="G36" s="1073" t="s">
        <v>80</v>
      </c>
      <c r="H36" s="1066">
        <v>59.8</v>
      </c>
      <c r="I36" s="1066">
        <f t="shared" si="25"/>
        <v>59.8</v>
      </c>
      <c r="J36" s="1066">
        <f t="shared" si="16"/>
        <v>59.8</v>
      </c>
      <c r="K36" s="1066"/>
      <c r="L36" s="1066">
        <f t="shared" si="17"/>
        <v>59.8</v>
      </c>
      <c r="M36" s="1178"/>
      <c r="N36" s="1057"/>
      <c r="O36" s="1058">
        <f t="shared" si="18"/>
        <v>0</v>
      </c>
      <c r="P36" s="934"/>
      <c r="Q36" s="934"/>
      <c r="R36" s="934"/>
      <c r="S36" s="934"/>
      <c r="T36" s="934"/>
      <c r="U36" s="934"/>
      <c r="V36" s="934"/>
      <c r="W36" s="934">
        <v>1</v>
      </c>
      <c r="X36" s="934"/>
      <c r="Y36" s="934">
        <v>1</v>
      </c>
      <c r="Z36" s="934"/>
      <c r="AA36" s="934"/>
      <c r="AB36" s="934"/>
      <c r="AC36" s="934"/>
      <c r="AD36" s="1048"/>
      <c r="AE36" s="1048"/>
      <c r="AF36" s="1048">
        <f t="shared" si="22"/>
        <v>0</v>
      </c>
      <c r="AG36" s="1048"/>
      <c r="AH36" s="934"/>
      <c r="AI36" s="934"/>
      <c r="AJ36" s="1074"/>
      <c r="AK36" s="1074"/>
      <c r="AL36" s="1074"/>
      <c r="AM36" s="1074"/>
      <c r="AN36" s="1049">
        <f t="shared" si="26"/>
        <v>0</v>
      </c>
      <c r="AO36" s="1049"/>
      <c r="AP36" s="1049"/>
      <c r="AQ36" s="1049"/>
      <c r="AR36" s="1049"/>
      <c r="AS36" s="934"/>
      <c r="AT36" s="934"/>
      <c r="AU36" s="934">
        <f t="shared" si="23"/>
        <v>0</v>
      </c>
      <c r="AV36" s="934"/>
      <c r="AW36" s="934"/>
      <c r="AX36" s="934">
        <v>1</v>
      </c>
      <c r="AY36" s="934"/>
      <c r="AZ36" s="934"/>
      <c r="BA36" s="1048">
        <f t="shared" si="24"/>
        <v>0</v>
      </c>
      <c r="BB36" s="1061">
        <f t="shared" si="20"/>
        <v>59.8</v>
      </c>
      <c r="BC36" s="934"/>
      <c r="BD36" s="934">
        <f t="shared" si="21"/>
        <v>0</v>
      </c>
      <c r="BE36" s="934">
        <v>2</v>
      </c>
      <c r="BF36" s="934"/>
      <c r="BG36" s="934"/>
      <c r="BH36" s="934"/>
      <c r="BI36" s="934"/>
      <c r="BJ36" s="934"/>
      <c r="BK36" s="934"/>
      <c r="BL36" s="934">
        <v>1</v>
      </c>
      <c r="BM36" s="934"/>
      <c r="BN36" s="934"/>
      <c r="BO36" s="1048"/>
      <c r="BP36" s="1048"/>
      <c r="BQ36" s="1048"/>
      <c r="BR36" s="1048"/>
      <c r="BS36" s="1048"/>
      <c r="BT36" s="934"/>
      <c r="BU36" s="934"/>
      <c r="BV36" s="934"/>
      <c r="BW36" s="934"/>
      <c r="BX36" s="934"/>
      <c r="BY36" s="934"/>
      <c r="CA36" s="1072"/>
    </row>
    <row r="37" spans="4:79" s="977" customFormat="1" ht="21.6">
      <c r="E37" s="1056" t="s">
        <v>626</v>
      </c>
      <c r="F37" s="1073" t="s">
        <v>374</v>
      </c>
      <c r="G37" s="1073" t="s">
        <v>374</v>
      </c>
      <c r="H37" s="1066">
        <v>60.1</v>
      </c>
      <c r="I37" s="1066">
        <f t="shared" si="25"/>
        <v>60.1</v>
      </c>
      <c r="J37" s="1066">
        <f t="shared" si="16"/>
        <v>60.1</v>
      </c>
      <c r="K37" s="1066"/>
      <c r="L37" s="1066">
        <f t="shared" si="17"/>
        <v>60.1</v>
      </c>
      <c r="M37" s="1178"/>
      <c r="N37" s="1057"/>
      <c r="O37" s="1058">
        <f t="shared" si="18"/>
        <v>0</v>
      </c>
      <c r="P37" s="934"/>
      <c r="Q37" s="934">
        <v>1</v>
      </c>
      <c r="R37" s="934"/>
      <c r="S37" s="934"/>
      <c r="T37" s="934"/>
      <c r="U37" s="934"/>
      <c r="V37" s="934"/>
      <c r="W37" s="934">
        <v>2</v>
      </c>
      <c r="X37" s="934"/>
      <c r="Y37" s="934"/>
      <c r="Z37" s="934"/>
      <c r="AA37" s="934">
        <v>1</v>
      </c>
      <c r="AB37" s="934"/>
      <c r="AC37" s="934"/>
      <c r="AD37" s="1048"/>
      <c r="AE37" s="1048"/>
      <c r="AF37" s="1048">
        <f t="shared" si="22"/>
        <v>0</v>
      </c>
      <c r="AG37" s="1048"/>
      <c r="AH37" s="934"/>
      <c r="AI37" s="934"/>
      <c r="AJ37" s="1074"/>
      <c r="AK37" s="1074"/>
      <c r="AL37" s="1074"/>
      <c r="AM37" s="1074"/>
      <c r="AN37" s="1049">
        <f t="shared" si="26"/>
        <v>0</v>
      </c>
      <c r="AO37" s="1049"/>
      <c r="AP37" s="1049"/>
      <c r="AQ37" s="1049"/>
      <c r="AR37" s="1049"/>
      <c r="AS37" s="934"/>
      <c r="AT37" s="934"/>
      <c r="AU37" s="934">
        <f t="shared" si="23"/>
        <v>0</v>
      </c>
      <c r="AV37" s="934"/>
      <c r="AW37" s="934"/>
      <c r="AX37" s="934"/>
      <c r="AY37" s="934">
        <v>2</v>
      </c>
      <c r="AZ37" s="934"/>
      <c r="BA37" s="1048">
        <f t="shared" si="24"/>
        <v>0</v>
      </c>
      <c r="BB37" s="1061">
        <f t="shared" si="20"/>
        <v>60.1</v>
      </c>
      <c r="BC37" s="934"/>
      <c r="BD37" s="934">
        <f t="shared" si="21"/>
        <v>0</v>
      </c>
      <c r="BE37" s="934"/>
      <c r="BF37" s="934">
        <v>2</v>
      </c>
      <c r="BG37" s="934"/>
      <c r="BH37" s="934">
        <v>1</v>
      </c>
      <c r="BI37" s="934"/>
      <c r="BJ37" s="934"/>
      <c r="BK37" s="934"/>
      <c r="BL37" s="934">
        <v>2</v>
      </c>
      <c r="BM37" s="934"/>
      <c r="BN37" s="934"/>
      <c r="BO37" s="1048"/>
      <c r="BP37" s="1048"/>
      <c r="BQ37" s="1048"/>
      <c r="BR37" s="1048"/>
      <c r="BS37" s="1048"/>
      <c r="BT37" s="934"/>
      <c r="BU37" s="934"/>
      <c r="BV37" s="934"/>
      <c r="BW37" s="934"/>
      <c r="BX37" s="934"/>
      <c r="BY37" s="1076"/>
      <c r="BZ37" s="1077"/>
      <c r="CA37" s="1072"/>
    </row>
    <row r="38" spans="4:79" s="977" customFormat="1" ht="21.6">
      <c r="E38" s="1056" t="s">
        <v>627</v>
      </c>
      <c r="F38" s="1073" t="s">
        <v>80</v>
      </c>
      <c r="G38" s="1073" t="s">
        <v>80</v>
      </c>
      <c r="H38" s="1066">
        <v>51.5</v>
      </c>
      <c r="I38" s="1066">
        <f t="shared" si="25"/>
        <v>51.5</v>
      </c>
      <c r="J38" s="1066">
        <f t="shared" si="16"/>
        <v>51.5</v>
      </c>
      <c r="K38" s="1066"/>
      <c r="L38" s="1066">
        <f t="shared" si="17"/>
        <v>51.5</v>
      </c>
      <c r="M38" s="1178"/>
      <c r="N38" s="1057"/>
      <c r="O38" s="1058">
        <f t="shared" si="18"/>
        <v>0</v>
      </c>
      <c r="P38" s="934"/>
      <c r="Q38" s="934"/>
      <c r="R38" s="934"/>
      <c r="S38" s="934"/>
      <c r="T38" s="934"/>
      <c r="U38" s="934"/>
      <c r="V38" s="934"/>
      <c r="W38" s="934">
        <v>1</v>
      </c>
      <c r="X38" s="934"/>
      <c r="Y38" s="934">
        <v>1</v>
      </c>
      <c r="Z38" s="934"/>
      <c r="AA38" s="934"/>
      <c r="AB38" s="934"/>
      <c r="AC38" s="934"/>
      <c r="AD38" s="1048"/>
      <c r="AE38" s="1048"/>
      <c r="AF38" s="1048">
        <f t="shared" si="22"/>
        <v>0</v>
      </c>
      <c r="AG38" s="1048"/>
      <c r="AH38" s="934"/>
      <c r="AI38" s="934"/>
      <c r="AJ38" s="1074"/>
      <c r="AK38" s="1074"/>
      <c r="AL38" s="1074"/>
      <c r="AM38" s="1074"/>
      <c r="AN38" s="1049">
        <f t="shared" si="26"/>
        <v>0</v>
      </c>
      <c r="AO38" s="1049"/>
      <c r="AP38" s="1049"/>
      <c r="AQ38" s="1049"/>
      <c r="AR38" s="1049"/>
      <c r="AS38" s="934"/>
      <c r="AT38" s="934"/>
      <c r="AU38" s="934">
        <f t="shared" si="23"/>
        <v>0</v>
      </c>
      <c r="AV38" s="934"/>
      <c r="AW38" s="934"/>
      <c r="AX38" s="934">
        <v>1</v>
      </c>
      <c r="AY38" s="934"/>
      <c r="AZ38" s="934"/>
      <c r="BA38" s="1048">
        <f t="shared" si="24"/>
        <v>0</v>
      </c>
      <c r="BB38" s="1061">
        <f t="shared" si="20"/>
        <v>51.5</v>
      </c>
      <c r="BC38" s="934"/>
      <c r="BD38" s="934">
        <f t="shared" si="21"/>
        <v>0</v>
      </c>
      <c r="BE38" s="934">
        <v>2</v>
      </c>
      <c r="BF38" s="934"/>
      <c r="BG38" s="934"/>
      <c r="BH38" s="934"/>
      <c r="BI38" s="934"/>
      <c r="BJ38" s="934"/>
      <c r="BK38" s="934"/>
      <c r="BL38" s="934">
        <v>1</v>
      </c>
      <c r="BM38" s="934"/>
      <c r="BN38" s="934"/>
      <c r="BO38" s="1048"/>
      <c r="BP38" s="1048"/>
      <c r="BQ38" s="1048"/>
      <c r="BR38" s="1048"/>
      <c r="BS38" s="1048"/>
      <c r="BT38" s="934"/>
      <c r="BU38" s="934"/>
      <c r="BV38" s="934"/>
      <c r="BW38" s="934"/>
      <c r="BX38" s="934"/>
      <c r="BY38" s="1076"/>
      <c r="BZ38" s="1077"/>
      <c r="CA38" s="1072"/>
    </row>
    <row r="39" spans="4:79" s="977" customFormat="1" ht="21.6">
      <c r="E39" s="1056" t="s">
        <v>657</v>
      </c>
      <c r="F39" s="1073" t="s">
        <v>80</v>
      </c>
      <c r="G39" s="1073" t="s">
        <v>80</v>
      </c>
      <c r="H39" s="1066">
        <v>61.5</v>
      </c>
      <c r="I39" s="1066">
        <f t="shared" si="25"/>
        <v>61.5</v>
      </c>
      <c r="J39" s="1066">
        <f t="shared" si="16"/>
        <v>61.5</v>
      </c>
      <c r="K39" s="1066"/>
      <c r="L39" s="1066">
        <f t="shared" si="17"/>
        <v>61.5</v>
      </c>
      <c r="M39" s="1178"/>
      <c r="N39" s="1057"/>
      <c r="O39" s="1058">
        <f t="shared" si="18"/>
        <v>0</v>
      </c>
      <c r="P39" s="934"/>
      <c r="Q39" s="934"/>
      <c r="R39" s="934"/>
      <c r="S39" s="934"/>
      <c r="T39" s="934"/>
      <c r="U39" s="934"/>
      <c r="V39" s="934"/>
      <c r="W39" s="934">
        <v>1</v>
      </c>
      <c r="X39" s="934"/>
      <c r="Y39" s="934">
        <v>1</v>
      </c>
      <c r="Z39" s="934"/>
      <c r="AA39" s="934"/>
      <c r="AB39" s="934"/>
      <c r="AC39" s="934"/>
      <c r="AD39" s="1048"/>
      <c r="AE39" s="1048"/>
      <c r="AF39" s="1048">
        <f t="shared" si="22"/>
        <v>0</v>
      </c>
      <c r="AG39" s="1048"/>
      <c r="AH39" s="934"/>
      <c r="AI39" s="934"/>
      <c r="AJ39" s="1074"/>
      <c r="AK39" s="1074"/>
      <c r="AL39" s="1074"/>
      <c r="AM39" s="1074"/>
      <c r="AN39" s="1049">
        <f t="shared" si="26"/>
        <v>0</v>
      </c>
      <c r="AO39" s="1049"/>
      <c r="AP39" s="1049"/>
      <c r="AQ39" s="1049"/>
      <c r="AR39" s="1049"/>
      <c r="AS39" s="934"/>
      <c r="AT39" s="934"/>
      <c r="AU39" s="934">
        <f t="shared" si="23"/>
        <v>0</v>
      </c>
      <c r="AV39" s="934"/>
      <c r="AW39" s="934"/>
      <c r="AX39" s="934">
        <v>1</v>
      </c>
      <c r="AY39" s="934"/>
      <c r="AZ39" s="934"/>
      <c r="BA39" s="1048">
        <f t="shared" si="24"/>
        <v>0</v>
      </c>
      <c r="BB39" s="1061">
        <f t="shared" si="20"/>
        <v>61.5</v>
      </c>
      <c r="BC39" s="934"/>
      <c r="BD39" s="934">
        <f t="shared" si="21"/>
        <v>0</v>
      </c>
      <c r="BE39" s="934">
        <v>2</v>
      </c>
      <c r="BF39" s="934"/>
      <c r="BG39" s="934"/>
      <c r="BH39" s="934"/>
      <c r="BI39" s="934"/>
      <c r="BJ39" s="934"/>
      <c r="BK39" s="934"/>
      <c r="BL39" s="934">
        <v>1</v>
      </c>
      <c r="BM39" s="934"/>
      <c r="BN39" s="934"/>
      <c r="BO39" s="1048"/>
      <c r="BP39" s="1048"/>
      <c r="BQ39" s="1048"/>
      <c r="BR39" s="1048"/>
      <c r="BS39" s="1048"/>
      <c r="BT39" s="934"/>
      <c r="BU39" s="934"/>
      <c r="BV39" s="934"/>
      <c r="BW39" s="934"/>
      <c r="BX39" s="934"/>
      <c r="BY39" s="934"/>
      <c r="CA39" s="1072"/>
    </row>
    <row r="40" spans="4:79" s="977" customFormat="1" ht="21.6">
      <c r="E40" s="1056" t="s">
        <v>658</v>
      </c>
      <c r="F40" s="1073" t="s">
        <v>377</v>
      </c>
      <c r="G40" s="1073" t="s">
        <v>377</v>
      </c>
      <c r="H40" s="1066">
        <v>62.9</v>
      </c>
      <c r="I40" s="1066">
        <f t="shared" si="25"/>
        <v>62.9</v>
      </c>
      <c r="J40" s="1066">
        <f t="shared" si="16"/>
        <v>62.9</v>
      </c>
      <c r="K40" s="1066"/>
      <c r="L40" s="1066">
        <f t="shared" si="17"/>
        <v>62.9</v>
      </c>
      <c r="M40" s="1178"/>
      <c r="N40" s="1057"/>
      <c r="O40" s="1058">
        <f t="shared" si="18"/>
        <v>0</v>
      </c>
      <c r="P40" s="934"/>
      <c r="Q40" s="934">
        <v>1</v>
      </c>
      <c r="R40" s="934"/>
      <c r="S40" s="934"/>
      <c r="T40" s="934"/>
      <c r="U40" s="934"/>
      <c r="V40" s="934"/>
      <c r="W40" s="934"/>
      <c r="X40" s="934"/>
      <c r="Y40" s="934"/>
      <c r="Z40" s="934"/>
      <c r="AA40" s="934"/>
      <c r="AB40" s="934"/>
      <c r="AC40" s="934">
        <v>1</v>
      </c>
      <c r="AD40" s="1048">
        <v>1</v>
      </c>
      <c r="AE40" s="1048"/>
      <c r="AF40" s="1048">
        <f t="shared" si="22"/>
        <v>1</v>
      </c>
      <c r="AG40" s="1048"/>
      <c r="AH40" s="934"/>
      <c r="AI40" s="934"/>
      <c r="AJ40" s="1074">
        <v>1</v>
      </c>
      <c r="AK40" s="1074">
        <v>1</v>
      </c>
      <c r="AL40" s="1074"/>
      <c r="AM40" s="1074"/>
      <c r="AN40" s="1049">
        <f t="shared" si="26"/>
        <v>1</v>
      </c>
      <c r="AO40" s="1049"/>
      <c r="AP40" s="1049"/>
      <c r="AQ40" s="1049"/>
      <c r="AR40" s="1049"/>
      <c r="AS40" s="934">
        <v>0.5</v>
      </c>
      <c r="AT40" s="934"/>
      <c r="AU40" s="934">
        <f t="shared" si="23"/>
        <v>0.5</v>
      </c>
      <c r="AV40" s="934"/>
      <c r="AW40" s="934"/>
      <c r="AX40" s="934"/>
      <c r="AY40" s="934"/>
      <c r="AZ40" s="934"/>
      <c r="BA40" s="1048">
        <f t="shared" si="24"/>
        <v>1</v>
      </c>
      <c r="BB40" s="1061">
        <f t="shared" si="20"/>
        <v>62.9</v>
      </c>
      <c r="BC40" s="934"/>
      <c r="BD40" s="934">
        <f t="shared" si="21"/>
        <v>0</v>
      </c>
      <c r="BE40" s="934"/>
      <c r="BF40" s="934"/>
      <c r="BG40" s="934"/>
      <c r="BH40" s="934">
        <v>1</v>
      </c>
      <c r="BI40" s="934"/>
      <c r="BJ40" s="934"/>
      <c r="BK40" s="934">
        <v>1</v>
      </c>
      <c r="BL40" s="934"/>
      <c r="BM40" s="934"/>
      <c r="BN40" s="934"/>
      <c r="BO40" s="1048">
        <v>1</v>
      </c>
      <c r="BP40" s="1048"/>
      <c r="BQ40" s="1048"/>
      <c r="BR40" s="1048"/>
      <c r="BS40" s="1048"/>
      <c r="BT40" s="934"/>
      <c r="BU40" s="934"/>
      <c r="BV40" s="934"/>
      <c r="BW40" s="934"/>
      <c r="BX40" s="934"/>
      <c r="BY40" s="1076" t="s">
        <v>873</v>
      </c>
      <c r="BZ40" s="1077"/>
      <c r="CA40" s="1072"/>
    </row>
    <row r="41" spans="4:79" s="1078" customFormat="1" ht="21.6">
      <c r="D41" s="1373" t="s">
        <v>935</v>
      </c>
      <c r="E41" s="1115" t="s">
        <v>640</v>
      </c>
      <c r="F41" s="1116"/>
      <c r="G41" s="1116"/>
      <c r="H41" s="1100">
        <f>SUM(H22:H40)</f>
        <v>996.19999999999993</v>
      </c>
      <c r="I41" s="1100">
        <f t="shared" ref="I41:BT41" si="27">SUM(I22:I40)</f>
        <v>996.19999999999993</v>
      </c>
      <c r="J41" s="1100">
        <f t="shared" si="27"/>
        <v>996.19999999999993</v>
      </c>
      <c r="K41" s="1100">
        <f t="shared" si="27"/>
        <v>0</v>
      </c>
      <c r="L41" s="1100">
        <f t="shared" si="27"/>
        <v>996.19999999999993</v>
      </c>
      <c r="M41" s="1100">
        <f t="shared" si="27"/>
        <v>2</v>
      </c>
      <c r="N41" s="1100">
        <f t="shared" si="27"/>
        <v>0</v>
      </c>
      <c r="O41" s="1100">
        <f t="shared" si="27"/>
        <v>2</v>
      </c>
      <c r="P41" s="1100">
        <f t="shared" si="27"/>
        <v>1</v>
      </c>
      <c r="Q41" s="1100">
        <f t="shared" si="27"/>
        <v>9</v>
      </c>
      <c r="R41" s="1100">
        <f t="shared" si="27"/>
        <v>2</v>
      </c>
      <c r="S41" s="1100">
        <f t="shared" si="27"/>
        <v>0</v>
      </c>
      <c r="T41" s="1100">
        <f t="shared" si="27"/>
        <v>0</v>
      </c>
      <c r="U41" s="1100">
        <f t="shared" si="27"/>
        <v>2</v>
      </c>
      <c r="V41" s="1100">
        <f t="shared" si="27"/>
        <v>0</v>
      </c>
      <c r="W41" s="1100">
        <f t="shared" si="27"/>
        <v>18</v>
      </c>
      <c r="X41" s="1100">
        <f t="shared" si="27"/>
        <v>2</v>
      </c>
      <c r="Y41" s="1100">
        <f t="shared" si="27"/>
        <v>8</v>
      </c>
      <c r="Z41" s="1100">
        <f t="shared" si="27"/>
        <v>1</v>
      </c>
      <c r="AA41" s="1100">
        <f t="shared" si="27"/>
        <v>5</v>
      </c>
      <c r="AB41" s="1100">
        <f t="shared" si="27"/>
        <v>2</v>
      </c>
      <c r="AC41" s="1100">
        <f t="shared" si="27"/>
        <v>6</v>
      </c>
      <c r="AD41" s="1100">
        <f t="shared" si="27"/>
        <v>7</v>
      </c>
      <c r="AE41" s="1100">
        <f t="shared" si="27"/>
        <v>1</v>
      </c>
      <c r="AF41" s="1100">
        <f t="shared" si="27"/>
        <v>8</v>
      </c>
      <c r="AG41" s="1100">
        <f t="shared" si="27"/>
        <v>0</v>
      </c>
      <c r="AH41" s="1100">
        <f t="shared" si="27"/>
        <v>0</v>
      </c>
      <c r="AI41" s="1100">
        <f t="shared" si="27"/>
        <v>0</v>
      </c>
      <c r="AJ41" s="1100">
        <f t="shared" si="27"/>
        <v>1</v>
      </c>
      <c r="AK41" s="1100">
        <f t="shared" si="27"/>
        <v>1</v>
      </c>
      <c r="AL41" s="1100">
        <f t="shared" si="27"/>
        <v>0</v>
      </c>
      <c r="AM41" s="1100">
        <f t="shared" si="27"/>
        <v>1</v>
      </c>
      <c r="AN41" s="1100">
        <f t="shared" si="27"/>
        <v>2</v>
      </c>
      <c r="AO41" s="1100">
        <f t="shared" si="27"/>
        <v>1</v>
      </c>
      <c r="AP41" s="1100">
        <f t="shared" si="27"/>
        <v>0</v>
      </c>
      <c r="AQ41" s="1100">
        <f t="shared" si="27"/>
        <v>1</v>
      </c>
      <c r="AR41" s="1100">
        <f t="shared" si="27"/>
        <v>0</v>
      </c>
      <c r="AS41" s="1100">
        <f t="shared" si="27"/>
        <v>2.5</v>
      </c>
      <c r="AT41" s="1100">
        <f t="shared" si="27"/>
        <v>0.5</v>
      </c>
      <c r="AU41" s="1100">
        <f t="shared" si="27"/>
        <v>3</v>
      </c>
      <c r="AV41" s="1100">
        <f t="shared" si="27"/>
        <v>0</v>
      </c>
      <c r="AW41" s="1100">
        <f t="shared" si="27"/>
        <v>1</v>
      </c>
      <c r="AX41" s="1100">
        <f t="shared" si="27"/>
        <v>11</v>
      </c>
      <c r="AY41" s="1100">
        <f t="shared" si="27"/>
        <v>12</v>
      </c>
      <c r="AZ41" s="1100">
        <f t="shared" si="27"/>
        <v>1</v>
      </c>
      <c r="BA41" s="1100">
        <f t="shared" si="27"/>
        <v>6</v>
      </c>
      <c r="BB41" s="1100">
        <f t="shared" si="27"/>
        <v>996.19999999999993</v>
      </c>
      <c r="BC41" s="1100">
        <f t="shared" si="27"/>
        <v>0</v>
      </c>
      <c r="BD41" s="1100">
        <f t="shared" si="27"/>
        <v>1</v>
      </c>
      <c r="BE41" s="1100">
        <f t="shared" si="27"/>
        <v>12</v>
      </c>
      <c r="BF41" s="1100">
        <f t="shared" si="27"/>
        <v>12</v>
      </c>
      <c r="BG41" s="1100">
        <f t="shared" si="27"/>
        <v>1</v>
      </c>
      <c r="BH41" s="1100">
        <f t="shared" si="27"/>
        <v>9</v>
      </c>
      <c r="BI41" s="1100">
        <f t="shared" si="27"/>
        <v>2</v>
      </c>
      <c r="BJ41" s="1100">
        <f t="shared" si="27"/>
        <v>0</v>
      </c>
      <c r="BK41" s="1100">
        <f t="shared" si="27"/>
        <v>6</v>
      </c>
      <c r="BL41" s="1100">
        <f t="shared" si="27"/>
        <v>18</v>
      </c>
      <c r="BM41" s="1100">
        <f t="shared" si="27"/>
        <v>0</v>
      </c>
      <c r="BN41" s="1100">
        <f t="shared" si="27"/>
        <v>0</v>
      </c>
      <c r="BO41" s="1100">
        <f t="shared" si="27"/>
        <v>5</v>
      </c>
      <c r="BP41" s="1100">
        <f t="shared" si="27"/>
        <v>1</v>
      </c>
      <c r="BQ41" s="1100">
        <f t="shared" si="27"/>
        <v>0</v>
      </c>
      <c r="BR41" s="1100">
        <f t="shared" si="27"/>
        <v>2</v>
      </c>
      <c r="BS41" s="1100">
        <f t="shared" si="27"/>
        <v>2</v>
      </c>
      <c r="BT41" s="1100">
        <f t="shared" si="27"/>
        <v>3</v>
      </c>
      <c r="BU41" s="1100">
        <f t="shared" ref="BU41:BW41" si="28">SUM(BU22:BU40)</f>
        <v>0</v>
      </c>
      <c r="BV41" s="1100">
        <f t="shared" si="28"/>
        <v>1</v>
      </c>
      <c r="BW41" s="1100">
        <f t="shared" si="28"/>
        <v>0</v>
      </c>
      <c r="BX41" s="1101" t="e">
        <f t="shared" ref="BX41" si="29">SUM(#REF!)</f>
        <v>#REF!</v>
      </c>
      <c r="BY41" s="1117"/>
      <c r="CA41" s="1079"/>
    </row>
    <row r="42" spans="4:79" s="1078" customFormat="1" ht="21.6">
      <c r="D42" s="1372" t="s">
        <v>935</v>
      </c>
      <c r="E42" s="1110" t="s">
        <v>792</v>
      </c>
      <c r="F42" s="1111"/>
      <c r="G42" s="1111"/>
      <c r="H42" s="1112"/>
      <c r="I42" s="1112"/>
      <c r="J42" s="1112"/>
      <c r="K42" s="1112"/>
      <c r="L42" s="1112"/>
      <c r="M42" s="1179"/>
      <c r="N42" s="1112"/>
      <c r="O42" s="1112"/>
      <c r="P42" s="1112"/>
      <c r="Q42" s="1112"/>
      <c r="R42" s="1112"/>
      <c r="S42" s="1112"/>
      <c r="T42" s="1112"/>
      <c r="U42" s="1112"/>
      <c r="V42" s="1112"/>
      <c r="W42" s="1112"/>
      <c r="X42" s="1112"/>
      <c r="Y42" s="1112"/>
      <c r="Z42" s="1112"/>
      <c r="AA42" s="1112"/>
      <c r="AB42" s="1112"/>
      <c r="AC42" s="1112"/>
      <c r="AD42" s="1112"/>
      <c r="AE42" s="1112"/>
      <c r="AF42" s="1112"/>
      <c r="AG42" s="1112"/>
      <c r="AH42" s="1112"/>
      <c r="AI42" s="1112"/>
      <c r="AJ42" s="1112"/>
      <c r="AK42" s="1112"/>
      <c r="AL42" s="1112"/>
      <c r="AM42" s="1112"/>
      <c r="AN42" s="1112"/>
      <c r="AO42" s="1112"/>
      <c r="AP42" s="1112"/>
      <c r="AQ42" s="1112"/>
      <c r="AR42" s="1112"/>
      <c r="AS42" s="1112"/>
      <c r="AT42" s="1112"/>
      <c r="AU42" s="1112"/>
      <c r="AV42" s="1112"/>
      <c r="AW42" s="1112"/>
      <c r="AX42" s="1112"/>
      <c r="AY42" s="1112"/>
      <c r="AZ42" s="1112"/>
      <c r="BA42" s="1112"/>
      <c r="BB42" s="1112"/>
      <c r="BC42" s="1112"/>
      <c r="BD42" s="1112"/>
      <c r="BE42" s="1112"/>
      <c r="BF42" s="1112"/>
      <c r="BG42" s="1112"/>
      <c r="BH42" s="1112"/>
      <c r="BI42" s="1112"/>
      <c r="BJ42" s="1112"/>
      <c r="BK42" s="1112"/>
      <c r="BL42" s="1112"/>
      <c r="BM42" s="1112"/>
      <c r="BN42" s="1112"/>
      <c r="BO42" s="1112"/>
      <c r="BP42" s="1112"/>
      <c r="BQ42" s="1112"/>
      <c r="BR42" s="1112"/>
      <c r="BS42" s="1112"/>
      <c r="BT42" s="1112"/>
      <c r="BU42" s="1112"/>
      <c r="BV42" s="1112"/>
      <c r="BW42" s="1112"/>
      <c r="BX42" s="1113"/>
      <c r="BY42" s="1114"/>
      <c r="CA42" s="1079"/>
    </row>
    <row r="43" spans="4:79" s="977" customFormat="1" ht="21.6">
      <c r="E43" s="1080" t="s">
        <v>677</v>
      </c>
      <c r="F43" s="1081" t="s">
        <v>377</v>
      </c>
      <c r="G43" s="1081" t="s">
        <v>377</v>
      </c>
      <c r="H43" s="1082"/>
      <c r="I43" s="1082">
        <f>H43</f>
        <v>0</v>
      </c>
      <c r="J43" s="1082">
        <f t="shared" ref="J43:J53" si="30">H43</f>
        <v>0</v>
      </c>
      <c r="K43" s="1082"/>
      <c r="L43" s="1082">
        <f t="shared" ref="L43:L53" si="31">I43</f>
        <v>0</v>
      </c>
      <c r="M43" s="1182"/>
      <c r="N43" s="1083"/>
      <c r="O43" s="1084">
        <f t="shared" ref="O43:O53" si="32">N43+M43</f>
        <v>0</v>
      </c>
      <c r="P43" s="1085"/>
      <c r="Q43" s="1085"/>
      <c r="R43" s="1085"/>
      <c r="S43" s="1085"/>
      <c r="T43" s="1085"/>
      <c r="U43" s="1085"/>
      <c r="V43" s="1085"/>
      <c r="W43" s="1085"/>
      <c r="X43" s="1085"/>
      <c r="Y43" s="1085"/>
      <c r="Z43" s="1085"/>
      <c r="AA43" s="1085"/>
      <c r="AB43" s="1085"/>
      <c r="AC43" s="1085">
        <v>1</v>
      </c>
      <c r="AD43" s="1086"/>
      <c r="AE43" s="1086">
        <v>1</v>
      </c>
      <c r="AF43" s="1048">
        <f t="shared" ref="AF43:AF51" si="33">AE43+AD43</f>
        <v>1</v>
      </c>
      <c r="AG43" s="1086"/>
      <c r="AH43" s="1085"/>
      <c r="AI43" s="1085"/>
      <c r="AJ43" s="1087">
        <v>1</v>
      </c>
      <c r="AK43" s="1087"/>
      <c r="AL43" s="1087">
        <v>1</v>
      </c>
      <c r="AM43" s="1087"/>
      <c r="AN43" s="1049"/>
      <c r="AO43" s="1071"/>
      <c r="AP43" s="1071"/>
      <c r="AQ43" s="1071"/>
      <c r="AR43" s="1071"/>
      <c r="AS43" s="1085">
        <v>0.5</v>
      </c>
      <c r="AT43" s="1085"/>
      <c r="AU43" s="1085"/>
      <c r="AV43" s="1085"/>
      <c r="AW43" s="1085">
        <v>0.5</v>
      </c>
      <c r="AX43" s="1085">
        <v>1</v>
      </c>
      <c r="AY43" s="1085"/>
      <c r="AZ43" s="1085"/>
      <c r="BA43" s="934">
        <f t="shared" ref="BA43:BA53" si="34">IF(F43="2DT",2,IF(F43="DT",1,IF(F43="2DT-90",2,0)))</f>
        <v>1</v>
      </c>
      <c r="BB43" s="1089">
        <f t="shared" ref="BB43:BB53" si="35">J43</f>
        <v>0</v>
      </c>
      <c r="BC43" s="1085"/>
      <c r="BD43" s="934">
        <f t="shared" ref="BD43:BD53" si="36">AZ43</f>
        <v>0</v>
      </c>
      <c r="BE43" s="1085"/>
      <c r="BF43" s="1085"/>
      <c r="BG43" s="1085"/>
      <c r="BH43" s="1085"/>
      <c r="BI43" s="1085"/>
      <c r="BJ43" s="1085"/>
      <c r="BK43" s="1085">
        <v>1</v>
      </c>
      <c r="BL43" s="1085"/>
      <c r="BM43" s="1085"/>
      <c r="BN43" s="1085"/>
      <c r="BO43" s="1086"/>
      <c r="BP43" s="1086">
        <v>1</v>
      </c>
      <c r="BQ43" s="1086"/>
      <c r="BR43" s="1086"/>
      <c r="BS43" s="1086"/>
      <c r="BT43" s="1085"/>
      <c r="BU43" s="1085"/>
      <c r="BV43" s="1085"/>
      <c r="BW43" s="1085"/>
      <c r="BX43" s="1085"/>
      <c r="BY43" s="1085"/>
      <c r="CA43" s="1072"/>
    </row>
    <row r="44" spans="4:79" s="977" customFormat="1" ht="21.6">
      <c r="E44" s="1056" t="s">
        <v>678</v>
      </c>
      <c r="F44" s="1073" t="s">
        <v>148</v>
      </c>
      <c r="G44" s="1073" t="s">
        <v>148</v>
      </c>
      <c r="H44" s="1066">
        <v>53.8</v>
      </c>
      <c r="I44" s="1066">
        <f>H44</f>
        <v>53.8</v>
      </c>
      <c r="J44" s="1066">
        <f t="shared" si="30"/>
        <v>53.8</v>
      </c>
      <c r="K44" s="1066"/>
      <c r="L44" s="1066">
        <f t="shared" si="31"/>
        <v>53.8</v>
      </c>
      <c r="M44" s="1178"/>
      <c r="N44" s="1057"/>
      <c r="O44" s="1058">
        <f t="shared" si="32"/>
        <v>0</v>
      </c>
      <c r="P44" s="934"/>
      <c r="Q44" s="934">
        <v>1</v>
      </c>
      <c r="R44" s="934"/>
      <c r="S44" s="934"/>
      <c r="T44" s="934"/>
      <c r="U44" s="934"/>
      <c r="V44" s="934"/>
      <c r="W44" s="934"/>
      <c r="X44" s="934"/>
      <c r="Y44" s="934"/>
      <c r="Z44" s="934"/>
      <c r="AA44" s="934"/>
      <c r="AB44" s="934"/>
      <c r="AC44" s="934">
        <v>2</v>
      </c>
      <c r="AD44" s="1048">
        <v>2</v>
      </c>
      <c r="AE44" s="1048"/>
      <c r="AF44" s="1048">
        <f t="shared" si="33"/>
        <v>2</v>
      </c>
      <c r="AG44" s="1048"/>
      <c r="AH44" s="934"/>
      <c r="AI44" s="934"/>
      <c r="AJ44" s="1074"/>
      <c r="AK44" s="1074"/>
      <c r="AL44" s="1074"/>
      <c r="AM44" s="1074"/>
      <c r="AN44" s="1049">
        <f t="shared" ref="AN44:AN51" si="37">AM44+AJ44</f>
        <v>0</v>
      </c>
      <c r="AO44" s="1049">
        <v>1</v>
      </c>
      <c r="AP44" s="1049"/>
      <c r="AQ44" s="1049">
        <v>1</v>
      </c>
      <c r="AR44" s="1049"/>
      <c r="AS44" s="934">
        <v>1</v>
      </c>
      <c r="AT44" s="934"/>
      <c r="AU44" s="934">
        <f>AS44+AT44</f>
        <v>1</v>
      </c>
      <c r="AV44" s="934"/>
      <c r="AW44" s="934">
        <v>1</v>
      </c>
      <c r="AX44" s="934"/>
      <c r="AY44" s="934"/>
      <c r="AZ44" s="934">
        <v>1</v>
      </c>
      <c r="BA44" s="934">
        <f t="shared" si="34"/>
        <v>2</v>
      </c>
      <c r="BB44" s="1061">
        <f t="shared" si="35"/>
        <v>53.8</v>
      </c>
      <c r="BC44" s="934"/>
      <c r="BD44" s="934">
        <f t="shared" si="36"/>
        <v>1</v>
      </c>
      <c r="BE44" s="934"/>
      <c r="BF44" s="934"/>
      <c r="BG44" s="934"/>
      <c r="BH44" s="934">
        <v>1</v>
      </c>
      <c r="BI44" s="934"/>
      <c r="BJ44" s="934"/>
      <c r="BK44" s="934">
        <v>2</v>
      </c>
      <c r="BL44" s="934"/>
      <c r="BM44" s="934"/>
      <c r="BN44" s="934"/>
      <c r="BO44" s="1048">
        <v>2</v>
      </c>
      <c r="BP44" s="1048"/>
      <c r="BQ44" s="1048"/>
      <c r="BR44" s="1048"/>
      <c r="BS44" s="1048">
        <v>2</v>
      </c>
      <c r="BT44" s="934">
        <v>2</v>
      </c>
      <c r="BU44" s="934"/>
      <c r="BV44" s="934">
        <v>1</v>
      </c>
      <c r="BW44" s="934"/>
      <c r="BX44" s="934"/>
      <c r="BY44" s="1076" t="s">
        <v>857</v>
      </c>
      <c r="BZ44" s="1077"/>
      <c r="CA44" s="1072"/>
    </row>
    <row r="45" spans="4:79" s="977" customFormat="1" ht="21.6">
      <c r="E45" s="1056" t="s">
        <v>679</v>
      </c>
      <c r="F45" s="1073" t="s">
        <v>374</v>
      </c>
      <c r="G45" s="1073" t="s">
        <v>374</v>
      </c>
      <c r="H45" s="1066">
        <v>74</v>
      </c>
      <c r="I45" s="1066">
        <f t="shared" ref="I45:I53" si="38">H45</f>
        <v>74</v>
      </c>
      <c r="J45" s="1066">
        <f t="shared" si="30"/>
        <v>74</v>
      </c>
      <c r="K45" s="1066"/>
      <c r="L45" s="1066">
        <f t="shared" si="31"/>
        <v>74</v>
      </c>
      <c r="M45" s="1178"/>
      <c r="N45" s="1057"/>
      <c r="O45" s="1058">
        <f t="shared" si="32"/>
        <v>0</v>
      </c>
      <c r="P45" s="934"/>
      <c r="Q45" s="934">
        <v>1</v>
      </c>
      <c r="R45" s="934"/>
      <c r="S45" s="934"/>
      <c r="T45" s="934"/>
      <c r="U45" s="934"/>
      <c r="V45" s="934"/>
      <c r="W45" s="934">
        <v>2</v>
      </c>
      <c r="X45" s="934"/>
      <c r="Y45" s="934"/>
      <c r="Z45" s="934"/>
      <c r="AA45" s="934">
        <v>1</v>
      </c>
      <c r="AB45" s="934"/>
      <c r="AC45" s="934"/>
      <c r="AD45" s="1048"/>
      <c r="AE45" s="1048"/>
      <c r="AF45" s="1048">
        <f t="shared" si="33"/>
        <v>0</v>
      </c>
      <c r="AG45" s="1048"/>
      <c r="AH45" s="934"/>
      <c r="AI45" s="934"/>
      <c r="AJ45" s="1074"/>
      <c r="AK45" s="1074"/>
      <c r="AL45" s="1074"/>
      <c r="AM45" s="1074">
        <v>1</v>
      </c>
      <c r="AN45" s="1049">
        <f t="shared" si="37"/>
        <v>1</v>
      </c>
      <c r="AO45" s="1049"/>
      <c r="AP45" s="1049"/>
      <c r="AQ45" s="1049"/>
      <c r="AR45" s="1049"/>
      <c r="AS45" s="934"/>
      <c r="AT45" s="934"/>
      <c r="AU45" s="934">
        <f t="shared" ref="AU45:AU53" si="39">AS45+AT45</f>
        <v>0</v>
      </c>
      <c r="AV45" s="934"/>
      <c r="AW45" s="934"/>
      <c r="AX45" s="934"/>
      <c r="AY45" s="934">
        <v>2</v>
      </c>
      <c r="AZ45" s="934"/>
      <c r="BA45" s="934">
        <f t="shared" si="34"/>
        <v>0</v>
      </c>
      <c r="BB45" s="1061">
        <f t="shared" si="35"/>
        <v>74</v>
      </c>
      <c r="BC45" s="934"/>
      <c r="BD45" s="934">
        <f t="shared" si="36"/>
        <v>0</v>
      </c>
      <c r="BE45" s="934"/>
      <c r="BF45" s="934">
        <v>2</v>
      </c>
      <c r="BG45" s="934"/>
      <c r="BH45" s="934">
        <v>1</v>
      </c>
      <c r="BI45" s="934"/>
      <c r="BJ45" s="934"/>
      <c r="BK45" s="934"/>
      <c r="BL45" s="934">
        <v>2</v>
      </c>
      <c r="BM45" s="934"/>
      <c r="BN45" s="934"/>
      <c r="BO45" s="1048"/>
      <c r="BP45" s="1048"/>
      <c r="BQ45" s="1048"/>
      <c r="BR45" s="1048"/>
      <c r="BS45" s="1048"/>
      <c r="BT45" s="934"/>
      <c r="BU45" s="934"/>
      <c r="BV45" s="934"/>
      <c r="BW45" s="934"/>
      <c r="BX45" s="934"/>
      <c r="BY45" s="1076"/>
      <c r="BZ45" s="1077"/>
      <c r="CA45" s="1072"/>
    </row>
    <row r="46" spans="4:79" s="977" customFormat="1" ht="21.6">
      <c r="E46" s="1056" t="s">
        <v>680</v>
      </c>
      <c r="F46" s="1073" t="s">
        <v>744</v>
      </c>
      <c r="G46" s="1073" t="s">
        <v>374</v>
      </c>
      <c r="H46" s="1066">
        <v>49.8</v>
      </c>
      <c r="I46" s="1066">
        <f t="shared" si="38"/>
        <v>49.8</v>
      </c>
      <c r="J46" s="1066">
        <f t="shared" si="30"/>
        <v>49.8</v>
      </c>
      <c r="K46" s="1066"/>
      <c r="L46" s="1066">
        <f t="shared" si="31"/>
        <v>49.8</v>
      </c>
      <c r="M46" s="1178"/>
      <c r="N46" s="1057"/>
      <c r="O46" s="1058">
        <f t="shared" si="32"/>
        <v>0</v>
      </c>
      <c r="P46" s="934"/>
      <c r="Q46" s="934">
        <v>1</v>
      </c>
      <c r="R46" s="934"/>
      <c r="S46" s="934"/>
      <c r="T46" s="934"/>
      <c r="U46" s="934"/>
      <c r="V46" s="934"/>
      <c r="W46" s="934"/>
      <c r="X46" s="934"/>
      <c r="Y46" s="934"/>
      <c r="Z46" s="934">
        <v>1</v>
      </c>
      <c r="AA46" s="934"/>
      <c r="AB46" s="934"/>
      <c r="AC46" s="934"/>
      <c r="AD46" s="1048"/>
      <c r="AE46" s="1048"/>
      <c r="AF46" s="1048">
        <f t="shared" si="33"/>
        <v>0</v>
      </c>
      <c r="AG46" s="1048"/>
      <c r="AH46" s="934"/>
      <c r="AI46" s="934"/>
      <c r="AJ46" s="1074"/>
      <c r="AK46" s="1074"/>
      <c r="AL46" s="1074"/>
      <c r="AM46" s="1074"/>
      <c r="AN46" s="1049">
        <f t="shared" si="37"/>
        <v>0</v>
      </c>
      <c r="AO46" s="1049"/>
      <c r="AP46" s="1049"/>
      <c r="AQ46" s="1049"/>
      <c r="AR46" s="1049"/>
      <c r="AS46" s="934"/>
      <c r="AT46" s="934"/>
      <c r="AU46" s="934">
        <f t="shared" si="39"/>
        <v>0</v>
      </c>
      <c r="AV46" s="934"/>
      <c r="AW46" s="934"/>
      <c r="AX46" s="934"/>
      <c r="AY46" s="934">
        <v>2</v>
      </c>
      <c r="AZ46" s="934"/>
      <c r="BA46" s="934">
        <f t="shared" si="34"/>
        <v>0</v>
      </c>
      <c r="BB46" s="1061">
        <f t="shared" si="35"/>
        <v>49.8</v>
      </c>
      <c r="BC46" s="934"/>
      <c r="BD46" s="934">
        <f t="shared" si="36"/>
        <v>0</v>
      </c>
      <c r="BE46" s="934"/>
      <c r="BF46" s="934"/>
      <c r="BG46" s="934"/>
      <c r="BH46" s="934">
        <v>1</v>
      </c>
      <c r="BI46" s="934"/>
      <c r="BJ46" s="934"/>
      <c r="BK46" s="934"/>
      <c r="BL46" s="934"/>
      <c r="BM46" s="934"/>
      <c r="BN46" s="934"/>
      <c r="BO46" s="1048"/>
      <c r="BP46" s="1048"/>
      <c r="BQ46" s="1048"/>
      <c r="BR46" s="1048">
        <v>1</v>
      </c>
      <c r="BS46" s="1048"/>
      <c r="BT46" s="934"/>
      <c r="BU46" s="934"/>
      <c r="BV46" s="934"/>
      <c r="BW46" s="934"/>
      <c r="BX46" s="934"/>
      <c r="BY46" s="1076" t="s">
        <v>855</v>
      </c>
      <c r="BZ46" s="1077"/>
      <c r="CA46" s="1072"/>
    </row>
    <row r="47" spans="4:79" s="977" customFormat="1" ht="21.6">
      <c r="E47" s="1056" t="s">
        <v>681</v>
      </c>
      <c r="F47" s="1073" t="s">
        <v>80</v>
      </c>
      <c r="G47" s="1073" t="s">
        <v>80</v>
      </c>
      <c r="H47" s="1066">
        <v>55.3</v>
      </c>
      <c r="I47" s="1066">
        <f t="shared" si="38"/>
        <v>55.3</v>
      </c>
      <c r="J47" s="1066">
        <f t="shared" si="30"/>
        <v>55.3</v>
      </c>
      <c r="K47" s="1066"/>
      <c r="L47" s="1066">
        <f t="shared" si="31"/>
        <v>55.3</v>
      </c>
      <c r="M47" s="1178"/>
      <c r="N47" s="1057"/>
      <c r="O47" s="1058">
        <f t="shared" si="32"/>
        <v>0</v>
      </c>
      <c r="P47" s="934"/>
      <c r="Q47" s="934"/>
      <c r="R47" s="934"/>
      <c r="S47" s="934"/>
      <c r="T47" s="934"/>
      <c r="U47" s="934">
        <v>1</v>
      </c>
      <c r="V47" s="934"/>
      <c r="W47" s="934">
        <v>1</v>
      </c>
      <c r="X47" s="934"/>
      <c r="Y47" s="934">
        <v>1</v>
      </c>
      <c r="Z47" s="934"/>
      <c r="AA47" s="934"/>
      <c r="AB47" s="934"/>
      <c r="AC47" s="934"/>
      <c r="AD47" s="1048"/>
      <c r="AE47" s="1048"/>
      <c r="AF47" s="1048">
        <f t="shared" si="33"/>
        <v>0</v>
      </c>
      <c r="AG47" s="1048"/>
      <c r="AH47" s="934"/>
      <c r="AI47" s="934"/>
      <c r="AJ47" s="1074"/>
      <c r="AK47" s="1074"/>
      <c r="AL47" s="1074"/>
      <c r="AM47" s="1074"/>
      <c r="AN47" s="1049">
        <f t="shared" si="37"/>
        <v>0</v>
      </c>
      <c r="AO47" s="1049"/>
      <c r="AP47" s="1049"/>
      <c r="AQ47" s="1049"/>
      <c r="AR47" s="1049"/>
      <c r="AS47" s="934"/>
      <c r="AT47" s="934"/>
      <c r="AU47" s="934">
        <f t="shared" si="39"/>
        <v>0</v>
      </c>
      <c r="AV47" s="934"/>
      <c r="AW47" s="934"/>
      <c r="AX47" s="934">
        <v>1</v>
      </c>
      <c r="AY47" s="934"/>
      <c r="AZ47" s="934"/>
      <c r="BA47" s="934">
        <f t="shared" si="34"/>
        <v>0</v>
      </c>
      <c r="BB47" s="1061">
        <f t="shared" si="35"/>
        <v>55.3</v>
      </c>
      <c r="BC47" s="934"/>
      <c r="BD47" s="934">
        <f t="shared" si="36"/>
        <v>0</v>
      </c>
      <c r="BE47" s="934">
        <v>2</v>
      </c>
      <c r="BF47" s="934"/>
      <c r="BG47" s="934"/>
      <c r="BH47" s="934"/>
      <c r="BI47" s="934"/>
      <c r="BJ47" s="934"/>
      <c r="BK47" s="934"/>
      <c r="BL47" s="934">
        <v>1</v>
      </c>
      <c r="BM47" s="934"/>
      <c r="BN47" s="934"/>
      <c r="BO47" s="1048"/>
      <c r="BP47" s="1048"/>
      <c r="BQ47" s="1048"/>
      <c r="BR47" s="1048"/>
      <c r="BS47" s="1048"/>
      <c r="BT47" s="934"/>
      <c r="BU47" s="934"/>
      <c r="BV47" s="934"/>
      <c r="BW47" s="934"/>
      <c r="BX47" s="934"/>
      <c r="BY47" s="1076"/>
      <c r="BZ47" s="1077"/>
      <c r="CA47" s="1072"/>
    </row>
    <row r="48" spans="4:79" s="977" customFormat="1" ht="21.6">
      <c r="E48" s="1056" t="s">
        <v>682</v>
      </c>
      <c r="F48" s="1073" t="s">
        <v>374</v>
      </c>
      <c r="G48" s="1073" t="s">
        <v>374</v>
      </c>
      <c r="H48" s="1066">
        <v>55.2</v>
      </c>
      <c r="I48" s="1066">
        <f t="shared" si="38"/>
        <v>55.2</v>
      </c>
      <c r="J48" s="1066">
        <f t="shared" si="30"/>
        <v>55.2</v>
      </c>
      <c r="K48" s="1066"/>
      <c r="L48" s="1066">
        <f t="shared" si="31"/>
        <v>55.2</v>
      </c>
      <c r="M48" s="1178"/>
      <c r="N48" s="1057"/>
      <c r="O48" s="1058">
        <f t="shared" si="32"/>
        <v>0</v>
      </c>
      <c r="P48" s="934"/>
      <c r="Q48" s="934"/>
      <c r="R48" s="934">
        <v>1</v>
      </c>
      <c r="S48" s="934"/>
      <c r="T48" s="934"/>
      <c r="U48" s="934"/>
      <c r="V48" s="934"/>
      <c r="W48" s="934">
        <v>2</v>
      </c>
      <c r="X48" s="934"/>
      <c r="Y48" s="934"/>
      <c r="Z48" s="934"/>
      <c r="AA48" s="934">
        <v>1</v>
      </c>
      <c r="AB48" s="934"/>
      <c r="AC48" s="934"/>
      <c r="AD48" s="1048"/>
      <c r="AE48" s="1048"/>
      <c r="AF48" s="1048">
        <f t="shared" si="33"/>
        <v>0</v>
      </c>
      <c r="AG48" s="1048"/>
      <c r="AH48" s="934"/>
      <c r="AI48" s="934"/>
      <c r="AJ48" s="1074"/>
      <c r="AK48" s="1074"/>
      <c r="AL48" s="1074"/>
      <c r="AM48" s="1074"/>
      <c r="AN48" s="1049">
        <f t="shared" si="37"/>
        <v>0</v>
      </c>
      <c r="AO48" s="1049"/>
      <c r="AP48" s="1049"/>
      <c r="AQ48" s="1049"/>
      <c r="AR48" s="1049"/>
      <c r="AS48" s="934"/>
      <c r="AT48" s="934"/>
      <c r="AU48" s="934">
        <f t="shared" si="39"/>
        <v>0</v>
      </c>
      <c r="AV48" s="934"/>
      <c r="AW48" s="934"/>
      <c r="AX48" s="934"/>
      <c r="AY48" s="934">
        <v>2</v>
      </c>
      <c r="AZ48" s="934"/>
      <c r="BA48" s="934">
        <f t="shared" si="34"/>
        <v>0</v>
      </c>
      <c r="BB48" s="1061">
        <f t="shared" si="35"/>
        <v>55.2</v>
      </c>
      <c r="BC48" s="934"/>
      <c r="BD48" s="934">
        <f t="shared" si="36"/>
        <v>0</v>
      </c>
      <c r="BE48" s="934"/>
      <c r="BF48" s="934">
        <v>2</v>
      </c>
      <c r="BG48" s="934"/>
      <c r="BH48" s="934"/>
      <c r="BI48" s="934">
        <v>1</v>
      </c>
      <c r="BJ48" s="934"/>
      <c r="BK48" s="934"/>
      <c r="BL48" s="934">
        <v>2</v>
      </c>
      <c r="BM48" s="934"/>
      <c r="BN48" s="934"/>
      <c r="BO48" s="1048"/>
      <c r="BP48" s="1048"/>
      <c r="BQ48" s="1048"/>
      <c r="BR48" s="1048"/>
      <c r="BS48" s="1048"/>
      <c r="BT48" s="934"/>
      <c r="BU48" s="934"/>
      <c r="BV48" s="934"/>
      <c r="BW48" s="934"/>
      <c r="BX48" s="934"/>
      <c r="BY48" s="934"/>
      <c r="CA48" s="1072"/>
    </row>
    <row r="49" spans="4:80" s="977" customFormat="1" ht="21.6">
      <c r="E49" s="1056" t="s">
        <v>683</v>
      </c>
      <c r="F49" s="1073" t="s">
        <v>80</v>
      </c>
      <c r="G49" s="1073" t="s">
        <v>80</v>
      </c>
      <c r="H49" s="1066">
        <v>74.2</v>
      </c>
      <c r="I49" s="1066">
        <f t="shared" si="38"/>
        <v>74.2</v>
      </c>
      <c r="J49" s="1066">
        <f t="shared" si="30"/>
        <v>74.2</v>
      </c>
      <c r="K49" s="1066"/>
      <c r="L49" s="1066">
        <f t="shared" si="31"/>
        <v>74.2</v>
      </c>
      <c r="M49" s="1178"/>
      <c r="N49" s="1057"/>
      <c r="O49" s="1058">
        <f t="shared" si="32"/>
        <v>0</v>
      </c>
      <c r="P49" s="934"/>
      <c r="Q49" s="934"/>
      <c r="R49" s="934"/>
      <c r="S49" s="934"/>
      <c r="T49" s="934"/>
      <c r="U49" s="934"/>
      <c r="V49" s="934"/>
      <c r="W49" s="934">
        <v>1</v>
      </c>
      <c r="X49" s="934"/>
      <c r="Y49" s="934">
        <v>1</v>
      </c>
      <c r="Z49" s="934"/>
      <c r="AA49" s="934"/>
      <c r="AB49" s="934"/>
      <c r="AC49" s="934"/>
      <c r="AD49" s="1048"/>
      <c r="AE49" s="1048"/>
      <c r="AF49" s="1048">
        <f t="shared" si="33"/>
        <v>0</v>
      </c>
      <c r="AG49" s="1048"/>
      <c r="AH49" s="934"/>
      <c r="AI49" s="934"/>
      <c r="AJ49" s="1074"/>
      <c r="AK49" s="1074"/>
      <c r="AL49" s="1074"/>
      <c r="AM49" s="1074"/>
      <c r="AN49" s="1049">
        <f t="shared" si="37"/>
        <v>0</v>
      </c>
      <c r="AO49" s="1049"/>
      <c r="AP49" s="1049"/>
      <c r="AQ49" s="1049"/>
      <c r="AR49" s="1049"/>
      <c r="AS49" s="934"/>
      <c r="AT49" s="934"/>
      <c r="AU49" s="934">
        <f t="shared" si="39"/>
        <v>0</v>
      </c>
      <c r="AV49" s="934"/>
      <c r="AW49" s="934"/>
      <c r="AX49" s="934">
        <v>1</v>
      </c>
      <c r="AY49" s="934"/>
      <c r="AZ49" s="934"/>
      <c r="BA49" s="934">
        <f t="shared" si="34"/>
        <v>0</v>
      </c>
      <c r="BB49" s="1061">
        <f t="shared" si="35"/>
        <v>74.2</v>
      </c>
      <c r="BC49" s="934"/>
      <c r="BD49" s="934">
        <f t="shared" si="36"/>
        <v>0</v>
      </c>
      <c r="BE49" s="934">
        <v>2</v>
      </c>
      <c r="BF49" s="934"/>
      <c r="BG49" s="934"/>
      <c r="BH49" s="934"/>
      <c r="BI49" s="934"/>
      <c r="BJ49" s="934"/>
      <c r="BK49" s="934"/>
      <c r="BL49" s="934">
        <v>1</v>
      </c>
      <c r="BM49" s="934"/>
      <c r="BN49" s="934"/>
      <c r="BO49" s="1048"/>
      <c r="BP49" s="1048"/>
      <c r="BQ49" s="1048"/>
      <c r="BR49" s="1048"/>
      <c r="BS49" s="1048"/>
      <c r="BT49" s="934"/>
      <c r="BU49" s="934"/>
      <c r="BV49" s="934"/>
      <c r="BW49" s="934"/>
      <c r="BX49" s="934"/>
      <c r="BY49" s="1076"/>
      <c r="BZ49" s="1077"/>
      <c r="CA49" s="1072"/>
    </row>
    <row r="50" spans="4:80" s="977" customFormat="1" ht="21.6">
      <c r="E50" s="1056" t="s">
        <v>684</v>
      </c>
      <c r="F50" s="1073" t="s">
        <v>374</v>
      </c>
      <c r="G50" s="1073" t="s">
        <v>374</v>
      </c>
      <c r="H50" s="1066">
        <v>69.8</v>
      </c>
      <c r="I50" s="1066">
        <f t="shared" si="38"/>
        <v>69.8</v>
      </c>
      <c r="J50" s="1066">
        <f t="shared" si="30"/>
        <v>69.8</v>
      </c>
      <c r="K50" s="1066"/>
      <c r="L50" s="1066">
        <f t="shared" si="31"/>
        <v>69.8</v>
      </c>
      <c r="M50" s="1178"/>
      <c r="N50" s="1057"/>
      <c r="O50" s="1058">
        <f t="shared" si="32"/>
        <v>0</v>
      </c>
      <c r="P50" s="934"/>
      <c r="Q50" s="934"/>
      <c r="R50" s="934">
        <v>1</v>
      </c>
      <c r="S50" s="934"/>
      <c r="T50" s="934"/>
      <c r="U50" s="934"/>
      <c r="V50" s="934"/>
      <c r="W50" s="934">
        <v>2</v>
      </c>
      <c r="X50" s="934"/>
      <c r="Y50" s="934"/>
      <c r="Z50" s="934"/>
      <c r="AA50" s="934">
        <v>1</v>
      </c>
      <c r="AB50" s="934"/>
      <c r="AC50" s="934"/>
      <c r="AD50" s="1048"/>
      <c r="AE50" s="1048"/>
      <c r="AF50" s="1048">
        <f t="shared" si="33"/>
        <v>0</v>
      </c>
      <c r="AG50" s="1048"/>
      <c r="AH50" s="934"/>
      <c r="AI50" s="934"/>
      <c r="AJ50" s="1074"/>
      <c r="AK50" s="1074"/>
      <c r="AL50" s="1074"/>
      <c r="AM50" s="1074"/>
      <c r="AN50" s="1049">
        <f t="shared" si="37"/>
        <v>0</v>
      </c>
      <c r="AO50" s="1049"/>
      <c r="AP50" s="1049"/>
      <c r="AQ50" s="1049"/>
      <c r="AR50" s="1049"/>
      <c r="AS50" s="934"/>
      <c r="AT50" s="934"/>
      <c r="AU50" s="934">
        <f t="shared" si="39"/>
        <v>0</v>
      </c>
      <c r="AV50" s="934"/>
      <c r="AW50" s="934"/>
      <c r="AX50" s="934"/>
      <c r="AY50" s="934">
        <v>2</v>
      </c>
      <c r="AZ50" s="934"/>
      <c r="BA50" s="934">
        <f t="shared" si="34"/>
        <v>0</v>
      </c>
      <c r="BB50" s="1061">
        <f t="shared" si="35"/>
        <v>69.8</v>
      </c>
      <c r="BC50" s="934"/>
      <c r="BD50" s="934">
        <f t="shared" si="36"/>
        <v>0</v>
      </c>
      <c r="BE50" s="934"/>
      <c r="BF50" s="934">
        <v>2</v>
      </c>
      <c r="BG50" s="934"/>
      <c r="BH50" s="934"/>
      <c r="BI50" s="934">
        <v>1</v>
      </c>
      <c r="BJ50" s="934"/>
      <c r="BK50" s="934"/>
      <c r="BL50" s="934">
        <v>2</v>
      </c>
      <c r="BM50" s="934"/>
      <c r="BN50" s="934"/>
      <c r="BO50" s="1048"/>
      <c r="BP50" s="1048"/>
      <c r="BQ50" s="1048"/>
      <c r="BR50" s="1048"/>
      <c r="BS50" s="1048"/>
      <c r="BT50" s="934"/>
      <c r="BU50" s="934"/>
      <c r="BV50" s="934"/>
      <c r="BW50" s="934"/>
      <c r="BX50" s="934"/>
      <c r="BY50" s="934"/>
      <c r="CA50" s="1072"/>
    </row>
    <row r="51" spans="4:80" s="977" customFormat="1" ht="21.6">
      <c r="E51" s="1056" t="s">
        <v>740</v>
      </c>
      <c r="F51" s="1073" t="s">
        <v>374</v>
      </c>
      <c r="G51" s="1073" t="s">
        <v>374</v>
      </c>
      <c r="H51" s="1066">
        <v>60.9</v>
      </c>
      <c r="I51" s="1066">
        <f t="shared" si="38"/>
        <v>60.9</v>
      </c>
      <c r="J51" s="1066">
        <f t="shared" si="30"/>
        <v>60.9</v>
      </c>
      <c r="K51" s="1066"/>
      <c r="L51" s="1066">
        <f t="shared" si="31"/>
        <v>60.9</v>
      </c>
      <c r="M51" s="1178"/>
      <c r="N51" s="1057"/>
      <c r="O51" s="1058">
        <f t="shared" si="32"/>
        <v>0</v>
      </c>
      <c r="P51" s="934"/>
      <c r="Q51" s="934"/>
      <c r="R51" s="934">
        <v>1</v>
      </c>
      <c r="S51" s="934"/>
      <c r="T51" s="934"/>
      <c r="U51" s="934"/>
      <c r="V51" s="934"/>
      <c r="W51" s="934">
        <v>2</v>
      </c>
      <c r="X51" s="934"/>
      <c r="Y51" s="934"/>
      <c r="Z51" s="934"/>
      <c r="AA51" s="934">
        <v>1</v>
      </c>
      <c r="AB51" s="934"/>
      <c r="AC51" s="934"/>
      <c r="AD51" s="1048"/>
      <c r="AE51" s="1048"/>
      <c r="AF51" s="1048">
        <f t="shared" si="33"/>
        <v>0</v>
      </c>
      <c r="AG51" s="1048"/>
      <c r="AH51" s="934"/>
      <c r="AI51" s="934"/>
      <c r="AJ51" s="1074"/>
      <c r="AK51" s="1074"/>
      <c r="AL51" s="1074"/>
      <c r="AM51" s="1074"/>
      <c r="AN51" s="1049">
        <f t="shared" si="37"/>
        <v>0</v>
      </c>
      <c r="AO51" s="1049"/>
      <c r="AP51" s="1049"/>
      <c r="AQ51" s="1049"/>
      <c r="AR51" s="1049"/>
      <c r="AS51" s="934"/>
      <c r="AT51" s="934"/>
      <c r="AU51" s="934">
        <f t="shared" si="39"/>
        <v>0</v>
      </c>
      <c r="AV51" s="934"/>
      <c r="AW51" s="934"/>
      <c r="AX51" s="934"/>
      <c r="AY51" s="934">
        <v>2</v>
      </c>
      <c r="AZ51" s="934"/>
      <c r="BA51" s="934">
        <f t="shared" si="34"/>
        <v>0</v>
      </c>
      <c r="BB51" s="1061">
        <f t="shared" si="35"/>
        <v>60.9</v>
      </c>
      <c r="BC51" s="934"/>
      <c r="BD51" s="934">
        <f t="shared" si="36"/>
        <v>0</v>
      </c>
      <c r="BE51" s="934"/>
      <c r="BF51" s="934">
        <v>2</v>
      </c>
      <c r="BG51" s="934"/>
      <c r="BH51" s="934"/>
      <c r="BI51" s="934">
        <v>1</v>
      </c>
      <c r="BJ51" s="934"/>
      <c r="BK51" s="934"/>
      <c r="BL51" s="934">
        <v>2</v>
      </c>
      <c r="BM51" s="934"/>
      <c r="BN51" s="934"/>
      <c r="BO51" s="1048"/>
      <c r="BP51" s="1048"/>
      <c r="BQ51" s="1048"/>
      <c r="BR51" s="1048"/>
      <c r="BS51" s="1048"/>
      <c r="BT51" s="934"/>
      <c r="BU51" s="934"/>
      <c r="BV51" s="934"/>
      <c r="BW51" s="934"/>
      <c r="BX51" s="934"/>
      <c r="BY51" s="934"/>
      <c r="CA51" s="1072"/>
    </row>
    <row r="52" spans="4:80" s="977" customFormat="1" ht="21.6">
      <c r="E52" s="1056" t="s">
        <v>741</v>
      </c>
      <c r="F52" s="1073" t="s">
        <v>374</v>
      </c>
      <c r="G52" s="1073" t="s">
        <v>374</v>
      </c>
      <c r="H52" s="1066">
        <v>60.4</v>
      </c>
      <c r="I52" s="1066">
        <f t="shared" si="38"/>
        <v>60.4</v>
      </c>
      <c r="J52" s="1066">
        <f t="shared" si="30"/>
        <v>60.4</v>
      </c>
      <c r="K52" s="1066"/>
      <c r="L52" s="1066">
        <f t="shared" si="31"/>
        <v>60.4</v>
      </c>
      <c r="M52" s="1178"/>
      <c r="N52" s="1057"/>
      <c r="O52" s="1058">
        <f t="shared" si="32"/>
        <v>0</v>
      </c>
      <c r="P52" s="934"/>
      <c r="Q52" s="934"/>
      <c r="R52" s="934">
        <v>1</v>
      </c>
      <c r="S52" s="934"/>
      <c r="T52" s="934"/>
      <c r="U52" s="934"/>
      <c r="V52" s="934"/>
      <c r="W52" s="934">
        <v>2</v>
      </c>
      <c r="X52" s="934"/>
      <c r="Y52" s="934"/>
      <c r="Z52" s="934"/>
      <c r="AA52" s="934">
        <v>1</v>
      </c>
      <c r="AB52" s="934"/>
      <c r="AC52" s="934"/>
      <c r="AD52" s="1048"/>
      <c r="AE52" s="1048"/>
      <c r="AF52" s="1048">
        <f>AE52+AD52</f>
        <v>0</v>
      </c>
      <c r="AG52" s="1048"/>
      <c r="AH52" s="934"/>
      <c r="AI52" s="934"/>
      <c r="AJ52" s="1074"/>
      <c r="AK52" s="1074"/>
      <c r="AL52" s="1074"/>
      <c r="AM52" s="1074"/>
      <c r="AN52" s="1049">
        <f>AM52+AJ52</f>
        <v>0</v>
      </c>
      <c r="AO52" s="1049"/>
      <c r="AP52" s="1049"/>
      <c r="AQ52" s="1049"/>
      <c r="AR52" s="1049"/>
      <c r="AS52" s="934"/>
      <c r="AT52" s="934"/>
      <c r="AU52" s="934">
        <f t="shared" si="39"/>
        <v>0</v>
      </c>
      <c r="AV52" s="934"/>
      <c r="AW52" s="934"/>
      <c r="AX52" s="934"/>
      <c r="AY52" s="934">
        <v>2</v>
      </c>
      <c r="AZ52" s="934"/>
      <c r="BA52" s="934">
        <f t="shared" si="34"/>
        <v>0</v>
      </c>
      <c r="BB52" s="1061">
        <f t="shared" si="35"/>
        <v>60.4</v>
      </c>
      <c r="BC52" s="934"/>
      <c r="BD52" s="934">
        <f t="shared" si="36"/>
        <v>0</v>
      </c>
      <c r="BE52" s="934"/>
      <c r="BF52" s="934">
        <v>2</v>
      </c>
      <c r="BG52" s="934"/>
      <c r="BH52" s="934"/>
      <c r="BI52" s="934">
        <v>1</v>
      </c>
      <c r="BJ52" s="934"/>
      <c r="BK52" s="934"/>
      <c r="BL52" s="934">
        <v>2</v>
      </c>
      <c r="BM52" s="934"/>
      <c r="BN52" s="934"/>
      <c r="BO52" s="1048"/>
      <c r="BP52" s="1048"/>
      <c r="BQ52" s="1048"/>
      <c r="BR52" s="1048"/>
      <c r="BS52" s="1048"/>
      <c r="BT52" s="934"/>
      <c r="BU52" s="934"/>
      <c r="BV52" s="934"/>
      <c r="BW52" s="934"/>
      <c r="BX52" s="934"/>
      <c r="BY52" s="1076"/>
      <c r="BZ52" s="1077"/>
      <c r="CA52" s="1072"/>
    </row>
    <row r="53" spans="4:80" s="977" customFormat="1" ht="21.6">
      <c r="E53" s="1056" t="s">
        <v>742</v>
      </c>
      <c r="F53" s="1073" t="s">
        <v>377</v>
      </c>
      <c r="G53" s="1073" t="s">
        <v>377</v>
      </c>
      <c r="H53" s="1066">
        <v>69.099999999999994</v>
      </c>
      <c r="I53" s="1066">
        <f t="shared" si="38"/>
        <v>69.099999999999994</v>
      </c>
      <c r="J53" s="1066">
        <f t="shared" si="30"/>
        <v>69.099999999999994</v>
      </c>
      <c r="K53" s="1066"/>
      <c r="L53" s="1066">
        <f t="shared" si="31"/>
        <v>69.099999999999994</v>
      </c>
      <c r="M53" s="1178"/>
      <c r="N53" s="1057"/>
      <c r="O53" s="1058">
        <f t="shared" si="32"/>
        <v>0</v>
      </c>
      <c r="P53" s="934"/>
      <c r="Q53" s="934">
        <v>1</v>
      </c>
      <c r="R53" s="934"/>
      <c r="S53" s="934"/>
      <c r="T53" s="934"/>
      <c r="U53" s="934"/>
      <c r="V53" s="934"/>
      <c r="W53" s="934"/>
      <c r="X53" s="934"/>
      <c r="Y53" s="934"/>
      <c r="Z53" s="934"/>
      <c r="AA53" s="934"/>
      <c r="AB53" s="934"/>
      <c r="AC53" s="934">
        <v>1</v>
      </c>
      <c r="AD53" s="1048">
        <v>1</v>
      </c>
      <c r="AE53" s="1048"/>
      <c r="AF53" s="1048">
        <f>AD53+AE53</f>
        <v>1</v>
      </c>
      <c r="AG53" s="1048"/>
      <c r="AH53" s="934"/>
      <c r="AI53" s="934"/>
      <c r="AJ53" s="1074">
        <v>1</v>
      </c>
      <c r="AK53" s="1074">
        <v>1</v>
      </c>
      <c r="AL53" s="1074"/>
      <c r="AM53" s="1074"/>
      <c r="AN53" s="1049">
        <f>AM53+AJ53</f>
        <v>1</v>
      </c>
      <c r="AO53" s="1049"/>
      <c r="AP53" s="1049"/>
      <c r="AQ53" s="1049"/>
      <c r="AR53" s="1049"/>
      <c r="AS53" s="934"/>
      <c r="AT53" s="934"/>
      <c r="AU53" s="934">
        <f t="shared" si="39"/>
        <v>0</v>
      </c>
      <c r="AV53" s="934"/>
      <c r="AW53" s="934"/>
      <c r="AX53" s="934"/>
      <c r="AY53" s="934"/>
      <c r="AZ53" s="934"/>
      <c r="BA53" s="934">
        <f t="shared" si="34"/>
        <v>1</v>
      </c>
      <c r="BB53" s="1061">
        <f t="shared" si="35"/>
        <v>69.099999999999994</v>
      </c>
      <c r="BC53" s="934"/>
      <c r="BD53" s="934">
        <f t="shared" si="36"/>
        <v>0</v>
      </c>
      <c r="BE53" s="934"/>
      <c r="BF53" s="934"/>
      <c r="BG53" s="934"/>
      <c r="BH53" s="934">
        <v>1</v>
      </c>
      <c r="BI53" s="934"/>
      <c r="BJ53" s="934"/>
      <c r="BK53" s="934">
        <v>1</v>
      </c>
      <c r="BL53" s="934"/>
      <c r="BM53" s="934"/>
      <c r="BN53" s="934"/>
      <c r="BO53" s="1048">
        <v>1</v>
      </c>
      <c r="BP53" s="1048"/>
      <c r="BQ53" s="1048"/>
      <c r="BR53" s="1048"/>
      <c r="BS53" s="1048"/>
      <c r="BT53" s="934">
        <v>1</v>
      </c>
      <c r="BU53" s="934"/>
      <c r="BV53" s="934"/>
      <c r="BW53" s="934"/>
      <c r="BX53" s="934"/>
      <c r="BY53" s="1076" t="s">
        <v>856</v>
      </c>
      <c r="BZ53" s="1077"/>
      <c r="CA53" s="1072"/>
    </row>
    <row r="54" spans="4:80" s="1078" customFormat="1" ht="21.6">
      <c r="D54" s="1373" t="s">
        <v>935</v>
      </c>
      <c r="E54" s="1115" t="s">
        <v>743</v>
      </c>
      <c r="F54" s="1116"/>
      <c r="G54" s="1116"/>
      <c r="H54" s="1100">
        <f t="shared" ref="H54:BS54" si="40">SUM(H43:H53)</f>
        <v>622.5</v>
      </c>
      <c r="I54" s="1100">
        <f t="shared" si="40"/>
        <v>622.5</v>
      </c>
      <c r="J54" s="1100">
        <f t="shared" si="40"/>
        <v>622.5</v>
      </c>
      <c r="K54" s="1100">
        <f t="shared" si="40"/>
        <v>0</v>
      </c>
      <c r="L54" s="1100">
        <f t="shared" si="40"/>
        <v>622.5</v>
      </c>
      <c r="M54" s="1100">
        <f t="shared" si="40"/>
        <v>0</v>
      </c>
      <c r="N54" s="1100">
        <f t="shared" si="40"/>
        <v>0</v>
      </c>
      <c r="O54" s="1100">
        <f t="shared" si="40"/>
        <v>0</v>
      </c>
      <c r="P54" s="1100">
        <f t="shared" si="40"/>
        <v>0</v>
      </c>
      <c r="Q54" s="1100">
        <f t="shared" si="40"/>
        <v>4</v>
      </c>
      <c r="R54" s="1100">
        <f t="shared" si="40"/>
        <v>4</v>
      </c>
      <c r="S54" s="1100">
        <f t="shared" si="40"/>
        <v>0</v>
      </c>
      <c r="T54" s="1100">
        <f t="shared" si="40"/>
        <v>0</v>
      </c>
      <c r="U54" s="1100">
        <f t="shared" si="40"/>
        <v>1</v>
      </c>
      <c r="V54" s="1100">
        <f t="shared" si="40"/>
        <v>0</v>
      </c>
      <c r="W54" s="1100">
        <f t="shared" si="40"/>
        <v>12</v>
      </c>
      <c r="X54" s="1100">
        <f t="shared" si="40"/>
        <v>0</v>
      </c>
      <c r="Y54" s="1100">
        <f t="shared" si="40"/>
        <v>2</v>
      </c>
      <c r="Z54" s="1100">
        <f t="shared" si="40"/>
        <v>1</v>
      </c>
      <c r="AA54" s="1100">
        <f t="shared" si="40"/>
        <v>5</v>
      </c>
      <c r="AB54" s="1100">
        <f t="shared" si="40"/>
        <v>0</v>
      </c>
      <c r="AC54" s="1100">
        <f t="shared" si="40"/>
        <v>4</v>
      </c>
      <c r="AD54" s="1100">
        <f t="shared" si="40"/>
        <v>3</v>
      </c>
      <c r="AE54" s="1100">
        <f t="shared" si="40"/>
        <v>1</v>
      </c>
      <c r="AF54" s="1100">
        <f t="shared" si="40"/>
        <v>4</v>
      </c>
      <c r="AG54" s="1100">
        <f t="shared" si="40"/>
        <v>0</v>
      </c>
      <c r="AH54" s="1100">
        <f t="shared" si="40"/>
        <v>0</v>
      </c>
      <c r="AI54" s="1100">
        <f t="shared" si="40"/>
        <v>0</v>
      </c>
      <c r="AJ54" s="1100">
        <f t="shared" si="40"/>
        <v>2</v>
      </c>
      <c r="AK54" s="1100">
        <f t="shared" si="40"/>
        <v>1</v>
      </c>
      <c r="AL54" s="1100">
        <f t="shared" si="40"/>
        <v>1</v>
      </c>
      <c r="AM54" s="1100">
        <f t="shared" si="40"/>
        <v>1</v>
      </c>
      <c r="AN54" s="1100">
        <f t="shared" si="40"/>
        <v>2</v>
      </c>
      <c r="AO54" s="1100">
        <f t="shared" si="40"/>
        <v>1</v>
      </c>
      <c r="AP54" s="1100">
        <f t="shared" si="40"/>
        <v>0</v>
      </c>
      <c r="AQ54" s="1100">
        <f t="shared" si="40"/>
        <v>1</v>
      </c>
      <c r="AR54" s="1100">
        <f t="shared" si="40"/>
        <v>0</v>
      </c>
      <c r="AS54" s="1100">
        <f t="shared" si="40"/>
        <v>1.5</v>
      </c>
      <c r="AT54" s="1100">
        <f t="shared" si="40"/>
        <v>0</v>
      </c>
      <c r="AU54" s="1100">
        <f t="shared" si="40"/>
        <v>1</v>
      </c>
      <c r="AV54" s="1100">
        <f t="shared" si="40"/>
        <v>0</v>
      </c>
      <c r="AW54" s="1100">
        <f t="shared" si="40"/>
        <v>1.5</v>
      </c>
      <c r="AX54" s="1100">
        <f t="shared" si="40"/>
        <v>3</v>
      </c>
      <c r="AY54" s="1100">
        <f t="shared" si="40"/>
        <v>12</v>
      </c>
      <c r="AZ54" s="1100">
        <f t="shared" si="40"/>
        <v>1</v>
      </c>
      <c r="BA54" s="1100">
        <f t="shared" si="40"/>
        <v>4</v>
      </c>
      <c r="BB54" s="1100">
        <f t="shared" si="40"/>
        <v>622.5</v>
      </c>
      <c r="BC54" s="1100">
        <f t="shared" si="40"/>
        <v>0</v>
      </c>
      <c r="BD54" s="1100">
        <f t="shared" si="40"/>
        <v>1</v>
      </c>
      <c r="BE54" s="1100">
        <f t="shared" si="40"/>
        <v>4</v>
      </c>
      <c r="BF54" s="1100">
        <f t="shared" si="40"/>
        <v>10</v>
      </c>
      <c r="BG54" s="1100">
        <f t="shared" si="40"/>
        <v>0</v>
      </c>
      <c r="BH54" s="1100">
        <f t="shared" si="40"/>
        <v>4</v>
      </c>
      <c r="BI54" s="1100">
        <f t="shared" si="40"/>
        <v>4</v>
      </c>
      <c r="BJ54" s="1100">
        <f t="shared" si="40"/>
        <v>0</v>
      </c>
      <c r="BK54" s="1100">
        <f t="shared" si="40"/>
        <v>4</v>
      </c>
      <c r="BL54" s="1100">
        <f t="shared" si="40"/>
        <v>12</v>
      </c>
      <c r="BM54" s="1100">
        <f t="shared" si="40"/>
        <v>0</v>
      </c>
      <c r="BN54" s="1100">
        <f t="shared" si="40"/>
        <v>0</v>
      </c>
      <c r="BO54" s="1100">
        <f t="shared" si="40"/>
        <v>3</v>
      </c>
      <c r="BP54" s="1100">
        <f t="shared" si="40"/>
        <v>1</v>
      </c>
      <c r="BQ54" s="1100">
        <f t="shared" si="40"/>
        <v>0</v>
      </c>
      <c r="BR54" s="1100">
        <f t="shared" si="40"/>
        <v>1</v>
      </c>
      <c r="BS54" s="1100">
        <f t="shared" si="40"/>
        <v>2</v>
      </c>
      <c r="BT54" s="1100">
        <f t="shared" ref="BT54:BW54" si="41">SUM(BT43:BT53)</f>
        <v>3</v>
      </c>
      <c r="BU54" s="1100">
        <f t="shared" si="41"/>
        <v>0</v>
      </c>
      <c r="BV54" s="1100">
        <f t="shared" si="41"/>
        <v>1</v>
      </c>
      <c r="BW54" s="1100">
        <f t="shared" si="41"/>
        <v>0</v>
      </c>
      <c r="BX54" s="1101" t="e">
        <f t="shared" ref="BX54" si="42">SUM(#REF!)</f>
        <v>#REF!</v>
      </c>
      <c r="BY54" s="1117"/>
      <c r="CA54" s="1079"/>
    </row>
    <row r="55" spans="4:80" s="1078" customFormat="1" ht="21.6">
      <c r="D55" s="1372" t="s">
        <v>935</v>
      </c>
      <c r="E55" s="1110" t="s">
        <v>793</v>
      </c>
      <c r="F55" s="1111"/>
      <c r="G55" s="1111"/>
      <c r="H55" s="1112"/>
      <c r="I55" s="1112"/>
      <c r="J55" s="1112"/>
      <c r="K55" s="1112"/>
      <c r="L55" s="1112"/>
      <c r="M55" s="1179"/>
      <c r="N55" s="1112"/>
      <c r="O55" s="1112"/>
      <c r="P55" s="1112"/>
      <c r="Q55" s="1112"/>
      <c r="R55" s="1112"/>
      <c r="S55" s="1112"/>
      <c r="T55" s="1112"/>
      <c r="U55" s="1112"/>
      <c r="V55" s="1112"/>
      <c r="W55" s="1112"/>
      <c r="X55" s="1112"/>
      <c r="Y55" s="1112"/>
      <c r="Z55" s="1112"/>
      <c r="AA55" s="1112"/>
      <c r="AB55" s="1112"/>
      <c r="AC55" s="1112"/>
      <c r="AD55" s="1112"/>
      <c r="AE55" s="1112"/>
      <c r="AF55" s="1112"/>
      <c r="AG55" s="1112"/>
      <c r="AH55" s="1112"/>
      <c r="AI55" s="1112"/>
      <c r="AJ55" s="1112"/>
      <c r="AK55" s="1112"/>
      <c r="AL55" s="1112"/>
      <c r="AM55" s="1112"/>
      <c r="AN55" s="1112"/>
      <c r="AO55" s="1112"/>
      <c r="AP55" s="1112"/>
      <c r="AQ55" s="1112"/>
      <c r="AR55" s="1112"/>
      <c r="AS55" s="1112"/>
      <c r="AT55" s="1112"/>
      <c r="AU55" s="1112"/>
      <c r="AV55" s="1112"/>
      <c r="AW55" s="1112"/>
      <c r="AX55" s="1112"/>
      <c r="AY55" s="1112"/>
      <c r="AZ55" s="1112"/>
      <c r="BA55" s="1112"/>
      <c r="BB55" s="1112"/>
      <c r="BC55" s="1112"/>
      <c r="BD55" s="1112"/>
      <c r="BE55" s="1112"/>
      <c r="BF55" s="1112"/>
      <c r="BG55" s="1112"/>
      <c r="BH55" s="1112"/>
      <c r="BI55" s="1112"/>
      <c r="BJ55" s="1112"/>
      <c r="BK55" s="1112"/>
      <c r="BL55" s="1112"/>
      <c r="BM55" s="1112"/>
      <c r="BN55" s="1112"/>
      <c r="BO55" s="1112"/>
      <c r="BP55" s="1112"/>
      <c r="BQ55" s="1112"/>
      <c r="BR55" s="1112"/>
      <c r="BS55" s="1112"/>
      <c r="BT55" s="1112"/>
      <c r="BU55" s="1112"/>
      <c r="BV55" s="1112"/>
      <c r="BW55" s="1112"/>
      <c r="BX55" s="1113"/>
      <c r="BY55" s="1114"/>
      <c r="BZ55" s="1078">
        <f>40*11.4</f>
        <v>456</v>
      </c>
      <c r="CA55" s="1079">
        <f>19.2*60</f>
        <v>1152</v>
      </c>
    </row>
    <row r="56" spans="4:80" s="977" customFormat="1" ht="21.6">
      <c r="E56" s="1080" t="s">
        <v>677</v>
      </c>
      <c r="F56" s="1081" t="s">
        <v>377</v>
      </c>
      <c r="G56" s="1081" t="s">
        <v>377</v>
      </c>
      <c r="H56" s="1082"/>
      <c r="I56" s="1082">
        <f>H56</f>
        <v>0</v>
      </c>
      <c r="J56" s="1082">
        <f t="shared" ref="J56:J65" si="43">H56</f>
        <v>0</v>
      </c>
      <c r="K56" s="1082"/>
      <c r="L56" s="1082">
        <f t="shared" ref="L56:L65" si="44">I56</f>
        <v>0</v>
      </c>
      <c r="M56" s="1182"/>
      <c r="N56" s="1083"/>
      <c r="O56" s="1084">
        <f t="shared" ref="O56:O65" si="45">N56+M56</f>
        <v>0</v>
      </c>
      <c r="P56" s="1085"/>
      <c r="Q56" s="1085"/>
      <c r="R56" s="1085"/>
      <c r="S56" s="1085"/>
      <c r="T56" s="1085"/>
      <c r="U56" s="1085"/>
      <c r="V56" s="1085"/>
      <c r="W56" s="1085"/>
      <c r="X56" s="1085"/>
      <c r="Y56" s="1085"/>
      <c r="Z56" s="1085"/>
      <c r="AA56" s="1085"/>
      <c r="AB56" s="1085"/>
      <c r="AC56" s="1085">
        <v>1</v>
      </c>
      <c r="AD56" s="1086"/>
      <c r="AE56" s="1086">
        <v>1</v>
      </c>
      <c r="AF56" s="1086">
        <f>AE56+AD56</f>
        <v>1</v>
      </c>
      <c r="AG56" s="1086"/>
      <c r="AH56" s="1085"/>
      <c r="AI56" s="1085"/>
      <c r="AJ56" s="1087">
        <v>1</v>
      </c>
      <c r="AK56" s="1087"/>
      <c r="AL56" s="1087">
        <v>1</v>
      </c>
      <c r="AM56" s="1087"/>
      <c r="AN56" s="1071"/>
      <c r="AO56" s="1071"/>
      <c r="AP56" s="1071"/>
      <c r="AQ56" s="1071"/>
      <c r="AR56" s="1071"/>
      <c r="AS56" s="1085">
        <v>0.5</v>
      </c>
      <c r="AT56" s="1085"/>
      <c r="AU56" s="1085"/>
      <c r="AV56" s="1085"/>
      <c r="AW56" s="1085">
        <v>0.5</v>
      </c>
      <c r="AX56" s="1085"/>
      <c r="AY56" s="1085"/>
      <c r="AZ56" s="1085"/>
      <c r="BA56" s="1085">
        <f t="shared" ref="BA56:BA65" si="46">IF(F56="2DT",2,IF(F56="DT",1,IF(F56="2DT-90",2,0)))</f>
        <v>1</v>
      </c>
      <c r="BB56" s="1089">
        <f t="shared" ref="BB56:BB65" si="47">J56</f>
        <v>0</v>
      </c>
      <c r="BC56" s="1085"/>
      <c r="BD56" s="934">
        <f t="shared" ref="BD56:BD65" si="48">AZ56</f>
        <v>0</v>
      </c>
      <c r="BE56" s="1085"/>
      <c r="BF56" s="1085"/>
      <c r="BG56" s="1085"/>
      <c r="BH56" s="1085"/>
      <c r="BI56" s="1085"/>
      <c r="BJ56" s="1085"/>
      <c r="BK56" s="1085">
        <v>1</v>
      </c>
      <c r="BL56" s="1085"/>
      <c r="BM56" s="1085"/>
      <c r="BN56" s="1085"/>
      <c r="BO56" s="1086"/>
      <c r="BP56" s="1086">
        <v>1</v>
      </c>
      <c r="BQ56" s="1086"/>
      <c r="BR56" s="1086"/>
      <c r="BS56" s="1086">
        <v>1</v>
      </c>
      <c r="BT56" s="1085">
        <v>1</v>
      </c>
      <c r="BU56" s="1085"/>
      <c r="BV56" s="1085"/>
      <c r="BW56" s="1085"/>
      <c r="BX56" s="1085"/>
      <c r="BY56" s="1088"/>
      <c r="BZ56" s="1077"/>
      <c r="CA56" s="1224">
        <f>CA55+BZ55</f>
        <v>1608</v>
      </c>
      <c r="CB56" s="1225">
        <f>CA60-CA56</f>
        <v>306</v>
      </c>
    </row>
    <row r="57" spans="4:80" s="977" customFormat="1" ht="21.6">
      <c r="E57" s="1056" t="s">
        <v>614</v>
      </c>
      <c r="F57" s="1073" t="s">
        <v>148</v>
      </c>
      <c r="G57" s="1073" t="s">
        <v>148</v>
      </c>
      <c r="H57" s="1066">
        <v>52.6</v>
      </c>
      <c r="I57" s="1066">
        <f>H57</f>
        <v>52.6</v>
      </c>
      <c r="J57" s="1066">
        <f t="shared" si="43"/>
        <v>52.6</v>
      </c>
      <c r="K57" s="1066"/>
      <c r="L57" s="1066">
        <f t="shared" si="44"/>
        <v>52.6</v>
      </c>
      <c r="M57" s="1178"/>
      <c r="N57" s="1057"/>
      <c r="O57" s="1058">
        <f t="shared" si="45"/>
        <v>0</v>
      </c>
      <c r="P57" s="934"/>
      <c r="Q57" s="934">
        <v>1</v>
      </c>
      <c r="R57" s="934"/>
      <c r="S57" s="934">
        <v>1</v>
      </c>
      <c r="T57" s="934"/>
      <c r="U57" s="934"/>
      <c r="V57" s="934"/>
      <c r="W57" s="934"/>
      <c r="X57" s="934"/>
      <c r="Y57" s="934"/>
      <c r="Z57" s="934"/>
      <c r="AA57" s="934"/>
      <c r="AB57" s="934"/>
      <c r="AC57" s="934">
        <v>2</v>
      </c>
      <c r="AD57" s="1048">
        <v>2</v>
      </c>
      <c r="AE57" s="1048"/>
      <c r="AF57" s="1048">
        <f>AE57+AD57</f>
        <v>2</v>
      </c>
      <c r="AG57" s="1048"/>
      <c r="AH57" s="934"/>
      <c r="AI57" s="934"/>
      <c r="AJ57" s="1074"/>
      <c r="AK57" s="1074"/>
      <c r="AL57" s="1074"/>
      <c r="AM57" s="1074"/>
      <c r="AN57" s="1049">
        <f>AM57+AJ57</f>
        <v>0</v>
      </c>
      <c r="AO57" s="1049">
        <v>1</v>
      </c>
      <c r="AP57" s="1049"/>
      <c r="AQ57" s="1049">
        <v>1</v>
      </c>
      <c r="AR57" s="1049"/>
      <c r="AS57" s="934">
        <v>1</v>
      </c>
      <c r="AT57" s="934"/>
      <c r="AU57" s="934">
        <f>AT57+AS57</f>
        <v>1</v>
      </c>
      <c r="AV57" s="934"/>
      <c r="AW57" s="934">
        <v>1</v>
      </c>
      <c r="AX57" s="934"/>
      <c r="AY57" s="934"/>
      <c r="AZ57" s="934">
        <v>1</v>
      </c>
      <c r="BA57" s="934">
        <f t="shared" si="46"/>
        <v>2</v>
      </c>
      <c r="BB57" s="1061">
        <f t="shared" si="47"/>
        <v>52.6</v>
      </c>
      <c r="BC57" s="934"/>
      <c r="BD57" s="934">
        <f t="shared" si="48"/>
        <v>1</v>
      </c>
      <c r="BE57" s="934"/>
      <c r="BF57" s="934"/>
      <c r="BG57" s="934"/>
      <c r="BH57" s="934"/>
      <c r="BI57" s="934"/>
      <c r="BJ57" s="934"/>
      <c r="BK57" s="934">
        <v>2</v>
      </c>
      <c r="BL57" s="934"/>
      <c r="BM57" s="934"/>
      <c r="BN57" s="934"/>
      <c r="BO57" s="1048">
        <v>2</v>
      </c>
      <c r="BP57" s="1048"/>
      <c r="BQ57" s="1048"/>
      <c r="BR57" s="1048"/>
      <c r="BS57" s="1048">
        <v>1.5</v>
      </c>
      <c r="BT57" s="934">
        <v>2</v>
      </c>
      <c r="BU57" s="934"/>
      <c r="BV57" s="934">
        <v>1</v>
      </c>
      <c r="BW57" s="934"/>
      <c r="BX57" s="934"/>
      <c r="BY57" s="934" t="s">
        <v>858</v>
      </c>
      <c r="CA57" s="1072"/>
    </row>
    <row r="58" spans="4:80" s="977" customFormat="1" ht="21.6">
      <c r="E58" s="1056" t="s">
        <v>615</v>
      </c>
      <c r="F58" s="1073" t="s">
        <v>374</v>
      </c>
      <c r="G58" s="1073" t="s">
        <v>374</v>
      </c>
      <c r="H58" s="1066">
        <v>45.6</v>
      </c>
      <c r="I58" s="1066">
        <f t="shared" ref="I58:I65" si="49">H58</f>
        <v>45.6</v>
      </c>
      <c r="J58" s="1066">
        <f t="shared" si="43"/>
        <v>45.6</v>
      </c>
      <c r="K58" s="1066"/>
      <c r="L58" s="1066">
        <f t="shared" si="44"/>
        <v>45.6</v>
      </c>
      <c r="M58" s="1178"/>
      <c r="N58" s="1057"/>
      <c r="O58" s="1058">
        <f t="shared" si="45"/>
        <v>0</v>
      </c>
      <c r="P58" s="934"/>
      <c r="Q58" s="934">
        <v>1</v>
      </c>
      <c r="R58" s="934"/>
      <c r="S58" s="934"/>
      <c r="T58" s="934"/>
      <c r="U58" s="934"/>
      <c r="V58" s="934"/>
      <c r="W58" s="934">
        <v>2</v>
      </c>
      <c r="X58" s="934"/>
      <c r="Y58" s="934"/>
      <c r="Z58" s="934"/>
      <c r="AA58" s="934">
        <v>1</v>
      </c>
      <c r="AB58" s="934"/>
      <c r="AC58" s="934"/>
      <c r="AD58" s="1048"/>
      <c r="AE58" s="1048"/>
      <c r="AF58" s="1048">
        <f t="shared" ref="AF58:AF65" si="50">AE58+AD58</f>
        <v>0</v>
      </c>
      <c r="AG58" s="1048"/>
      <c r="AH58" s="934"/>
      <c r="AI58" s="934"/>
      <c r="AJ58" s="1074">
        <v>1</v>
      </c>
      <c r="AK58" s="1074">
        <v>1</v>
      </c>
      <c r="AL58" s="1074"/>
      <c r="AM58" s="1074"/>
      <c r="AN58" s="1049">
        <f t="shared" ref="AN58:AN65" si="51">AM58+AJ58</f>
        <v>1</v>
      </c>
      <c r="AO58" s="1049"/>
      <c r="AP58" s="1049">
        <v>1</v>
      </c>
      <c r="AQ58" s="1049"/>
      <c r="AR58" s="1049"/>
      <c r="AS58" s="934"/>
      <c r="AT58" s="934"/>
      <c r="AU58" s="934">
        <f t="shared" ref="AU58:AU65" si="52">AT58+AS58</f>
        <v>0</v>
      </c>
      <c r="AV58" s="934"/>
      <c r="AW58" s="934"/>
      <c r="AX58" s="934"/>
      <c r="AY58" s="934">
        <v>2</v>
      </c>
      <c r="AZ58" s="934"/>
      <c r="BA58" s="934">
        <f t="shared" si="46"/>
        <v>0</v>
      </c>
      <c r="BB58" s="1061">
        <f t="shared" si="47"/>
        <v>45.6</v>
      </c>
      <c r="BC58" s="934"/>
      <c r="BD58" s="934">
        <f t="shared" si="48"/>
        <v>0</v>
      </c>
      <c r="BE58" s="934"/>
      <c r="BF58" s="934">
        <v>2</v>
      </c>
      <c r="BG58" s="934"/>
      <c r="BH58" s="934">
        <v>1</v>
      </c>
      <c r="BI58" s="934"/>
      <c r="BJ58" s="934"/>
      <c r="BK58" s="934"/>
      <c r="BL58" s="934">
        <v>2</v>
      </c>
      <c r="BM58" s="934"/>
      <c r="BN58" s="934"/>
      <c r="BO58" s="1048"/>
      <c r="BP58" s="1048"/>
      <c r="BQ58" s="1048"/>
      <c r="BR58" s="1048"/>
      <c r="BS58" s="1048"/>
      <c r="BT58" s="934">
        <v>1</v>
      </c>
      <c r="BU58" s="934"/>
      <c r="BV58" s="934"/>
      <c r="BW58" s="934"/>
      <c r="BX58" s="934"/>
      <c r="BY58" s="1076" t="s">
        <v>860</v>
      </c>
      <c r="BZ58" s="1077">
        <f>11.9*60</f>
        <v>714</v>
      </c>
      <c r="CA58" s="1072">
        <f>9.5*60</f>
        <v>570</v>
      </c>
    </row>
    <row r="59" spans="4:80" s="977" customFormat="1" ht="21.6">
      <c r="E59" s="1056" t="s">
        <v>616</v>
      </c>
      <c r="F59" s="1073" t="s">
        <v>374</v>
      </c>
      <c r="G59" s="1073" t="s">
        <v>374</v>
      </c>
      <c r="H59" s="1066">
        <v>63.1</v>
      </c>
      <c r="I59" s="1066">
        <f t="shared" si="49"/>
        <v>63.1</v>
      </c>
      <c r="J59" s="1066">
        <f t="shared" si="43"/>
        <v>63.1</v>
      </c>
      <c r="K59" s="1066"/>
      <c r="L59" s="1066">
        <f t="shared" si="44"/>
        <v>63.1</v>
      </c>
      <c r="M59" s="1178"/>
      <c r="N59" s="1057"/>
      <c r="O59" s="1058">
        <f t="shared" si="45"/>
        <v>0</v>
      </c>
      <c r="P59" s="934"/>
      <c r="Q59" s="934">
        <v>1</v>
      </c>
      <c r="R59" s="934"/>
      <c r="S59" s="934"/>
      <c r="T59" s="934"/>
      <c r="U59" s="934"/>
      <c r="V59" s="934"/>
      <c r="W59" s="934">
        <v>2</v>
      </c>
      <c r="X59" s="934"/>
      <c r="Y59" s="934"/>
      <c r="Z59" s="934"/>
      <c r="AA59" s="934">
        <v>1</v>
      </c>
      <c r="AB59" s="934"/>
      <c r="AC59" s="934"/>
      <c r="AD59" s="1048"/>
      <c r="AE59" s="1048"/>
      <c r="AF59" s="1048">
        <f t="shared" si="50"/>
        <v>0</v>
      </c>
      <c r="AG59" s="1048"/>
      <c r="AH59" s="934"/>
      <c r="AI59" s="934"/>
      <c r="AJ59" s="1074"/>
      <c r="AK59" s="1074"/>
      <c r="AL59" s="1074"/>
      <c r="AM59" s="1074"/>
      <c r="AN59" s="1049">
        <f t="shared" si="51"/>
        <v>0</v>
      </c>
      <c r="AO59" s="1049"/>
      <c r="AP59" s="1049"/>
      <c r="AQ59" s="1049"/>
      <c r="AR59" s="1049"/>
      <c r="AS59" s="934"/>
      <c r="AT59" s="934"/>
      <c r="AU59" s="934">
        <f t="shared" si="52"/>
        <v>0</v>
      </c>
      <c r="AV59" s="934"/>
      <c r="AW59" s="934"/>
      <c r="AX59" s="934"/>
      <c r="AY59" s="934">
        <v>2</v>
      </c>
      <c r="AZ59" s="934"/>
      <c r="BA59" s="934">
        <f t="shared" si="46"/>
        <v>0</v>
      </c>
      <c r="BB59" s="1061">
        <f t="shared" si="47"/>
        <v>63.1</v>
      </c>
      <c r="BC59" s="934"/>
      <c r="BD59" s="934">
        <f t="shared" si="48"/>
        <v>0</v>
      </c>
      <c r="BE59" s="934"/>
      <c r="BF59" s="934">
        <v>2</v>
      </c>
      <c r="BG59" s="934"/>
      <c r="BH59" s="934">
        <v>1</v>
      </c>
      <c r="BI59" s="934"/>
      <c r="BJ59" s="934"/>
      <c r="BK59" s="934"/>
      <c r="BL59" s="934">
        <v>2</v>
      </c>
      <c r="BM59" s="934"/>
      <c r="BN59" s="934"/>
      <c r="BO59" s="1048"/>
      <c r="BP59" s="1048"/>
      <c r="BQ59" s="1048"/>
      <c r="BR59" s="1048"/>
      <c r="BS59" s="1048"/>
      <c r="BT59" s="934"/>
      <c r="BU59" s="934"/>
      <c r="BV59" s="934"/>
      <c r="BW59" s="934"/>
      <c r="BX59" s="934"/>
      <c r="BY59" s="1076"/>
      <c r="BZ59" s="1077">
        <f>19.2*70</f>
        <v>1344</v>
      </c>
      <c r="CA59" s="1072">
        <f>19.2*70</f>
        <v>1344</v>
      </c>
    </row>
    <row r="60" spans="4:80" s="977" customFormat="1" ht="21.6">
      <c r="E60" s="1056" t="s">
        <v>617</v>
      </c>
      <c r="F60" s="1073" t="s">
        <v>148</v>
      </c>
      <c r="G60" s="1073" t="s">
        <v>148</v>
      </c>
      <c r="H60" s="1066">
        <v>67.5</v>
      </c>
      <c r="I60" s="1066">
        <f t="shared" si="49"/>
        <v>67.5</v>
      </c>
      <c r="J60" s="1066">
        <f t="shared" si="43"/>
        <v>67.5</v>
      </c>
      <c r="K60" s="1066"/>
      <c r="L60" s="1066">
        <f t="shared" si="44"/>
        <v>67.5</v>
      </c>
      <c r="M60" s="1178"/>
      <c r="N60" s="1057"/>
      <c r="O60" s="1058">
        <f t="shared" si="45"/>
        <v>0</v>
      </c>
      <c r="P60" s="934"/>
      <c r="Q60" s="934">
        <v>2</v>
      </c>
      <c r="R60" s="934"/>
      <c r="S60" s="934"/>
      <c r="T60" s="934"/>
      <c r="U60" s="934">
        <v>1</v>
      </c>
      <c r="V60" s="934"/>
      <c r="W60" s="934"/>
      <c r="X60" s="934">
        <v>1</v>
      </c>
      <c r="Y60" s="934"/>
      <c r="Z60" s="934"/>
      <c r="AA60" s="934"/>
      <c r="AB60" s="934"/>
      <c r="AC60" s="934">
        <v>2</v>
      </c>
      <c r="AD60" s="1048">
        <v>2</v>
      </c>
      <c r="AE60" s="1048"/>
      <c r="AF60" s="1048">
        <f t="shared" si="50"/>
        <v>2</v>
      </c>
      <c r="AG60" s="1048"/>
      <c r="AH60" s="934"/>
      <c r="AI60" s="934"/>
      <c r="AJ60" s="1074"/>
      <c r="AK60" s="1074"/>
      <c r="AL60" s="1074"/>
      <c r="AM60" s="1074"/>
      <c r="AN60" s="1049">
        <f t="shared" si="51"/>
        <v>0</v>
      </c>
      <c r="AO60" s="1049"/>
      <c r="AP60" s="1049"/>
      <c r="AQ60" s="1049"/>
      <c r="AR60" s="1049"/>
      <c r="AS60" s="934">
        <v>0.5</v>
      </c>
      <c r="AT60" s="934"/>
      <c r="AU60" s="934">
        <f t="shared" si="52"/>
        <v>0.5</v>
      </c>
      <c r="AV60" s="934"/>
      <c r="AW60" s="934"/>
      <c r="AX60" s="934">
        <v>1</v>
      </c>
      <c r="AY60" s="934"/>
      <c r="AZ60" s="934"/>
      <c r="BA60" s="934">
        <f t="shared" si="46"/>
        <v>2</v>
      </c>
      <c r="BB60" s="1061">
        <f t="shared" si="47"/>
        <v>67.5</v>
      </c>
      <c r="BC60" s="934"/>
      <c r="BD60" s="934">
        <f t="shared" si="48"/>
        <v>0</v>
      </c>
      <c r="BE60" s="934"/>
      <c r="BF60" s="934"/>
      <c r="BG60" s="934"/>
      <c r="BH60" s="934">
        <v>2</v>
      </c>
      <c r="BI60" s="934"/>
      <c r="BJ60" s="934"/>
      <c r="BK60" s="934">
        <v>2</v>
      </c>
      <c r="BL60" s="934"/>
      <c r="BM60" s="934"/>
      <c r="BN60" s="934"/>
      <c r="BO60" s="1048">
        <v>2</v>
      </c>
      <c r="BP60" s="1048"/>
      <c r="BQ60" s="1048"/>
      <c r="BR60" s="1048"/>
      <c r="BS60" s="1048"/>
      <c r="BT60" s="934"/>
      <c r="BU60" s="934"/>
      <c r="BV60" s="934"/>
      <c r="BW60" s="934"/>
      <c r="BX60" s="934"/>
      <c r="BY60" s="1076"/>
      <c r="BZ60" s="1077">
        <f>BZ59+BZ58</f>
        <v>2058</v>
      </c>
      <c r="CA60" s="1072">
        <f>CA58+CA59</f>
        <v>1914</v>
      </c>
      <c r="CB60" s="977">
        <f>BZ60-CA60</f>
        <v>144</v>
      </c>
    </row>
    <row r="61" spans="4:80" s="977" customFormat="1" ht="21.6">
      <c r="E61" s="1056" t="s">
        <v>618</v>
      </c>
      <c r="F61" s="1073" t="s">
        <v>374</v>
      </c>
      <c r="G61" s="1073" t="s">
        <v>374</v>
      </c>
      <c r="H61" s="1066">
        <v>59.7</v>
      </c>
      <c r="I61" s="1066">
        <f t="shared" si="49"/>
        <v>59.7</v>
      </c>
      <c r="J61" s="1066">
        <f t="shared" si="43"/>
        <v>59.7</v>
      </c>
      <c r="K61" s="1066"/>
      <c r="L61" s="1066">
        <f t="shared" si="44"/>
        <v>59.7</v>
      </c>
      <c r="M61" s="1178"/>
      <c r="N61" s="1057"/>
      <c r="O61" s="1058">
        <f t="shared" si="45"/>
        <v>0</v>
      </c>
      <c r="P61" s="934"/>
      <c r="Q61" s="934"/>
      <c r="R61" s="934">
        <v>1</v>
      </c>
      <c r="S61" s="934"/>
      <c r="T61" s="934"/>
      <c r="U61" s="934"/>
      <c r="V61" s="934"/>
      <c r="W61" s="934">
        <v>2</v>
      </c>
      <c r="X61" s="934"/>
      <c r="Y61" s="934"/>
      <c r="Z61" s="934"/>
      <c r="AA61" s="934">
        <v>1</v>
      </c>
      <c r="AB61" s="934"/>
      <c r="AC61" s="934"/>
      <c r="AD61" s="1048"/>
      <c r="AE61" s="1048"/>
      <c r="AF61" s="1048">
        <f t="shared" si="50"/>
        <v>0</v>
      </c>
      <c r="AG61" s="1048"/>
      <c r="AH61" s="934"/>
      <c r="AI61" s="934"/>
      <c r="AJ61" s="1074"/>
      <c r="AK61" s="1074"/>
      <c r="AL61" s="1074"/>
      <c r="AM61" s="1074"/>
      <c r="AN61" s="1049">
        <f t="shared" si="51"/>
        <v>0</v>
      </c>
      <c r="AO61" s="1049"/>
      <c r="AP61" s="1049"/>
      <c r="AQ61" s="1049"/>
      <c r="AR61" s="1049"/>
      <c r="AS61" s="934"/>
      <c r="AT61" s="934"/>
      <c r="AU61" s="934">
        <f t="shared" si="52"/>
        <v>0</v>
      </c>
      <c r="AV61" s="934"/>
      <c r="AW61" s="934"/>
      <c r="AX61" s="934"/>
      <c r="AY61" s="934">
        <v>2</v>
      </c>
      <c r="AZ61" s="934"/>
      <c r="BA61" s="934">
        <f t="shared" si="46"/>
        <v>0</v>
      </c>
      <c r="BB61" s="1061">
        <f t="shared" si="47"/>
        <v>59.7</v>
      </c>
      <c r="BC61" s="934"/>
      <c r="BD61" s="934">
        <f t="shared" si="48"/>
        <v>0</v>
      </c>
      <c r="BE61" s="934"/>
      <c r="BF61" s="934">
        <v>2</v>
      </c>
      <c r="BG61" s="934"/>
      <c r="BH61" s="934"/>
      <c r="BI61" s="934">
        <v>1</v>
      </c>
      <c r="BJ61" s="934"/>
      <c r="BK61" s="934"/>
      <c r="BL61" s="934">
        <v>2</v>
      </c>
      <c r="BM61" s="934"/>
      <c r="BN61" s="934"/>
      <c r="BO61" s="1048"/>
      <c r="BP61" s="1048"/>
      <c r="BQ61" s="1048"/>
      <c r="BR61" s="1048"/>
      <c r="BS61" s="1048"/>
      <c r="BT61" s="934"/>
      <c r="BU61" s="934"/>
      <c r="BV61" s="934"/>
      <c r="BW61" s="934"/>
      <c r="BX61" s="934"/>
      <c r="BY61" s="1076"/>
      <c r="BZ61" s="1077">
        <f>BZ60-200</f>
        <v>1858</v>
      </c>
      <c r="CA61" s="1072"/>
    </row>
    <row r="62" spans="4:80" s="977" customFormat="1" ht="21.6">
      <c r="E62" s="1056" t="s">
        <v>619</v>
      </c>
      <c r="F62" s="1073" t="s">
        <v>374</v>
      </c>
      <c r="G62" s="1073" t="s">
        <v>374</v>
      </c>
      <c r="H62" s="1066">
        <v>58</v>
      </c>
      <c r="I62" s="1066">
        <f t="shared" si="49"/>
        <v>58</v>
      </c>
      <c r="J62" s="1066">
        <f t="shared" si="43"/>
        <v>58</v>
      </c>
      <c r="K62" s="1066"/>
      <c r="L62" s="1066">
        <f t="shared" si="44"/>
        <v>58</v>
      </c>
      <c r="M62" s="1178"/>
      <c r="N62" s="1057"/>
      <c r="O62" s="1058">
        <f t="shared" si="45"/>
        <v>0</v>
      </c>
      <c r="P62" s="934"/>
      <c r="Q62" s="934">
        <v>1</v>
      </c>
      <c r="R62" s="934"/>
      <c r="S62" s="934"/>
      <c r="T62" s="934"/>
      <c r="U62" s="934"/>
      <c r="V62" s="934"/>
      <c r="W62" s="934">
        <v>2</v>
      </c>
      <c r="X62" s="934"/>
      <c r="Y62" s="934"/>
      <c r="Z62" s="934"/>
      <c r="AA62" s="934">
        <v>1</v>
      </c>
      <c r="AB62" s="934"/>
      <c r="AC62" s="934"/>
      <c r="AD62" s="1048"/>
      <c r="AE62" s="1048"/>
      <c r="AF62" s="1048">
        <f t="shared" si="50"/>
        <v>0</v>
      </c>
      <c r="AG62" s="1048"/>
      <c r="AH62" s="934"/>
      <c r="AI62" s="934"/>
      <c r="AJ62" s="1074"/>
      <c r="AK62" s="1074"/>
      <c r="AL62" s="1074"/>
      <c r="AM62" s="1074"/>
      <c r="AN62" s="1049">
        <f t="shared" si="51"/>
        <v>0</v>
      </c>
      <c r="AO62" s="1049"/>
      <c r="AP62" s="1049"/>
      <c r="AQ62" s="1049"/>
      <c r="AR62" s="1049"/>
      <c r="AS62" s="934"/>
      <c r="AT62" s="934"/>
      <c r="AU62" s="934">
        <f t="shared" si="52"/>
        <v>0</v>
      </c>
      <c r="AV62" s="934"/>
      <c r="AW62" s="934"/>
      <c r="AX62" s="934"/>
      <c r="AY62" s="934">
        <v>2</v>
      </c>
      <c r="AZ62" s="934"/>
      <c r="BA62" s="934">
        <f t="shared" si="46"/>
        <v>0</v>
      </c>
      <c r="BB62" s="1061">
        <f t="shared" si="47"/>
        <v>58</v>
      </c>
      <c r="BC62" s="934"/>
      <c r="BD62" s="934">
        <f t="shared" si="48"/>
        <v>0</v>
      </c>
      <c r="BE62" s="934"/>
      <c r="BF62" s="934">
        <v>2</v>
      </c>
      <c r="BG62" s="934"/>
      <c r="BH62" s="934">
        <v>1</v>
      </c>
      <c r="BI62" s="934"/>
      <c r="BJ62" s="934"/>
      <c r="BK62" s="934"/>
      <c r="BL62" s="934">
        <v>2</v>
      </c>
      <c r="BM62" s="934"/>
      <c r="BN62" s="934"/>
      <c r="BO62" s="1048"/>
      <c r="BP62" s="1048"/>
      <c r="BQ62" s="1048"/>
      <c r="BR62" s="1048"/>
      <c r="BS62" s="1048"/>
      <c r="BT62" s="934"/>
      <c r="BU62" s="934"/>
      <c r="BV62" s="934"/>
      <c r="BW62" s="934"/>
      <c r="BX62" s="934"/>
      <c r="BY62" s="934"/>
      <c r="CA62" s="1072"/>
    </row>
    <row r="63" spans="4:80" s="977" customFormat="1" ht="21.6">
      <c r="E63" s="1056" t="s">
        <v>620</v>
      </c>
      <c r="F63" s="1073" t="s">
        <v>374</v>
      </c>
      <c r="G63" s="1073" t="s">
        <v>374</v>
      </c>
      <c r="H63" s="1066">
        <v>56.9</v>
      </c>
      <c r="I63" s="1066">
        <f t="shared" si="49"/>
        <v>56.9</v>
      </c>
      <c r="J63" s="1066">
        <f t="shared" si="43"/>
        <v>56.9</v>
      </c>
      <c r="K63" s="1066"/>
      <c r="L63" s="1066">
        <f t="shared" si="44"/>
        <v>56.9</v>
      </c>
      <c r="M63" s="1178"/>
      <c r="N63" s="1057"/>
      <c r="O63" s="1058">
        <f t="shared" si="45"/>
        <v>0</v>
      </c>
      <c r="P63" s="934"/>
      <c r="Q63" s="934">
        <v>1</v>
      </c>
      <c r="R63" s="934"/>
      <c r="S63" s="934"/>
      <c r="T63" s="934"/>
      <c r="U63" s="934"/>
      <c r="V63" s="934"/>
      <c r="W63" s="934">
        <v>2</v>
      </c>
      <c r="X63" s="934"/>
      <c r="Y63" s="934"/>
      <c r="Z63" s="934"/>
      <c r="AA63" s="934">
        <v>1</v>
      </c>
      <c r="AB63" s="934"/>
      <c r="AC63" s="934"/>
      <c r="AD63" s="1048"/>
      <c r="AE63" s="1048"/>
      <c r="AF63" s="1048">
        <f t="shared" si="50"/>
        <v>0</v>
      </c>
      <c r="AG63" s="1048"/>
      <c r="AH63" s="934"/>
      <c r="AI63" s="934"/>
      <c r="AJ63" s="1074"/>
      <c r="AK63" s="1074"/>
      <c r="AL63" s="1074"/>
      <c r="AM63" s="1074"/>
      <c r="AN63" s="1049">
        <f t="shared" si="51"/>
        <v>0</v>
      </c>
      <c r="AO63" s="1049"/>
      <c r="AP63" s="1049"/>
      <c r="AQ63" s="1049"/>
      <c r="AR63" s="1049"/>
      <c r="AS63" s="934"/>
      <c r="AT63" s="934"/>
      <c r="AU63" s="934">
        <f t="shared" si="52"/>
        <v>0</v>
      </c>
      <c r="AV63" s="934"/>
      <c r="AW63" s="934"/>
      <c r="AX63" s="934"/>
      <c r="AY63" s="934">
        <v>2</v>
      </c>
      <c r="AZ63" s="934"/>
      <c r="BA63" s="934">
        <f t="shared" si="46"/>
        <v>0</v>
      </c>
      <c r="BB63" s="1061">
        <f t="shared" si="47"/>
        <v>56.9</v>
      </c>
      <c r="BC63" s="934"/>
      <c r="BD63" s="934">
        <f t="shared" si="48"/>
        <v>0</v>
      </c>
      <c r="BE63" s="934"/>
      <c r="BF63" s="934">
        <v>2</v>
      </c>
      <c r="BG63" s="934"/>
      <c r="BH63" s="934">
        <v>1</v>
      </c>
      <c r="BI63" s="934"/>
      <c r="BJ63" s="934"/>
      <c r="BK63" s="934"/>
      <c r="BL63" s="934">
        <v>2</v>
      </c>
      <c r="BM63" s="934"/>
      <c r="BN63" s="934"/>
      <c r="BO63" s="1048"/>
      <c r="BP63" s="1048"/>
      <c r="BQ63" s="1048"/>
      <c r="BR63" s="1048"/>
      <c r="BS63" s="1048"/>
      <c r="BT63" s="934"/>
      <c r="BU63" s="934"/>
      <c r="BV63" s="934"/>
      <c r="BW63" s="934"/>
      <c r="BX63" s="934"/>
      <c r="BY63" s="1076"/>
      <c r="BZ63" s="1077"/>
      <c r="CA63" s="1072"/>
    </row>
    <row r="64" spans="4:80" s="977" customFormat="1" ht="21.6">
      <c r="E64" s="1056" t="s">
        <v>621</v>
      </c>
      <c r="F64" s="1073" t="s">
        <v>374</v>
      </c>
      <c r="G64" s="1073" t="s">
        <v>374</v>
      </c>
      <c r="H64" s="1066">
        <v>62.6</v>
      </c>
      <c r="I64" s="1066">
        <f t="shared" si="49"/>
        <v>62.6</v>
      </c>
      <c r="J64" s="1066">
        <f t="shared" si="43"/>
        <v>62.6</v>
      </c>
      <c r="K64" s="1066"/>
      <c r="L64" s="1066">
        <f t="shared" si="44"/>
        <v>62.6</v>
      </c>
      <c r="M64" s="1178"/>
      <c r="N64" s="1057"/>
      <c r="O64" s="1058">
        <f t="shared" si="45"/>
        <v>0</v>
      </c>
      <c r="P64" s="934"/>
      <c r="Q64" s="934"/>
      <c r="R64" s="934">
        <v>1</v>
      </c>
      <c r="S64" s="934"/>
      <c r="T64" s="934"/>
      <c r="U64" s="934"/>
      <c r="V64" s="934"/>
      <c r="W64" s="934">
        <v>2</v>
      </c>
      <c r="X64" s="934"/>
      <c r="Y64" s="934"/>
      <c r="Z64" s="934"/>
      <c r="AA64" s="934">
        <v>1</v>
      </c>
      <c r="AB64" s="934"/>
      <c r="AC64" s="934"/>
      <c r="AD64" s="1048"/>
      <c r="AE64" s="1048"/>
      <c r="AF64" s="1048">
        <f t="shared" si="50"/>
        <v>0</v>
      </c>
      <c r="AG64" s="1048"/>
      <c r="AH64" s="934"/>
      <c r="AI64" s="934"/>
      <c r="AJ64" s="1074"/>
      <c r="AK64" s="1074"/>
      <c r="AL64" s="1074"/>
      <c r="AM64" s="1074"/>
      <c r="AN64" s="1049">
        <f t="shared" si="51"/>
        <v>0</v>
      </c>
      <c r="AO64" s="1049"/>
      <c r="AP64" s="1049"/>
      <c r="AQ64" s="1049"/>
      <c r="AR64" s="1049"/>
      <c r="AS64" s="934"/>
      <c r="AT64" s="934"/>
      <c r="AU64" s="934">
        <f t="shared" si="52"/>
        <v>0</v>
      </c>
      <c r="AV64" s="934"/>
      <c r="AW64" s="934"/>
      <c r="AX64" s="934"/>
      <c r="AY64" s="934">
        <v>2</v>
      </c>
      <c r="AZ64" s="934"/>
      <c r="BA64" s="934">
        <f t="shared" si="46"/>
        <v>0</v>
      </c>
      <c r="BB64" s="1061">
        <f t="shared" si="47"/>
        <v>62.6</v>
      </c>
      <c r="BC64" s="934"/>
      <c r="BD64" s="934">
        <f t="shared" si="48"/>
        <v>0</v>
      </c>
      <c r="BE64" s="934"/>
      <c r="BF64" s="934">
        <v>2</v>
      </c>
      <c r="BG64" s="934"/>
      <c r="BH64" s="934"/>
      <c r="BI64" s="934">
        <v>1</v>
      </c>
      <c r="BJ64" s="934"/>
      <c r="BK64" s="934"/>
      <c r="BL64" s="934">
        <v>2</v>
      </c>
      <c r="BM64" s="934"/>
      <c r="BN64" s="934"/>
      <c r="BO64" s="1048"/>
      <c r="BP64" s="1048"/>
      <c r="BQ64" s="1048"/>
      <c r="BR64" s="1048"/>
      <c r="BS64" s="1048"/>
      <c r="BT64" s="934"/>
      <c r="BU64" s="934"/>
      <c r="BV64" s="934"/>
      <c r="BW64" s="934"/>
      <c r="BX64" s="934"/>
      <c r="BY64" s="934"/>
      <c r="CA64" s="1072"/>
    </row>
    <row r="65" spans="4:79" s="977" customFormat="1" ht="21.6">
      <c r="E65" s="1056" t="s">
        <v>622</v>
      </c>
      <c r="F65" s="1073" t="s">
        <v>377</v>
      </c>
      <c r="G65" s="1073" t="s">
        <v>377</v>
      </c>
      <c r="H65" s="1066">
        <v>51.2</v>
      </c>
      <c r="I65" s="1066">
        <f t="shared" si="49"/>
        <v>51.2</v>
      </c>
      <c r="J65" s="1066">
        <f t="shared" si="43"/>
        <v>51.2</v>
      </c>
      <c r="K65" s="1066"/>
      <c r="L65" s="1066">
        <f t="shared" si="44"/>
        <v>51.2</v>
      </c>
      <c r="M65" s="1178"/>
      <c r="N65" s="1057"/>
      <c r="O65" s="1058">
        <f t="shared" si="45"/>
        <v>0</v>
      </c>
      <c r="P65" s="934"/>
      <c r="Q65" s="934">
        <v>1</v>
      </c>
      <c r="R65" s="934"/>
      <c r="S65" s="934"/>
      <c r="T65" s="934"/>
      <c r="U65" s="934"/>
      <c r="V65" s="934"/>
      <c r="W65" s="934"/>
      <c r="X65" s="934"/>
      <c r="Y65" s="934"/>
      <c r="Z65" s="934"/>
      <c r="AA65" s="934"/>
      <c r="AB65" s="934"/>
      <c r="AC65" s="934">
        <v>1</v>
      </c>
      <c r="AD65" s="1048">
        <v>1</v>
      </c>
      <c r="AE65" s="1048"/>
      <c r="AF65" s="1048">
        <f t="shared" si="50"/>
        <v>1</v>
      </c>
      <c r="AG65" s="1048"/>
      <c r="AH65" s="934"/>
      <c r="AI65" s="934"/>
      <c r="AJ65" s="1074">
        <v>1</v>
      </c>
      <c r="AK65" s="1074">
        <v>1</v>
      </c>
      <c r="AL65" s="1074"/>
      <c r="AM65" s="1074"/>
      <c r="AN65" s="1049">
        <f t="shared" si="51"/>
        <v>1</v>
      </c>
      <c r="AO65" s="1049"/>
      <c r="AP65" s="1049"/>
      <c r="AQ65" s="1049"/>
      <c r="AR65" s="1049"/>
      <c r="AS65" s="934">
        <v>0.5</v>
      </c>
      <c r="AT65" s="934"/>
      <c r="AU65" s="934">
        <f t="shared" si="52"/>
        <v>0.5</v>
      </c>
      <c r="AV65" s="934"/>
      <c r="AW65" s="934"/>
      <c r="AX65" s="934"/>
      <c r="AY65" s="934"/>
      <c r="AZ65" s="934"/>
      <c r="BA65" s="934">
        <f t="shared" si="46"/>
        <v>1</v>
      </c>
      <c r="BB65" s="1061">
        <f t="shared" si="47"/>
        <v>51.2</v>
      </c>
      <c r="BC65" s="934"/>
      <c r="BD65" s="934">
        <f t="shared" si="48"/>
        <v>0</v>
      </c>
      <c r="BE65" s="934"/>
      <c r="BF65" s="934"/>
      <c r="BG65" s="934"/>
      <c r="BH65" s="934">
        <v>1</v>
      </c>
      <c r="BI65" s="934"/>
      <c r="BJ65" s="934"/>
      <c r="BK65" s="934">
        <v>1</v>
      </c>
      <c r="BL65" s="934"/>
      <c r="BM65" s="934"/>
      <c r="BN65" s="934"/>
      <c r="BO65" s="1048">
        <v>1</v>
      </c>
      <c r="BP65" s="1048"/>
      <c r="BQ65" s="1048"/>
      <c r="BR65" s="1048"/>
      <c r="BS65" s="1048"/>
      <c r="BT65" s="934">
        <v>1</v>
      </c>
      <c r="BU65" s="934"/>
      <c r="BV65" s="934"/>
      <c r="BW65" s="934"/>
      <c r="BX65" s="934"/>
      <c r="BY65" s="1076" t="s">
        <v>861</v>
      </c>
      <c r="BZ65" s="1077"/>
      <c r="CA65" s="1072"/>
    </row>
    <row r="66" spans="4:79" s="1078" customFormat="1" ht="21.6">
      <c r="D66" s="1373" t="s">
        <v>935</v>
      </c>
      <c r="E66" s="1115" t="s">
        <v>794</v>
      </c>
      <c r="F66" s="1116"/>
      <c r="G66" s="1116"/>
      <c r="H66" s="1100">
        <f>SUM(H56:H65)</f>
        <v>517.20000000000005</v>
      </c>
      <c r="I66" s="1100">
        <f t="shared" ref="I66:BT66" si="53">SUM(I56:I65)</f>
        <v>517.20000000000005</v>
      </c>
      <c r="J66" s="1100">
        <f t="shared" si="53"/>
        <v>517.20000000000005</v>
      </c>
      <c r="K66" s="1100">
        <f t="shared" si="53"/>
        <v>0</v>
      </c>
      <c r="L66" s="1100">
        <f t="shared" si="53"/>
        <v>517.20000000000005</v>
      </c>
      <c r="M66" s="1100">
        <f t="shared" si="53"/>
        <v>0</v>
      </c>
      <c r="N66" s="1100">
        <f t="shared" si="53"/>
        <v>0</v>
      </c>
      <c r="O66" s="1100">
        <f t="shared" si="53"/>
        <v>0</v>
      </c>
      <c r="P66" s="1100">
        <f t="shared" si="53"/>
        <v>0</v>
      </c>
      <c r="Q66" s="1100">
        <f t="shared" si="53"/>
        <v>8</v>
      </c>
      <c r="R66" s="1100">
        <f t="shared" si="53"/>
        <v>2</v>
      </c>
      <c r="S66" s="1100">
        <f t="shared" si="53"/>
        <v>1</v>
      </c>
      <c r="T66" s="1100">
        <f t="shared" si="53"/>
        <v>0</v>
      </c>
      <c r="U66" s="1100">
        <f t="shared" si="53"/>
        <v>1</v>
      </c>
      <c r="V66" s="1100">
        <f t="shared" si="53"/>
        <v>0</v>
      </c>
      <c r="W66" s="1100">
        <f t="shared" si="53"/>
        <v>12</v>
      </c>
      <c r="X66" s="1100">
        <f t="shared" si="53"/>
        <v>1</v>
      </c>
      <c r="Y66" s="1100">
        <f t="shared" si="53"/>
        <v>0</v>
      </c>
      <c r="Z66" s="1100">
        <f t="shared" si="53"/>
        <v>0</v>
      </c>
      <c r="AA66" s="1100">
        <f t="shared" si="53"/>
        <v>6</v>
      </c>
      <c r="AB66" s="1100">
        <f t="shared" si="53"/>
        <v>0</v>
      </c>
      <c r="AC66" s="1100">
        <f t="shared" si="53"/>
        <v>6</v>
      </c>
      <c r="AD66" s="1100">
        <f t="shared" si="53"/>
        <v>5</v>
      </c>
      <c r="AE66" s="1100">
        <f t="shared" si="53"/>
        <v>1</v>
      </c>
      <c r="AF66" s="1100">
        <f t="shared" si="53"/>
        <v>6</v>
      </c>
      <c r="AG66" s="1100">
        <f t="shared" si="53"/>
        <v>0</v>
      </c>
      <c r="AH66" s="1100">
        <f t="shared" si="53"/>
        <v>0</v>
      </c>
      <c r="AI66" s="1100">
        <f t="shared" si="53"/>
        <v>0</v>
      </c>
      <c r="AJ66" s="1100">
        <f t="shared" si="53"/>
        <v>3</v>
      </c>
      <c r="AK66" s="1100">
        <f t="shared" si="53"/>
        <v>2</v>
      </c>
      <c r="AL66" s="1100">
        <f t="shared" si="53"/>
        <v>1</v>
      </c>
      <c r="AM66" s="1100">
        <f t="shared" si="53"/>
        <v>0</v>
      </c>
      <c r="AN66" s="1100">
        <f t="shared" si="53"/>
        <v>2</v>
      </c>
      <c r="AO66" s="1100">
        <f t="shared" si="53"/>
        <v>1</v>
      </c>
      <c r="AP66" s="1100">
        <f t="shared" si="53"/>
        <v>1</v>
      </c>
      <c r="AQ66" s="1100">
        <f t="shared" si="53"/>
        <v>1</v>
      </c>
      <c r="AR66" s="1100">
        <f t="shared" si="53"/>
        <v>0</v>
      </c>
      <c r="AS66" s="1100">
        <f t="shared" si="53"/>
        <v>2.5</v>
      </c>
      <c r="AT66" s="1100">
        <f t="shared" si="53"/>
        <v>0</v>
      </c>
      <c r="AU66" s="1100">
        <f t="shared" si="53"/>
        <v>2</v>
      </c>
      <c r="AV66" s="1100">
        <f t="shared" si="53"/>
        <v>0</v>
      </c>
      <c r="AW66" s="1100">
        <f t="shared" si="53"/>
        <v>1.5</v>
      </c>
      <c r="AX66" s="1100">
        <f t="shared" si="53"/>
        <v>1</v>
      </c>
      <c r="AY66" s="1100">
        <f t="shared" si="53"/>
        <v>12</v>
      </c>
      <c r="AZ66" s="1100">
        <f t="shared" si="53"/>
        <v>1</v>
      </c>
      <c r="BA66" s="1100">
        <f t="shared" si="53"/>
        <v>6</v>
      </c>
      <c r="BB66" s="1100">
        <f t="shared" si="53"/>
        <v>517.20000000000005</v>
      </c>
      <c r="BC66" s="1100">
        <f t="shared" si="53"/>
        <v>0</v>
      </c>
      <c r="BD66" s="1100">
        <f t="shared" si="53"/>
        <v>1</v>
      </c>
      <c r="BE66" s="1100">
        <f t="shared" si="53"/>
        <v>0</v>
      </c>
      <c r="BF66" s="1100">
        <f t="shared" si="53"/>
        <v>12</v>
      </c>
      <c r="BG66" s="1100">
        <f t="shared" si="53"/>
        <v>0</v>
      </c>
      <c r="BH66" s="1100">
        <f t="shared" si="53"/>
        <v>7</v>
      </c>
      <c r="BI66" s="1100">
        <f t="shared" si="53"/>
        <v>2</v>
      </c>
      <c r="BJ66" s="1100">
        <f t="shared" si="53"/>
        <v>0</v>
      </c>
      <c r="BK66" s="1100">
        <f t="shared" si="53"/>
        <v>6</v>
      </c>
      <c r="BL66" s="1100">
        <f t="shared" si="53"/>
        <v>12</v>
      </c>
      <c r="BM66" s="1100">
        <f t="shared" si="53"/>
        <v>0</v>
      </c>
      <c r="BN66" s="1100">
        <f t="shared" si="53"/>
        <v>0</v>
      </c>
      <c r="BO66" s="1100">
        <f t="shared" si="53"/>
        <v>5</v>
      </c>
      <c r="BP66" s="1100">
        <f t="shared" si="53"/>
        <v>1</v>
      </c>
      <c r="BQ66" s="1100">
        <f t="shared" si="53"/>
        <v>0</v>
      </c>
      <c r="BR66" s="1100">
        <f t="shared" si="53"/>
        <v>0</v>
      </c>
      <c r="BS66" s="1100">
        <f t="shared" si="53"/>
        <v>2.5</v>
      </c>
      <c r="BT66" s="1100">
        <f t="shared" si="53"/>
        <v>5</v>
      </c>
      <c r="BU66" s="1100">
        <f t="shared" ref="BU66:BW66" si="54">SUM(BU56:BU65)</f>
        <v>0</v>
      </c>
      <c r="BV66" s="1100">
        <f t="shared" si="54"/>
        <v>1</v>
      </c>
      <c r="BW66" s="1100">
        <f t="shared" si="54"/>
        <v>0</v>
      </c>
      <c r="BX66" s="1101" t="e">
        <f>SUM(BX11:BX65)</f>
        <v>#REF!</v>
      </c>
      <c r="BY66" s="1117"/>
      <c r="CA66" s="1079"/>
    </row>
    <row r="67" spans="4:79" s="1078" customFormat="1" ht="21.6">
      <c r="D67" s="1372" t="s">
        <v>935</v>
      </c>
      <c r="E67" s="1110" t="s">
        <v>795</v>
      </c>
      <c r="F67" s="1111"/>
      <c r="G67" s="1111"/>
      <c r="H67" s="1112"/>
      <c r="I67" s="1112"/>
      <c r="J67" s="1112"/>
      <c r="K67" s="1112"/>
      <c r="L67" s="1112"/>
      <c r="M67" s="1179"/>
      <c r="N67" s="1112"/>
      <c r="O67" s="1112"/>
      <c r="P67" s="1112"/>
      <c r="Q67" s="1112"/>
      <c r="R67" s="1112"/>
      <c r="S67" s="1112"/>
      <c r="T67" s="1112"/>
      <c r="U67" s="1112"/>
      <c r="V67" s="1112"/>
      <c r="W67" s="1112"/>
      <c r="X67" s="1112"/>
      <c r="Y67" s="1112"/>
      <c r="Z67" s="1112"/>
      <c r="AA67" s="1112"/>
      <c r="AB67" s="1112"/>
      <c r="AC67" s="1112"/>
      <c r="AD67" s="1112"/>
      <c r="AE67" s="1112"/>
      <c r="AF67" s="1112"/>
      <c r="AG67" s="1112"/>
      <c r="AH67" s="1112"/>
      <c r="AI67" s="1112"/>
      <c r="AJ67" s="1112"/>
      <c r="AK67" s="1112"/>
      <c r="AL67" s="1112"/>
      <c r="AM67" s="1112"/>
      <c r="AN67" s="1112"/>
      <c r="AO67" s="1112"/>
      <c r="AP67" s="1112"/>
      <c r="AQ67" s="1112"/>
      <c r="AR67" s="1112"/>
      <c r="AS67" s="1112"/>
      <c r="AT67" s="1112"/>
      <c r="AU67" s="1112"/>
      <c r="AV67" s="1112"/>
      <c r="AW67" s="1112"/>
      <c r="AX67" s="1112"/>
      <c r="AY67" s="1112"/>
      <c r="AZ67" s="1112"/>
      <c r="BA67" s="1112"/>
      <c r="BB67" s="1112"/>
      <c r="BC67" s="1112"/>
      <c r="BD67" s="1112"/>
      <c r="BE67" s="1112"/>
      <c r="BF67" s="1112"/>
      <c r="BG67" s="1112"/>
      <c r="BH67" s="1112"/>
      <c r="BI67" s="1112"/>
      <c r="BJ67" s="1112"/>
      <c r="BK67" s="1112"/>
      <c r="BL67" s="1112"/>
      <c r="BM67" s="1112"/>
      <c r="BN67" s="1112"/>
      <c r="BO67" s="1112"/>
      <c r="BP67" s="1112"/>
      <c r="BQ67" s="1112"/>
      <c r="BR67" s="1112"/>
      <c r="BS67" s="1112"/>
      <c r="BT67" s="1112"/>
      <c r="BU67" s="1112"/>
      <c r="BV67" s="1112"/>
      <c r="BW67" s="1112"/>
      <c r="BX67" s="1113"/>
      <c r="BY67" s="1114"/>
      <c r="CA67" s="1079"/>
    </row>
    <row r="68" spans="4:79" s="977" customFormat="1" ht="21.6">
      <c r="E68" s="1080" t="s">
        <v>668</v>
      </c>
      <c r="F68" s="1081" t="s">
        <v>377</v>
      </c>
      <c r="G68" s="1081" t="s">
        <v>377</v>
      </c>
      <c r="H68" s="1082"/>
      <c r="I68" s="1082">
        <f>H68</f>
        <v>0</v>
      </c>
      <c r="J68" s="1082">
        <f t="shared" ref="J68:J85" si="55">H68</f>
        <v>0</v>
      </c>
      <c r="K68" s="1082"/>
      <c r="L68" s="1082">
        <f t="shared" ref="L68:L85" si="56">I68</f>
        <v>0</v>
      </c>
      <c r="M68" s="1182"/>
      <c r="N68" s="1083"/>
      <c r="O68" s="1084">
        <f t="shared" ref="O68:O85" si="57">N68+M68</f>
        <v>0</v>
      </c>
      <c r="P68" s="1085"/>
      <c r="Q68" s="1085"/>
      <c r="R68" s="1085"/>
      <c r="S68" s="1085"/>
      <c r="T68" s="1085"/>
      <c r="U68" s="1085"/>
      <c r="V68" s="1085"/>
      <c r="W68" s="1085"/>
      <c r="X68" s="1085"/>
      <c r="Y68" s="1085"/>
      <c r="Z68" s="1085"/>
      <c r="AA68" s="1085"/>
      <c r="AB68" s="1085"/>
      <c r="AC68" s="1085">
        <v>1</v>
      </c>
      <c r="AD68" s="1086">
        <v>1</v>
      </c>
      <c r="AE68" s="1086"/>
      <c r="AF68" s="1086">
        <f>AE68+AD68</f>
        <v>1</v>
      </c>
      <c r="AG68" s="1086"/>
      <c r="AH68" s="1085"/>
      <c r="AI68" s="1085"/>
      <c r="AJ68" s="1087">
        <v>1</v>
      </c>
      <c r="AK68" s="1087"/>
      <c r="AL68" s="1087">
        <v>1</v>
      </c>
      <c r="AM68" s="1087"/>
      <c r="AN68" s="1071">
        <f>AM68+AJ68</f>
        <v>1</v>
      </c>
      <c r="AO68" s="1071"/>
      <c r="AP68" s="1071"/>
      <c r="AQ68" s="1071"/>
      <c r="AR68" s="1071"/>
      <c r="AS68" s="1085">
        <v>0.5</v>
      </c>
      <c r="AT68" s="1085"/>
      <c r="AU68" s="1085">
        <f>AT68+AS68</f>
        <v>0.5</v>
      </c>
      <c r="AV68" s="1085"/>
      <c r="AW68" s="1085">
        <v>0.5</v>
      </c>
      <c r="AX68" s="1085"/>
      <c r="AY68" s="1085"/>
      <c r="AZ68" s="1085"/>
      <c r="BA68" s="1085">
        <f t="shared" ref="BA68:BA85" si="58">IF(F68="2DT",2,IF(F68="DT",1,IF(F68="2DT-90",2,0)))</f>
        <v>1</v>
      </c>
      <c r="BB68" s="1089">
        <f t="shared" ref="BB68:BB85" si="59">J68</f>
        <v>0</v>
      </c>
      <c r="BC68" s="1085"/>
      <c r="BD68" s="934">
        <f t="shared" ref="BD68:BD84" si="60">AZ68</f>
        <v>0</v>
      </c>
      <c r="BE68" s="1085"/>
      <c r="BF68" s="1085"/>
      <c r="BG68" s="1085"/>
      <c r="BH68" s="1085"/>
      <c r="BI68" s="1085"/>
      <c r="BJ68" s="1085"/>
      <c r="BK68" s="1085">
        <v>1</v>
      </c>
      <c r="BL68" s="1085"/>
      <c r="BM68" s="1085"/>
      <c r="BN68" s="1085"/>
      <c r="BO68" s="1086">
        <v>1</v>
      </c>
      <c r="BP68" s="1086"/>
      <c r="BQ68" s="1086"/>
      <c r="BR68" s="1086"/>
      <c r="BS68" s="1086">
        <v>1</v>
      </c>
      <c r="BT68" s="1085">
        <v>2</v>
      </c>
      <c r="BU68" s="1085"/>
      <c r="BV68" s="1085"/>
      <c r="BW68" s="1085"/>
      <c r="BX68" s="1085"/>
      <c r="BY68" s="1088"/>
      <c r="BZ68" s="1077"/>
      <c r="CA68" s="1072"/>
    </row>
    <row r="69" spans="4:79" s="1187" customFormat="1" ht="21.6">
      <c r="E69" s="1189" t="s">
        <v>796</v>
      </c>
      <c r="F69" s="1190"/>
      <c r="G69" s="1190" t="s">
        <v>80</v>
      </c>
      <c r="H69" s="1191">
        <v>38</v>
      </c>
      <c r="I69" s="1191">
        <f>H69</f>
        <v>38</v>
      </c>
      <c r="J69" s="1191">
        <f t="shared" si="55"/>
        <v>38</v>
      </c>
      <c r="K69" s="1191"/>
      <c r="L69" s="1191">
        <f t="shared" si="56"/>
        <v>38</v>
      </c>
      <c r="M69" s="1178">
        <v>1</v>
      </c>
      <c r="N69" s="1178"/>
      <c r="O69" s="1194">
        <f t="shared" si="57"/>
        <v>1</v>
      </c>
      <c r="P69" s="1195"/>
      <c r="Q69" s="1195"/>
      <c r="R69" s="1195"/>
      <c r="S69" s="1195"/>
      <c r="T69" s="1195"/>
      <c r="U69" s="1195"/>
      <c r="V69" s="1195"/>
      <c r="W69" s="1195"/>
      <c r="X69" s="1195">
        <v>1</v>
      </c>
      <c r="Y69" s="1195"/>
      <c r="Z69" s="1195"/>
      <c r="AA69" s="1195"/>
      <c r="AB69" s="1195">
        <v>1</v>
      </c>
      <c r="AC69" s="1195"/>
      <c r="AD69" s="1196"/>
      <c r="AE69" s="1196"/>
      <c r="AF69" s="1196">
        <f>AE69+AD69</f>
        <v>0</v>
      </c>
      <c r="AG69" s="1196"/>
      <c r="AH69" s="1195"/>
      <c r="AI69" s="1195"/>
      <c r="AJ69" s="1197"/>
      <c r="AK69" s="1197"/>
      <c r="AL69" s="1197"/>
      <c r="AM69" s="1197"/>
      <c r="AN69" s="1193">
        <f>AM69+AJ69</f>
        <v>0</v>
      </c>
      <c r="AO69" s="1193"/>
      <c r="AP69" s="1193"/>
      <c r="AQ69" s="1193"/>
      <c r="AR69" s="1193"/>
      <c r="AS69" s="1195"/>
      <c r="AT69" s="1195"/>
      <c r="AU69" s="1195">
        <f>AT69+AS69</f>
        <v>0</v>
      </c>
      <c r="AV69" s="1195"/>
      <c r="AW69" s="1195"/>
      <c r="AX69" s="1195">
        <v>1</v>
      </c>
      <c r="AY69" s="1195"/>
      <c r="AZ69" s="1195"/>
      <c r="BA69" s="1195">
        <f t="shared" si="58"/>
        <v>0</v>
      </c>
      <c r="BB69" s="1199">
        <f t="shared" si="59"/>
        <v>38</v>
      </c>
      <c r="BC69" s="1195"/>
      <c r="BD69" s="934">
        <f t="shared" si="60"/>
        <v>0</v>
      </c>
      <c r="BE69" s="1195"/>
      <c r="BF69" s="1195"/>
      <c r="BG69" s="1195"/>
      <c r="BH69" s="1195"/>
      <c r="BI69" s="1195"/>
      <c r="BJ69" s="1195"/>
      <c r="BK69" s="1195"/>
      <c r="BL69" s="1195"/>
      <c r="BM69" s="1195"/>
      <c r="BN69" s="1195"/>
      <c r="BO69" s="1196"/>
      <c r="BP69" s="1196"/>
      <c r="BQ69" s="1196"/>
      <c r="BR69" s="1196"/>
      <c r="BS69" s="1196"/>
      <c r="BT69" s="1195"/>
      <c r="BU69" s="1195"/>
      <c r="BV69" s="1195"/>
      <c r="BW69" s="1195"/>
      <c r="BX69" s="1195"/>
      <c r="BY69" s="1198"/>
      <c r="BZ69" s="1202"/>
      <c r="CA69" s="1200"/>
    </row>
    <row r="70" spans="4:79" s="977" customFormat="1" ht="21.6">
      <c r="E70" s="1056" t="s">
        <v>614</v>
      </c>
      <c r="F70" s="1073" t="s">
        <v>148</v>
      </c>
      <c r="G70" s="1073" t="s">
        <v>148</v>
      </c>
      <c r="H70" s="1066">
        <v>31.3</v>
      </c>
      <c r="I70" s="1065">
        <f t="shared" ref="I70:I85" si="61">H70</f>
        <v>31.3</v>
      </c>
      <c r="J70" s="1066">
        <f t="shared" si="55"/>
        <v>31.3</v>
      </c>
      <c r="K70" s="1066"/>
      <c r="L70" s="1065">
        <f t="shared" si="56"/>
        <v>31.3</v>
      </c>
      <c r="M70" s="1178"/>
      <c r="N70" s="1057"/>
      <c r="O70" s="1058">
        <f t="shared" si="57"/>
        <v>0</v>
      </c>
      <c r="P70" s="934"/>
      <c r="Q70" s="934">
        <v>2</v>
      </c>
      <c r="R70" s="934"/>
      <c r="S70" s="934"/>
      <c r="T70" s="934"/>
      <c r="U70" s="934"/>
      <c r="V70" s="934"/>
      <c r="W70" s="934"/>
      <c r="X70" s="934"/>
      <c r="Y70" s="934"/>
      <c r="Z70" s="934"/>
      <c r="AA70" s="934"/>
      <c r="AB70" s="934"/>
      <c r="AC70" s="934">
        <v>2</v>
      </c>
      <c r="AD70" s="1048">
        <v>2</v>
      </c>
      <c r="AE70" s="1048"/>
      <c r="AF70" s="1048">
        <f>AE70+AD70</f>
        <v>2</v>
      </c>
      <c r="AG70" s="1048"/>
      <c r="AH70" s="934"/>
      <c r="AI70" s="934"/>
      <c r="AJ70" s="1074"/>
      <c r="AK70" s="1074"/>
      <c r="AL70" s="1074"/>
      <c r="AM70" s="1074"/>
      <c r="AN70" s="1049">
        <f>AM70+AJ70</f>
        <v>0</v>
      </c>
      <c r="AO70" s="1049">
        <v>1</v>
      </c>
      <c r="AP70" s="1049">
        <v>1</v>
      </c>
      <c r="AQ70" s="1049"/>
      <c r="AR70" s="1049">
        <v>1</v>
      </c>
      <c r="AS70" s="934">
        <v>1</v>
      </c>
      <c r="AT70" s="934"/>
      <c r="AU70" s="934">
        <f>AT70+AS70</f>
        <v>1</v>
      </c>
      <c r="AV70" s="934"/>
      <c r="AW70" s="934">
        <v>1</v>
      </c>
      <c r="AX70" s="934"/>
      <c r="AY70" s="934"/>
      <c r="AZ70" s="934">
        <v>1</v>
      </c>
      <c r="BA70" s="934">
        <f t="shared" si="58"/>
        <v>2</v>
      </c>
      <c r="BB70" s="1061">
        <f t="shared" si="59"/>
        <v>31.3</v>
      </c>
      <c r="BC70" s="934"/>
      <c r="BD70" s="934">
        <f t="shared" si="60"/>
        <v>1</v>
      </c>
      <c r="BE70" s="934"/>
      <c r="BF70" s="934"/>
      <c r="BG70" s="934"/>
      <c r="BH70" s="934">
        <v>2</v>
      </c>
      <c r="BI70" s="934"/>
      <c r="BJ70" s="934"/>
      <c r="BK70" s="934">
        <v>2</v>
      </c>
      <c r="BL70" s="934"/>
      <c r="BM70" s="934"/>
      <c r="BN70" s="934"/>
      <c r="BO70" s="1048">
        <v>2</v>
      </c>
      <c r="BP70" s="1048"/>
      <c r="BQ70" s="1048"/>
      <c r="BR70" s="1048"/>
      <c r="BS70" s="1048">
        <v>2</v>
      </c>
      <c r="BT70" s="934">
        <v>2</v>
      </c>
      <c r="BU70" s="934"/>
      <c r="BV70" s="934"/>
      <c r="BW70" s="934">
        <v>1</v>
      </c>
      <c r="BX70" s="934"/>
      <c r="BY70" s="1076" t="s">
        <v>859</v>
      </c>
      <c r="BZ70" s="1077"/>
      <c r="CA70" s="1072"/>
    </row>
    <row r="71" spans="4:79" s="977" customFormat="1" ht="21.6">
      <c r="E71" s="1056" t="s">
        <v>615</v>
      </c>
      <c r="F71" s="1073" t="s">
        <v>374</v>
      </c>
      <c r="G71" s="1073" t="s">
        <v>374</v>
      </c>
      <c r="H71" s="1066">
        <v>66.099999999999994</v>
      </c>
      <c r="I71" s="1065">
        <f t="shared" si="61"/>
        <v>66.099999999999994</v>
      </c>
      <c r="J71" s="1066">
        <f t="shared" si="55"/>
        <v>66.099999999999994</v>
      </c>
      <c r="K71" s="1066"/>
      <c r="L71" s="1065">
        <f t="shared" si="56"/>
        <v>66.099999999999994</v>
      </c>
      <c r="M71" s="1178"/>
      <c r="N71" s="1057"/>
      <c r="O71" s="1058">
        <f t="shared" si="57"/>
        <v>0</v>
      </c>
      <c r="P71" s="934"/>
      <c r="Q71" s="934">
        <v>1</v>
      </c>
      <c r="R71" s="934"/>
      <c r="S71" s="934"/>
      <c r="T71" s="934"/>
      <c r="U71" s="934"/>
      <c r="V71" s="934"/>
      <c r="W71" s="934">
        <v>2</v>
      </c>
      <c r="X71" s="934"/>
      <c r="Y71" s="934"/>
      <c r="Z71" s="934"/>
      <c r="AA71" s="934">
        <v>1</v>
      </c>
      <c r="AB71" s="934"/>
      <c r="AC71" s="934"/>
      <c r="AD71" s="1048"/>
      <c r="AE71" s="1048"/>
      <c r="AF71" s="1048">
        <f t="shared" ref="AF71:AF85" si="62">AE71+AD71</f>
        <v>0</v>
      </c>
      <c r="AG71" s="1048"/>
      <c r="AH71" s="934"/>
      <c r="AI71" s="934"/>
      <c r="AJ71" s="1074"/>
      <c r="AK71" s="1074"/>
      <c r="AL71" s="1074"/>
      <c r="AM71" s="1074">
        <v>1</v>
      </c>
      <c r="AN71" s="1049">
        <f t="shared" ref="AN71:AN85" si="63">AM71+AJ71</f>
        <v>1</v>
      </c>
      <c r="AO71" s="1049"/>
      <c r="AP71" s="1049"/>
      <c r="AQ71" s="1049"/>
      <c r="AR71" s="1049"/>
      <c r="AS71" s="934"/>
      <c r="AT71" s="934"/>
      <c r="AU71" s="934">
        <f t="shared" ref="AU71:AU85" si="64">AT71+AS71</f>
        <v>0</v>
      </c>
      <c r="AV71" s="934"/>
      <c r="AW71" s="934"/>
      <c r="AX71" s="934"/>
      <c r="AY71" s="934">
        <v>2</v>
      </c>
      <c r="AZ71" s="934"/>
      <c r="BA71" s="934">
        <f t="shared" si="58"/>
        <v>0</v>
      </c>
      <c r="BB71" s="1061">
        <f t="shared" si="59"/>
        <v>66.099999999999994</v>
      </c>
      <c r="BC71" s="934"/>
      <c r="BD71" s="934">
        <f t="shared" si="60"/>
        <v>0</v>
      </c>
      <c r="BE71" s="934"/>
      <c r="BF71" s="934">
        <v>2</v>
      </c>
      <c r="BG71" s="934"/>
      <c r="BH71" s="934">
        <v>1</v>
      </c>
      <c r="BI71" s="934"/>
      <c r="BJ71" s="934"/>
      <c r="BK71" s="934"/>
      <c r="BL71" s="934">
        <v>2</v>
      </c>
      <c r="BM71" s="934"/>
      <c r="BN71" s="934"/>
      <c r="BO71" s="1048"/>
      <c r="BP71" s="1048"/>
      <c r="BQ71" s="1048"/>
      <c r="BR71" s="1048"/>
      <c r="BS71" s="1048"/>
      <c r="BT71" s="934"/>
      <c r="BU71" s="934"/>
      <c r="BV71" s="934"/>
      <c r="BW71" s="934"/>
      <c r="BX71" s="934"/>
      <c r="BY71" s="1076" t="s">
        <v>874</v>
      </c>
      <c r="BZ71" s="1226"/>
      <c r="CA71" s="1072"/>
    </row>
    <row r="72" spans="4:79" s="977" customFormat="1" ht="21.6">
      <c r="E72" s="1056" t="s">
        <v>616</v>
      </c>
      <c r="F72" s="1073" t="s">
        <v>374</v>
      </c>
      <c r="G72" s="1073" t="s">
        <v>374</v>
      </c>
      <c r="H72" s="1066">
        <v>60.2</v>
      </c>
      <c r="I72" s="1065">
        <f t="shared" si="61"/>
        <v>60.2</v>
      </c>
      <c r="J72" s="1066">
        <f t="shared" si="55"/>
        <v>60.2</v>
      </c>
      <c r="K72" s="1066"/>
      <c r="L72" s="1065">
        <f t="shared" si="56"/>
        <v>60.2</v>
      </c>
      <c r="M72" s="1178"/>
      <c r="N72" s="1057"/>
      <c r="O72" s="1058">
        <f t="shared" si="57"/>
        <v>0</v>
      </c>
      <c r="P72" s="934"/>
      <c r="Q72" s="934">
        <v>1</v>
      </c>
      <c r="R72" s="934"/>
      <c r="S72" s="934"/>
      <c r="T72" s="934"/>
      <c r="U72" s="934"/>
      <c r="V72" s="934"/>
      <c r="W72" s="934"/>
      <c r="X72" s="934"/>
      <c r="Y72" s="934"/>
      <c r="Z72" s="934">
        <v>1</v>
      </c>
      <c r="AA72" s="934"/>
      <c r="AB72" s="934"/>
      <c r="AC72" s="934"/>
      <c r="AD72" s="1048"/>
      <c r="AE72" s="1048"/>
      <c r="AF72" s="1048">
        <f t="shared" si="62"/>
        <v>0</v>
      </c>
      <c r="AG72" s="1048"/>
      <c r="AH72" s="934"/>
      <c r="AI72" s="934"/>
      <c r="AJ72" s="1074"/>
      <c r="AK72" s="1074"/>
      <c r="AL72" s="1074"/>
      <c r="AM72" s="1074"/>
      <c r="AN72" s="1049">
        <f t="shared" si="63"/>
        <v>0</v>
      </c>
      <c r="AO72" s="1049"/>
      <c r="AP72" s="1049"/>
      <c r="AQ72" s="1049"/>
      <c r="AR72" s="1049"/>
      <c r="AS72" s="934"/>
      <c r="AT72" s="934"/>
      <c r="AU72" s="934">
        <f t="shared" si="64"/>
        <v>0</v>
      </c>
      <c r="AV72" s="934"/>
      <c r="AW72" s="934"/>
      <c r="AX72" s="934"/>
      <c r="AY72" s="934">
        <v>2</v>
      </c>
      <c r="AZ72" s="934"/>
      <c r="BA72" s="934">
        <f t="shared" si="58"/>
        <v>0</v>
      </c>
      <c r="BB72" s="1061">
        <f t="shared" si="59"/>
        <v>60.2</v>
      </c>
      <c r="BC72" s="934"/>
      <c r="BD72" s="934">
        <f t="shared" si="60"/>
        <v>0</v>
      </c>
      <c r="BE72" s="934"/>
      <c r="BF72" s="934">
        <v>2</v>
      </c>
      <c r="BG72" s="934"/>
      <c r="BH72" s="934">
        <v>1</v>
      </c>
      <c r="BI72" s="934"/>
      <c r="BJ72" s="934"/>
      <c r="BK72" s="934"/>
      <c r="BL72" s="934">
        <v>2</v>
      </c>
      <c r="BM72" s="934"/>
      <c r="BN72" s="934">
        <v>2</v>
      </c>
      <c r="BO72" s="1048"/>
      <c r="BP72" s="1048"/>
      <c r="BQ72" s="1048"/>
      <c r="BR72" s="1048"/>
      <c r="BS72" s="1048"/>
      <c r="BT72" s="934"/>
      <c r="BU72" s="934"/>
      <c r="BV72" s="934"/>
      <c r="BW72" s="934"/>
      <c r="BX72" s="934"/>
      <c r="BY72" s="1076"/>
      <c r="BZ72" s="1077"/>
      <c r="CA72" s="1072"/>
    </row>
    <row r="73" spans="4:79" s="977" customFormat="1" ht="21.6">
      <c r="E73" s="1056" t="s">
        <v>617</v>
      </c>
      <c r="F73" s="1073" t="s">
        <v>374</v>
      </c>
      <c r="G73" s="1073" t="s">
        <v>374</v>
      </c>
      <c r="H73" s="1066">
        <v>56.1</v>
      </c>
      <c r="I73" s="1065">
        <f t="shared" si="61"/>
        <v>56.1</v>
      </c>
      <c r="J73" s="1066">
        <f t="shared" si="55"/>
        <v>56.1</v>
      </c>
      <c r="K73" s="1066"/>
      <c r="L73" s="1065">
        <f t="shared" si="56"/>
        <v>56.1</v>
      </c>
      <c r="M73" s="1178"/>
      <c r="N73" s="1057"/>
      <c r="O73" s="1058">
        <f t="shared" si="57"/>
        <v>0</v>
      </c>
      <c r="P73" s="934"/>
      <c r="Q73" s="934">
        <v>1</v>
      </c>
      <c r="R73" s="934"/>
      <c r="S73" s="934"/>
      <c r="T73" s="934"/>
      <c r="U73" s="934"/>
      <c r="V73" s="934"/>
      <c r="W73" s="934">
        <v>2</v>
      </c>
      <c r="X73" s="934"/>
      <c r="Y73" s="934"/>
      <c r="Z73" s="934"/>
      <c r="AA73" s="934">
        <v>1</v>
      </c>
      <c r="AB73" s="934"/>
      <c r="AC73" s="934"/>
      <c r="AD73" s="1048"/>
      <c r="AE73" s="1048"/>
      <c r="AF73" s="1048">
        <f t="shared" si="62"/>
        <v>0</v>
      </c>
      <c r="AG73" s="1048"/>
      <c r="AH73" s="934"/>
      <c r="AI73" s="934"/>
      <c r="AJ73" s="1074"/>
      <c r="AK73" s="1074"/>
      <c r="AL73" s="1074"/>
      <c r="AM73" s="1074"/>
      <c r="AN73" s="1049">
        <f t="shared" si="63"/>
        <v>0</v>
      </c>
      <c r="AO73" s="1049"/>
      <c r="AP73" s="1049"/>
      <c r="AQ73" s="1049"/>
      <c r="AR73" s="1049"/>
      <c r="AS73" s="934"/>
      <c r="AT73" s="934"/>
      <c r="AU73" s="934">
        <f t="shared" si="64"/>
        <v>0</v>
      </c>
      <c r="AV73" s="934"/>
      <c r="AW73" s="934"/>
      <c r="AX73" s="934"/>
      <c r="AY73" s="934">
        <v>2</v>
      </c>
      <c r="AZ73" s="934"/>
      <c r="BA73" s="934">
        <f t="shared" si="58"/>
        <v>0</v>
      </c>
      <c r="BB73" s="1061">
        <f t="shared" si="59"/>
        <v>56.1</v>
      </c>
      <c r="BC73" s="934"/>
      <c r="BD73" s="934">
        <f t="shared" si="60"/>
        <v>0</v>
      </c>
      <c r="BE73" s="934"/>
      <c r="BF73" s="934">
        <v>2</v>
      </c>
      <c r="BG73" s="934"/>
      <c r="BH73" s="934">
        <v>1</v>
      </c>
      <c r="BI73" s="934"/>
      <c r="BJ73" s="934"/>
      <c r="BK73" s="934"/>
      <c r="BL73" s="934">
        <v>2</v>
      </c>
      <c r="BM73" s="934"/>
      <c r="BN73" s="934"/>
      <c r="BO73" s="1048"/>
      <c r="BP73" s="1048"/>
      <c r="BQ73" s="1048"/>
      <c r="BR73" s="1048"/>
      <c r="BS73" s="1048"/>
      <c r="BT73" s="934"/>
      <c r="BU73" s="934"/>
      <c r="BV73" s="934"/>
      <c r="BW73" s="934"/>
      <c r="BX73" s="934"/>
      <c r="BY73" s="1076"/>
      <c r="BZ73" s="1077"/>
      <c r="CA73" s="1072"/>
    </row>
    <row r="74" spans="4:79" s="977" customFormat="1" ht="21.6">
      <c r="E74" s="1056" t="s">
        <v>618</v>
      </c>
      <c r="F74" s="1073" t="s">
        <v>374</v>
      </c>
      <c r="G74" s="1073" t="s">
        <v>374</v>
      </c>
      <c r="H74" s="1066">
        <v>59.3</v>
      </c>
      <c r="I74" s="1065">
        <f t="shared" si="61"/>
        <v>59.3</v>
      </c>
      <c r="J74" s="1066">
        <f t="shared" si="55"/>
        <v>59.3</v>
      </c>
      <c r="K74" s="1066"/>
      <c r="L74" s="1065">
        <f t="shared" si="56"/>
        <v>59.3</v>
      </c>
      <c r="M74" s="1178"/>
      <c r="N74" s="1057"/>
      <c r="O74" s="1058">
        <f t="shared" si="57"/>
        <v>0</v>
      </c>
      <c r="P74" s="934"/>
      <c r="Q74" s="934"/>
      <c r="R74" s="934">
        <v>1</v>
      </c>
      <c r="S74" s="934"/>
      <c r="T74" s="934"/>
      <c r="U74" s="934"/>
      <c r="V74" s="934"/>
      <c r="W74" s="934">
        <v>2</v>
      </c>
      <c r="X74" s="934"/>
      <c r="Y74" s="934"/>
      <c r="Z74" s="934"/>
      <c r="AA74" s="934">
        <v>1</v>
      </c>
      <c r="AB74" s="934"/>
      <c r="AC74" s="934"/>
      <c r="AD74" s="1048"/>
      <c r="AE74" s="1048"/>
      <c r="AF74" s="1048">
        <f t="shared" si="62"/>
        <v>0</v>
      </c>
      <c r="AG74" s="1048"/>
      <c r="AH74" s="934"/>
      <c r="AI74" s="934"/>
      <c r="AJ74" s="1074"/>
      <c r="AK74" s="1074"/>
      <c r="AL74" s="1074"/>
      <c r="AM74" s="1074"/>
      <c r="AN74" s="1049">
        <f t="shared" si="63"/>
        <v>0</v>
      </c>
      <c r="AO74" s="1049"/>
      <c r="AP74" s="1049"/>
      <c r="AQ74" s="1049"/>
      <c r="AR74" s="1049"/>
      <c r="AS74" s="934"/>
      <c r="AT74" s="934"/>
      <c r="AU74" s="934">
        <f t="shared" si="64"/>
        <v>0</v>
      </c>
      <c r="AV74" s="934"/>
      <c r="AW74" s="934"/>
      <c r="AX74" s="934"/>
      <c r="AY74" s="934">
        <v>2</v>
      </c>
      <c r="AZ74" s="934"/>
      <c r="BA74" s="934">
        <f t="shared" si="58"/>
        <v>0</v>
      </c>
      <c r="BB74" s="1061">
        <f t="shared" si="59"/>
        <v>59.3</v>
      </c>
      <c r="BC74" s="934"/>
      <c r="BD74" s="934">
        <f t="shared" si="60"/>
        <v>0</v>
      </c>
      <c r="BE74" s="934"/>
      <c r="BF74" s="934">
        <v>2</v>
      </c>
      <c r="BG74" s="934"/>
      <c r="BH74" s="934"/>
      <c r="BI74" s="934">
        <v>1</v>
      </c>
      <c r="BJ74" s="934"/>
      <c r="BK74" s="934"/>
      <c r="BL74" s="934">
        <v>2</v>
      </c>
      <c r="BM74" s="934"/>
      <c r="BN74" s="934"/>
      <c r="BO74" s="1048"/>
      <c r="BP74" s="1048"/>
      <c r="BQ74" s="1048"/>
      <c r="BR74" s="1048"/>
      <c r="BS74" s="1048"/>
      <c r="BT74" s="934"/>
      <c r="BU74" s="934"/>
      <c r="BV74" s="934"/>
      <c r="BW74" s="934"/>
      <c r="BX74" s="934"/>
      <c r="BY74" s="1076"/>
      <c r="BZ74" s="1077"/>
      <c r="CA74" s="1072"/>
    </row>
    <row r="75" spans="4:79" s="977" customFormat="1" ht="21.6">
      <c r="E75" s="1056" t="s">
        <v>619</v>
      </c>
      <c r="F75" s="1073" t="s">
        <v>374</v>
      </c>
      <c r="G75" s="1073" t="s">
        <v>374</v>
      </c>
      <c r="H75" s="1066">
        <v>61.9</v>
      </c>
      <c r="I75" s="1065">
        <f t="shared" si="61"/>
        <v>61.9</v>
      </c>
      <c r="J75" s="1066">
        <f t="shared" si="55"/>
        <v>61.9</v>
      </c>
      <c r="K75" s="1066"/>
      <c r="L75" s="1065">
        <f t="shared" si="56"/>
        <v>61.9</v>
      </c>
      <c r="M75" s="1178"/>
      <c r="N75" s="1057"/>
      <c r="O75" s="1058">
        <f t="shared" si="57"/>
        <v>0</v>
      </c>
      <c r="P75" s="934"/>
      <c r="Q75" s="934">
        <v>1</v>
      </c>
      <c r="R75" s="934"/>
      <c r="S75" s="934"/>
      <c r="T75" s="934"/>
      <c r="U75" s="934"/>
      <c r="V75" s="934"/>
      <c r="W75" s="934">
        <v>2</v>
      </c>
      <c r="X75" s="934"/>
      <c r="Y75" s="934"/>
      <c r="Z75" s="934"/>
      <c r="AA75" s="934">
        <v>1</v>
      </c>
      <c r="AB75" s="934"/>
      <c r="AC75" s="934"/>
      <c r="AD75" s="1048"/>
      <c r="AE75" s="1048"/>
      <c r="AF75" s="1048">
        <f t="shared" si="62"/>
        <v>0</v>
      </c>
      <c r="AG75" s="1048"/>
      <c r="AH75" s="934"/>
      <c r="AI75" s="934"/>
      <c r="AJ75" s="1074">
        <v>1</v>
      </c>
      <c r="AK75" s="1074">
        <v>1</v>
      </c>
      <c r="AL75" s="1074"/>
      <c r="AM75" s="1074"/>
      <c r="AN75" s="1049">
        <f t="shared" si="63"/>
        <v>1</v>
      </c>
      <c r="AO75" s="1049"/>
      <c r="AP75" s="1049"/>
      <c r="AQ75" s="1049"/>
      <c r="AR75" s="1049"/>
      <c r="AS75" s="934"/>
      <c r="AT75" s="934"/>
      <c r="AU75" s="934">
        <f t="shared" si="64"/>
        <v>0</v>
      </c>
      <c r="AV75" s="934"/>
      <c r="AW75" s="934"/>
      <c r="AX75" s="934"/>
      <c r="AY75" s="934">
        <v>2</v>
      </c>
      <c r="AZ75" s="934"/>
      <c r="BA75" s="934">
        <f t="shared" si="58"/>
        <v>0</v>
      </c>
      <c r="BB75" s="1061">
        <f t="shared" si="59"/>
        <v>61.9</v>
      </c>
      <c r="BC75" s="934"/>
      <c r="BD75" s="934">
        <f t="shared" si="60"/>
        <v>0</v>
      </c>
      <c r="BE75" s="934"/>
      <c r="BF75" s="934"/>
      <c r="BG75" s="934"/>
      <c r="BH75" s="934">
        <v>1</v>
      </c>
      <c r="BI75" s="934"/>
      <c r="BJ75" s="934"/>
      <c r="BK75" s="934"/>
      <c r="BL75" s="934">
        <v>2</v>
      </c>
      <c r="BM75" s="934"/>
      <c r="BN75" s="934"/>
      <c r="BO75" s="1048"/>
      <c r="BP75" s="1048"/>
      <c r="BQ75" s="1048"/>
      <c r="BR75" s="1048"/>
      <c r="BS75" s="1048"/>
      <c r="BT75" s="934">
        <v>1</v>
      </c>
      <c r="BU75" s="934"/>
      <c r="BV75" s="934"/>
      <c r="BW75" s="934"/>
      <c r="BX75" s="934"/>
      <c r="BY75" s="1076" t="s">
        <v>866</v>
      </c>
      <c r="BZ75" s="1077"/>
      <c r="CA75" s="1072"/>
    </row>
    <row r="76" spans="4:79" s="977" customFormat="1" ht="21.6">
      <c r="E76" s="1056" t="s">
        <v>620</v>
      </c>
      <c r="F76" s="1073" t="s">
        <v>374</v>
      </c>
      <c r="G76" s="1073" t="s">
        <v>374</v>
      </c>
      <c r="H76" s="1066">
        <v>55.6</v>
      </c>
      <c r="I76" s="1065">
        <f t="shared" si="61"/>
        <v>55.6</v>
      </c>
      <c r="J76" s="1066">
        <f t="shared" si="55"/>
        <v>55.6</v>
      </c>
      <c r="K76" s="1066"/>
      <c r="L76" s="1065">
        <f t="shared" si="56"/>
        <v>55.6</v>
      </c>
      <c r="M76" s="1178"/>
      <c r="N76" s="1057"/>
      <c r="O76" s="1058">
        <f t="shared" si="57"/>
        <v>0</v>
      </c>
      <c r="P76" s="934"/>
      <c r="Q76" s="934"/>
      <c r="R76" s="934">
        <v>1</v>
      </c>
      <c r="S76" s="934"/>
      <c r="T76" s="934"/>
      <c r="U76" s="934"/>
      <c r="V76" s="934"/>
      <c r="W76" s="934">
        <v>2</v>
      </c>
      <c r="X76" s="934"/>
      <c r="Y76" s="934"/>
      <c r="Z76" s="934"/>
      <c r="AA76" s="934">
        <v>1</v>
      </c>
      <c r="AB76" s="934"/>
      <c r="AC76" s="934"/>
      <c r="AD76" s="1048"/>
      <c r="AE76" s="1048"/>
      <c r="AF76" s="1048">
        <f t="shared" si="62"/>
        <v>0</v>
      </c>
      <c r="AG76" s="1048"/>
      <c r="AH76" s="934"/>
      <c r="AI76" s="934"/>
      <c r="AJ76" s="1074"/>
      <c r="AK76" s="1074"/>
      <c r="AL76" s="1074"/>
      <c r="AM76" s="1074"/>
      <c r="AN76" s="1049">
        <f t="shared" si="63"/>
        <v>0</v>
      </c>
      <c r="AO76" s="1049"/>
      <c r="AP76" s="1049"/>
      <c r="AQ76" s="1049"/>
      <c r="AR76" s="1049"/>
      <c r="AS76" s="934"/>
      <c r="AT76" s="934"/>
      <c r="AU76" s="934">
        <f t="shared" si="64"/>
        <v>0</v>
      </c>
      <c r="AV76" s="934"/>
      <c r="AW76" s="934"/>
      <c r="AX76" s="934"/>
      <c r="AY76" s="934">
        <v>2</v>
      </c>
      <c r="AZ76" s="934"/>
      <c r="BA76" s="934">
        <f t="shared" si="58"/>
        <v>0</v>
      </c>
      <c r="BB76" s="1061">
        <f t="shared" si="59"/>
        <v>55.6</v>
      </c>
      <c r="BC76" s="934"/>
      <c r="BD76" s="934">
        <f t="shared" si="60"/>
        <v>0</v>
      </c>
      <c r="BE76" s="934"/>
      <c r="BF76" s="934">
        <v>2</v>
      </c>
      <c r="BG76" s="934"/>
      <c r="BH76" s="934"/>
      <c r="BI76" s="934">
        <v>1</v>
      </c>
      <c r="BJ76" s="934"/>
      <c r="BK76" s="934"/>
      <c r="BL76" s="934">
        <v>2</v>
      </c>
      <c r="BM76" s="934"/>
      <c r="BN76" s="934"/>
      <c r="BO76" s="1048"/>
      <c r="BP76" s="1048"/>
      <c r="BQ76" s="1048"/>
      <c r="BR76" s="1048"/>
      <c r="BS76" s="1048"/>
      <c r="BT76" s="934"/>
      <c r="BU76" s="934"/>
      <c r="BV76" s="934"/>
      <c r="BW76" s="934"/>
      <c r="BX76" s="934"/>
      <c r="BY76" s="1076"/>
      <c r="BZ76" s="1077"/>
      <c r="CA76" s="1072"/>
    </row>
    <row r="77" spans="4:79" s="977" customFormat="1" ht="21.6">
      <c r="E77" s="1056" t="s">
        <v>621</v>
      </c>
      <c r="F77" s="1073" t="s">
        <v>374</v>
      </c>
      <c r="G77" s="1073" t="s">
        <v>374</v>
      </c>
      <c r="H77" s="1066">
        <v>65</v>
      </c>
      <c r="I77" s="1065">
        <f t="shared" si="61"/>
        <v>65</v>
      </c>
      <c r="J77" s="1066">
        <f t="shared" si="55"/>
        <v>65</v>
      </c>
      <c r="K77" s="1066"/>
      <c r="L77" s="1065">
        <f t="shared" si="56"/>
        <v>65</v>
      </c>
      <c r="M77" s="1178"/>
      <c r="N77" s="1057"/>
      <c r="O77" s="1058">
        <f t="shared" si="57"/>
        <v>0</v>
      </c>
      <c r="P77" s="934"/>
      <c r="Q77" s="934">
        <v>1</v>
      </c>
      <c r="R77" s="934"/>
      <c r="S77" s="934"/>
      <c r="T77" s="934"/>
      <c r="U77" s="934"/>
      <c r="V77" s="934"/>
      <c r="W77" s="934">
        <v>2</v>
      </c>
      <c r="X77" s="934"/>
      <c r="Y77" s="934"/>
      <c r="Z77" s="934"/>
      <c r="AA77" s="934">
        <v>1</v>
      </c>
      <c r="AB77" s="934"/>
      <c r="AC77" s="934"/>
      <c r="AD77" s="1048"/>
      <c r="AE77" s="1048"/>
      <c r="AF77" s="1048">
        <f t="shared" si="62"/>
        <v>0</v>
      </c>
      <c r="AG77" s="1048"/>
      <c r="AH77" s="934"/>
      <c r="AI77" s="934"/>
      <c r="AJ77" s="1074"/>
      <c r="AK77" s="1074"/>
      <c r="AL77" s="1074"/>
      <c r="AM77" s="1074"/>
      <c r="AN77" s="1049">
        <f t="shared" si="63"/>
        <v>0</v>
      </c>
      <c r="AO77" s="1049"/>
      <c r="AP77" s="1049"/>
      <c r="AQ77" s="1049"/>
      <c r="AR77" s="1049"/>
      <c r="AS77" s="934"/>
      <c r="AT77" s="934"/>
      <c r="AU77" s="934">
        <f t="shared" si="64"/>
        <v>0</v>
      </c>
      <c r="AV77" s="934"/>
      <c r="AW77" s="934"/>
      <c r="AX77" s="934"/>
      <c r="AY77" s="934">
        <v>2</v>
      </c>
      <c r="AZ77" s="934"/>
      <c r="BA77" s="934">
        <f t="shared" si="58"/>
        <v>0</v>
      </c>
      <c r="BB77" s="1061">
        <f t="shared" si="59"/>
        <v>65</v>
      </c>
      <c r="BC77" s="934"/>
      <c r="BD77" s="934">
        <f t="shared" si="60"/>
        <v>0</v>
      </c>
      <c r="BE77" s="934"/>
      <c r="BF77" s="934">
        <v>2</v>
      </c>
      <c r="BG77" s="934"/>
      <c r="BH77" s="934">
        <v>1</v>
      </c>
      <c r="BI77" s="934"/>
      <c r="BJ77" s="934"/>
      <c r="BK77" s="934"/>
      <c r="BL77" s="934">
        <v>2</v>
      </c>
      <c r="BM77" s="934"/>
      <c r="BN77" s="934"/>
      <c r="BO77" s="1048"/>
      <c r="BP77" s="1048"/>
      <c r="BQ77" s="1048"/>
      <c r="BR77" s="1048"/>
      <c r="BS77" s="1048"/>
      <c r="BT77" s="934"/>
      <c r="BU77" s="934"/>
      <c r="BV77" s="934"/>
      <c r="BW77" s="934"/>
      <c r="BX77" s="934"/>
      <c r="BY77" s="1076"/>
      <c r="BZ77" s="1077"/>
      <c r="CA77" s="1072"/>
    </row>
    <row r="78" spans="4:79" s="977" customFormat="1" ht="21.6">
      <c r="E78" s="1056" t="s">
        <v>622</v>
      </c>
      <c r="F78" s="1073" t="s">
        <v>80</v>
      </c>
      <c r="G78" s="1073" t="s">
        <v>148</v>
      </c>
      <c r="H78" s="1066">
        <v>55.8</v>
      </c>
      <c r="I78" s="1065">
        <f t="shared" si="61"/>
        <v>55.8</v>
      </c>
      <c r="J78" s="1066">
        <f t="shared" si="55"/>
        <v>55.8</v>
      </c>
      <c r="K78" s="1066"/>
      <c r="L78" s="1065">
        <f t="shared" si="56"/>
        <v>55.8</v>
      </c>
      <c r="M78" s="1178"/>
      <c r="N78" s="1057"/>
      <c r="O78" s="1058">
        <f t="shared" si="57"/>
        <v>0</v>
      </c>
      <c r="P78" s="934"/>
      <c r="Q78" s="934">
        <v>2</v>
      </c>
      <c r="R78" s="934"/>
      <c r="S78" s="934">
        <v>2</v>
      </c>
      <c r="T78" s="934"/>
      <c r="U78" s="934">
        <v>1</v>
      </c>
      <c r="V78" s="934"/>
      <c r="W78" s="934">
        <v>1</v>
      </c>
      <c r="X78" s="934"/>
      <c r="Y78" s="934">
        <v>1</v>
      </c>
      <c r="Z78" s="934"/>
      <c r="AA78" s="934"/>
      <c r="AB78" s="934"/>
      <c r="AC78" s="934"/>
      <c r="AD78" s="1048">
        <v>2</v>
      </c>
      <c r="AE78" s="1048"/>
      <c r="AF78" s="1048">
        <f t="shared" si="62"/>
        <v>2</v>
      </c>
      <c r="AG78" s="1048"/>
      <c r="AH78" s="934"/>
      <c r="AI78" s="934"/>
      <c r="AJ78" s="1074"/>
      <c r="AK78" s="1074"/>
      <c r="AL78" s="1074"/>
      <c r="AM78" s="1074"/>
      <c r="AN78" s="1049">
        <f t="shared" si="63"/>
        <v>0</v>
      </c>
      <c r="AO78" s="1049"/>
      <c r="AP78" s="1049"/>
      <c r="AQ78" s="1049"/>
      <c r="AR78" s="1049"/>
      <c r="AS78" s="934">
        <v>0.5</v>
      </c>
      <c r="AT78" s="934"/>
      <c r="AU78" s="934">
        <f t="shared" si="64"/>
        <v>0.5</v>
      </c>
      <c r="AV78" s="934"/>
      <c r="AW78" s="934"/>
      <c r="AX78" s="934">
        <v>1</v>
      </c>
      <c r="AY78" s="934"/>
      <c r="AZ78" s="934"/>
      <c r="BA78" s="934">
        <f t="shared" si="58"/>
        <v>0</v>
      </c>
      <c r="BB78" s="1061">
        <f t="shared" si="59"/>
        <v>55.8</v>
      </c>
      <c r="BC78" s="934"/>
      <c r="BD78" s="934">
        <f t="shared" si="60"/>
        <v>0</v>
      </c>
      <c r="BE78" s="934">
        <v>2</v>
      </c>
      <c r="BF78" s="934"/>
      <c r="BG78" s="934"/>
      <c r="BH78" s="934"/>
      <c r="BI78" s="934"/>
      <c r="BJ78" s="934"/>
      <c r="BK78" s="934"/>
      <c r="BL78" s="934">
        <v>1</v>
      </c>
      <c r="BM78" s="934"/>
      <c r="BN78" s="934"/>
      <c r="BO78" s="1048"/>
      <c r="BP78" s="1048"/>
      <c r="BQ78" s="1048"/>
      <c r="BR78" s="1048"/>
      <c r="BS78" s="1048"/>
      <c r="BT78" s="934"/>
      <c r="BU78" s="934"/>
      <c r="BV78" s="934"/>
      <c r="BW78" s="934"/>
      <c r="BX78" s="934"/>
      <c r="BY78" s="1076" t="s">
        <v>867</v>
      </c>
      <c r="BZ78" s="1077"/>
      <c r="CA78" s="1072"/>
    </row>
    <row r="79" spans="4:79" s="977" customFormat="1" ht="21.6">
      <c r="E79" s="1056" t="s">
        <v>623</v>
      </c>
      <c r="F79" s="1073" t="s">
        <v>374</v>
      </c>
      <c r="G79" s="1073" t="s">
        <v>374</v>
      </c>
      <c r="H79" s="1066">
        <v>60</v>
      </c>
      <c r="I79" s="1065">
        <f t="shared" si="61"/>
        <v>60</v>
      </c>
      <c r="J79" s="1066">
        <f t="shared" si="55"/>
        <v>60</v>
      </c>
      <c r="K79" s="1066"/>
      <c r="L79" s="1065">
        <f t="shared" si="56"/>
        <v>60</v>
      </c>
      <c r="M79" s="1178"/>
      <c r="N79" s="1057"/>
      <c r="O79" s="1058">
        <f t="shared" si="57"/>
        <v>0</v>
      </c>
      <c r="P79" s="934"/>
      <c r="Q79" s="934">
        <v>1</v>
      </c>
      <c r="R79" s="934"/>
      <c r="S79" s="934"/>
      <c r="T79" s="934"/>
      <c r="U79" s="934"/>
      <c r="V79" s="934"/>
      <c r="W79" s="934"/>
      <c r="X79" s="934"/>
      <c r="Y79" s="934"/>
      <c r="Z79" s="934">
        <v>1</v>
      </c>
      <c r="AA79" s="934"/>
      <c r="AB79" s="934"/>
      <c r="AC79" s="934"/>
      <c r="AD79" s="1048"/>
      <c r="AE79" s="1048"/>
      <c r="AF79" s="1048">
        <f t="shared" si="62"/>
        <v>0</v>
      </c>
      <c r="AG79" s="1048"/>
      <c r="AH79" s="934"/>
      <c r="AI79" s="934"/>
      <c r="AJ79" s="1074"/>
      <c r="AK79" s="1074"/>
      <c r="AL79" s="1074"/>
      <c r="AM79" s="1074"/>
      <c r="AN79" s="1049">
        <f t="shared" si="63"/>
        <v>0</v>
      </c>
      <c r="AO79" s="1049"/>
      <c r="AP79" s="1049"/>
      <c r="AQ79" s="1049"/>
      <c r="AR79" s="1049"/>
      <c r="AS79" s="934"/>
      <c r="AT79" s="934"/>
      <c r="AU79" s="934">
        <f t="shared" si="64"/>
        <v>0</v>
      </c>
      <c r="AV79" s="934"/>
      <c r="AW79" s="934"/>
      <c r="AX79" s="934"/>
      <c r="AY79" s="934">
        <v>2</v>
      </c>
      <c r="AZ79" s="934"/>
      <c r="BA79" s="934">
        <f t="shared" si="58"/>
        <v>0</v>
      </c>
      <c r="BB79" s="1061">
        <f t="shared" si="59"/>
        <v>60</v>
      </c>
      <c r="BC79" s="934"/>
      <c r="BD79" s="934">
        <f t="shared" si="60"/>
        <v>0</v>
      </c>
      <c r="BE79" s="934"/>
      <c r="BF79" s="934">
        <v>2</v>
      </c>
      <c r="BG79" s="934"/>
      <c r="BH79" s="934">
        <v>1</v>
      </c>
      <c r="BI79" s="934"/>
      <c r="BJ79" s="934"/>
      <c r="BK79" s="934"/>
      <c r="BL79" s="934">
        <v>2</v>
      </c>
      <c r="BM79" s="934"/>
      <c r="BN79" s="934">
        <v>2</v>
      </c>
      <c r="BO79" s="1048"/>
      <c r="BP79" s="1048"/>
      <c r="BQ79" s="1048"/>
      <c r="BR79" s="1048"/>
      <c r="BS79" s="1048"/>
      <c r="BT79" s="934"/>
      <c r="BU79" s="934"/>
      <c r="BV79" s="934"/>
      <c r="BW79" s="934"/>
      <c r="BX79" s="934"/>
      <c r="BY79" s="1076"/>
      <c r="BZ79" s="1077"/>
      <c r="CA79" s="1072"/>
    </row>
    <row r="80" spans="4:79" s="977" customFormat="1" ht="21.6">
      <c r="E80" s="1056" t="s">
        <v>624</v>
      </c>
      <c r="F80" s="1073" t="s">
        <v>374</v>
      </c>
      <c r="G80" s="1073" t="s">
        <v>374</v>
      </c>
      <c r="H80" s="1066">
        <v>65.2</v>
      </c>
      <c r="I80" s="1065">
        <f t="shared" si="61"/>
        <v>65.2</v>
      </c>
      <c r="J80" s="1066">
        <f t="shared" si="55"/>
        <v>65.2</v>
      </c>
      <c r="K80" s="1066"/>
      <c r="L80" s="1065">
        <f t="shared" si="56"/>
        <v>65.2</v>
      </c>
      <c r="M80" s="1178"/>
      <c r="N80" s="1057"/>
      <c r="O80" s="1058">
        <f t="shared" si="57"/>
        <v>0</v>
      </c>
      <c r="P80" s="934"/>
      <c r="Q80" s="934"/>
      <c r="R80" s="934">
        <v>1</v>
      </c>
      <c r="S80" s="934"/>
      <c r="T80" s="934"/>
      <c r="U80" s="934"/>
      <c r="V80" s="934"/>
      <c r="W80" s="934">
        <v>2</v>
      </c>
      <c r="X80" s="934"/>
      <c r="Y80" s="934"/>
      <c r="Z80" s="934"/>
      <c r="AA80" s="934">
        <v>1</v>
      </c>
      <c r="AB80" s="934"/>
      <c r="AC80" s="934"/>
      <c r="AD80" s="1048"/>
      <c r="AE80" s="1048"/>
      <c r="AF80" s="1048">
        <f t="shared" si="62"/>
        <v>0</v>
      </c>
      <c r="AG80" s="1048"/>
      <c r="AH80" s="934"/>
      <c r="AI80" s="934"/>
      <c r="AJ80" s="1074"/>
      <c r="AK80" s="1074"/>
      <c r="AL80" s="1074"/>
      <c r="AM80" s="1074"/>
      <c r="AN80" s="1049">
        <f t="shared" si="63"/>
        <v>0</v>
      </c>
      <c r="AO80" s="1049"/>
      <c r="AP80" s="1049"/>
      <c r="AQ80" s="1049"/>
      <c r="AR80" s="1049"/>
      <c r="AS80" s="934"/>
      <c r="AT80" s="934"/>
      <c r="AU80" s="934">
        <f t="shared" si="64"/>
        <v>0</v>
      </c>
      <c r="AV80" s="934"/>
      <c r="AW80" s="934"/>
      <c r="AX80" s="934"/>
      <c r="AY80" s="934">
        <v>2</v>
      </c>
      <c r="AZ80" s="934"/>
      <c r="BA80" s="934">
        <f t="shared" si="58"/>
        <v>0</v>
      </c>
      <c r="BB80" s="1061">
        <f t="shared" si="59"/>
        <v>65.2</v>
      </c>
      <c r="BC80" s="934"/>
      <c r="BD80" s="934">
        <f t="shared" si="60"/>
        <v>0</v>
      </c>
      <c r="BE80" s="934"/>
      <c r="BF80" s="934">
        <v>2</v>
      </c>
      <c r="BG80" s="934"/>
      <c r="BH80" s="934"/>
      <c r="BI80" s="934">
        <v>1</v>
      </c>
      <c r="BJ80" s="934"/>
      <c r="BK80" s="934"/>
      <c r="BL80" s="934">
        <v>2</v>
      </c>
      <c r="BM80" s="934"/>
      <c r="BN80" s="934"/>
      <c r="BO80" s="1048"/>
      <c r="BP80" s="1048"/>
      <c r="BQ80" s="1048"/>
      <c r="BR80" s="1048"/>
      <c r="BS80" s="1048"/>
      <c r="BT80" s="934"/>
      <c r="BU80" s="934"/>
      <c r="BV80" s="934"/>
      <c r="BW80" s="934"/>
      <c r="BX80" s="934"/>
      <c r="BY80" s="1076"/>
      <c r="BZ80" s="1077"/>
      <c r="CA80" s="1072"/>
    </row>
    <row r="81" spans="4:79" s="977" customFormat="1" ht="21.6">
      <c r="E81" s="1056" t="s">
        <v>625</v>
      </c>
      <c r="F81" s="1073" t="s">
        <v>374</v>
      </c>
      <c r="G81" s="1073" t="s">
        <v>374</v>
      </c>
      <c r="H81" s="1066">
        <v>60.1</v>
      </c>
      <c r="I81" s="1065">
        <f t="shared" si="61"/>
        <v>60.1</v>
      </c>
      <c r="J81" s="1066">
        <f t="shared" si="55"/>
        <v>60.1</v>
      </c>
      <c r="K81" s="1066"/>
      <c r="L81" s="1065">
        <f t="shared" si="56"/>
        <v>60.1</v>
      </c>
      <c r="M81" s="1178"/>
      <c r="N81" s="1057"/>
      <c r="O81" s="1058">
        <f t="shared" si="57"/>
        <v>0</v>
      </c>
      <c r="P81" s="934"/>
      <c r="Q81" s="934"/>
      <c r="R81" s="934">
        <v>1</v>
      </c>
      <c r="S81" s="934"/>
      <c r="T81" s="934"/>
      <c r="U81" s="934"/>
      <c r="V81" s="934"/>
      <c r="W81" s="934">
        <v>2</v>
      </c>
      <c r="X81" s="934"/>
      <c r="Y81" s="934"/>
      <c r="Z81" s="934"/>
      <c r="AA81" s="934">
        <v>1</v>
      </c>
      <c r="AB81" s="934"/>
      <c r="AC81" s="934"/>
      <c r="AD81" s="1048"/>
      <c r="AE81" s="1048"/>
      <c r="AF81" s="1048">
        <f t="shared" si="62"/>
        <v>0</v>
      </c>
      <c r="AG81" s="1048"/>
      <c r="AH81" s="934"/>
      <c r="AI81" s="934"/>
      <c r="AJ81" s="1074"/>
      <c r="AK81" s="1074"/>
      <c r="AL81" s="1074"/>
      <c r="AM81" s="1074"/>
      <c r="AN81" s="1049">
        <f t="shared" si="63"/>
        <v>0</v>
      </c>
      <c r="AO81" s="1049"/>
      <c r="AP81" s="1049"/>
      <c r="AQ81" s="1049"/>
      <c r="AR81" s="1049"/>
      <c r="AS81" s="934"/>
      <c r="AT81" s="934"/>
      <c r="AU81" s="934">
        <f t="shared" si="64"/>
        <v>0</v>
      </c>
      <c r="AV81" s="934"/>
      <c r="AW81" s="934"/>
      <c r="AX81" s="934"/>
      <c r="AY81" s="934">
        <v>2</v>
      </c>
      <c r="AZ81" s="934"/>
      <c r="BA81" s="934">
        <f t="shared" si="58"/>
        <v>0</v>
      </c>
      <c r="BB81" s="1061">
        <f t="shared" si="59"/>
        <v>60.1</v>
      </c>
      <c r="BC81" s="934"/>
      <c r="BD81" s="934">
        <f t="shared" si="60"/>
        <v>0</v>
      </c>
      <c r="BE81" s="934"/>
      <c r="BF81" s="934">
        <v>2</v>
      </c>
      <c r="BG81" s="934"/>
      <c r="BH81" s="934"/>
      <c r="BI81" s="934">
        <v>1</v>
      </c>
      <c r="BJ81" s="934"/>
      <c r="BK81" s="934"/>
      <c r="BL81" s="934">
        <v>2</v>
      </c>
      <c r="BM81" s="934"/>
      <c r="BN81" s="934"/>
      <c r="BO81" s="1048"/>
      <c r="BP81" s="1048"/>
      <c r="BQ81" s="1048"/>
      <c r="BR81" s="1048"/>
      <c r="BS81" s="1048"/>
      <c r="BT81" s="934"/>
      <c r="BU81" s="934"/>
      <c r="BV81" s="934"/>
      <c r="BW81" s="934"/>
      <c r="BX81" s="934"/>
      <c r="BY81" s="1076"/>
      <c r="BZ81" s="1077"/>
      <c r="CA81" s="1072"/>
    </row>
    <row r="82" spans="4:79" s="977" customFormat="1" ht="21.6">
      <c r="E82" s="1056" t="s">
        <v>626</v>
      </c>
      <c r="F82" s="1073" t="s">
        <v>374</v>
      </c>
      <c r="G82" s="1073" t="s">
        <v>374</v>
      </c>
      <c r="H82" s="1066">
        <v>59</v>
      </c>
      <c r="I82" s="1065">
        <f t="shared" si="61"/>
        <v>59</v>
      </c>
      <c r="J82" s="1066">
        <f t="shared" si="55"/>
        <v>59</v>
      </c>
      <c r="K82" s="1066"/>
      <c r="L82" s="1065">
        <f t="shared" si="56"/>
        <v>59</v>
      </c>
      <c r="M82" s="1178"/>
      <c r="N82" s="1057"/>
      <c r="O82" s="1058">
        <f t="shared" si="57"/>
        <v>0</v>
      </c>
      <c r="P82" s="934"/>
      <c r="Q82" s="934">
        <v>1</v>
      </c>
      <c r="R82" s="934"/>
      <c r="S82" s="934"/>
      <c r="T82" s="934"/>
      <c r="U82" s="934"/>
      <c r="V82" s="934"/>
      <c r="W82" s="934">
        <v>2</v>
      </c>
      <c r="X82" s="934"/>
      <c r="Y82" s="934"/>
      <c r="Z82" s="934"/>
      <c r="AA82" s="934">
        <v>1</v>
      </c>
      <c r="AB82" s="934"/>
      <c r="AC82" s="934"/>
      <c r="AD82" s="1048"/>
      <c r="AE82" s="1048"/>
      <c r="AF82" s="1048">
        <f t="shared" si="62"/>
        <v>0</v>
      </c>
      <c r="AG82" s="1048"/>
      <c r="AH82" s="934"/>
      <c r="AI82" s="934"/>
      <c r="AJ82" s="1074"/>
      <c r="AK82" s="1074"/>
      <c r="AL82" s="1074"/>
      <c r="AM82" s="1074"/>
      <c r="AN82" s="1049">
        <f t="shared" si="63"/>
        <v>0</v>
      </c>
      <c r="AO82" s="1049"/>
      <c r="AP82" s="1049"/>
      <c r="AQ82" s="1049"/>
      <c r="AR82" s="1049"/>
      <c r="AS82" s="934"/>
      <c r="AT82" s="934"/>
      <c r="AU82" s="934">
        <f t="shared" si="64"/>
        <v>0</v>
      </c>
      <c r="AV82" s="934"/>
      <c r="AW82" s="934"/>
      <c r="AX82" s="934"/>
      <c r="AY82" s="934">
        <v>2</v>
      </c>
      <c r="AZ82" s="934"/>
      <c r="BA82" s="934">
        <f t="shared" si="58"/>
        <v>0</v>
      </c>
      <c r="BB82" s="1061">
        <f t="shared" si="59"/>
        <v>59</v>
      </c>
      <c r="BC82" s="934"/>
      <c r="BD82" s="934">
        <f t="shared" si="60"/>
        <v>0</v>
      </c>
      <c r="BE82" s="934"/>
      <c r="BF82" s="934">
        <v>2</v>
      </c>
      <c r="BG82" s="934"/>
      <c r="BH82" s="934">
        <v>1</v>
      </c>
      <c r="BI82" s="934"/>
      <c r="BJ82" s="934"/>
      <c r="BK82" s="934"/>
      <c r="BL82" s="934">
        <v>2</v>
      </c>
      <c r="BM82" s="934"/>
      <c r="BN82" s="934"/>
      <c r="BO82" s="1048"/>
      <c r="BP82" s="1048"/>
      <c r="BQ82" s="1048"/>
      <c r="BR82" s="1048"/>
      <c r="BS82" s="1048"/>
      <c r="BT82" s="934"/>
      <c r="BU82" s="934"/>
      <c r="BV82" s="934"/>
      <c r="BW82" s="934"/>
      <c r="BX82" s="934"/>
      <c r="BY82" s="1227"/>
      <c r="BZ82" s="1077"/>
      <c r="CA82" s="1072"/>
    </row>
    <row r="83" spans="4:79" s="977" customFormat="1" ht="21.6">
      <c r="E83" s="1056" t="s">
        <v>627</v>
      </c>
      <c r="F83" s="1073" t="s">
        <v>374</v>
      </c>
      <c r="G83" s="1073" t="s">
        <v>374</v>
      </c>
      <c r="H83" s="1066">
        <v>60.7</v>
      </c>
      <c r="I83" s="1065">
        <f t="shared" si="61"/>
        <v>60.7</v>
      </c>
      <c r="J83" s="1066">
        <f t="shared" si="55"/>
        <v>60.7</v>
      </c>
      <c r="K83" s="1066"/>
      <c r="L83" s="1065">
        <f t="shared" si="56"/>
        <v>60.7</v>
      </c>
      <c r="M83" s="1178"/>
      <c r="N83" s="1057"/>
      <c r="O83" s="1058">
        <f t="shared" si="57"/>
        <v>0</v>
      </c>
      <c r="P83" s="934"/>
      <c r="Q83" s="934"/>
      <c r="R83" s="934">
        <v>1</v>
      </c>
      <c r="S83" s="934"/>
      <c r="T83" s="934"/>
      <c r="U83" s="934"/>
      <c r="V83" s="934"/>
      <c r="W83" s="934">
        <v>2</v>
      </c>
      <c r="X83" s="934"/>
      <c r="Y83" s="934"/>
      <c r="Z83" s="934"/>
      <c r="AA83" s="934">
        <v>1</v>
      </c>
      <c r="AB83" s="934"/>
      <c r="AC83" s="934"/>
      <c r="AD83" s="1048"/>
      <c r="AE83" s="1048"/>
      <c r="AF83" s="1048">
        <f t="shared" si="62"/>
        <v>0</v>
      </c>
      <c r="AG83" s="1048"/>
      <c r="AH83" s="934"/>
      <c r="AI83" s="934"/>
      <c r="AJ83" s="1074"/>
      <c r="AK83" s="1074"/>
      <c r="AL83" s="1074"/>
      <c r="AM83" s="1074"/>
      <c r="AN83" s="1049">
        <f t="shared" si="63"/>
        <v>0</v>
      </c>
      <c r="AO83" s="1049"/>
      <c r="AP83" s="1049"/>
      <c r="AQ83" s="1049"/>
      <c r="AR83" s="1049"/>
      <c r="AS83" s="934"/>
      <c r="AT83" s="934"/>
      <c r="AU83" s="934">
        <f t="shared" si="64"/>
        <v>0</v>
      </c>
      <c r="AV83" s="934"/>
      <c r="AW83" s="934"/>
      <c r="AX83" s="934"/>
      <c r="AY83" s="934">
        <v>2</v>
      </c>
      <c r="AZ83" s="934"/>
      <c r="BA83" s="934">
        <f t="shared" si="58"/>
        <v>0</v>
      </c>
      <c r="BB83" s="1061">
        <f t="shared" si="59"/>
        <v>60.7</v>
      </c>
      <c r="BC83" s="934"/>
      <c r="BD83" s="934">
        <f t="shared" si="60"/>
        <v>0</v>
      </c>
      <c r="BE83" s="934"/>
      <c r="BF83" s="934">
        <v>2</v>
      </c>
      <c r="BG83" s="934"/>
      <c r="BH83" s="934"/>
      <c r="BI83" s="934">
        <v>1</v>
      </c>
      <c r="BJ83" s="934"/>
      <c r="BK83" s="934"/>
      <c r="BL83" s="934">
        <v>2</v>
      </c>
      <c r="BM83" s="934"/>
      <c r="BN83" s="934"/>
      <c r="BO83" s="1048"/>
      <c r="BP83" s="1048"/>
      <c r="BQ83" s="1048"/>
      <c r="BR83" s="1048"/>
      <c r="BS83" s="1048"/>
      <c r="BT83" s="934"/>
      <c r="BU83" s="934"/>
      <c r="BV83" s="934"/>
      <c r="BW83" s="934"/>
      <c r="BX83" s="934"/>
      <c r="BY83" s="1227"/>
      <c r="BZ83" s="1077"/>
      <c r="CA83" s="1072"/>
    </row>
    <row r="84" spans="4:79" s="977" customFormat="1" ht="21.6">
      <c r="E84" s="1056" t="s">
        <v>657</v>
      </c>
      <c r="F84" s="1073" t="s">
        <v>374</v>
      </c>
      <c r="G84" s="1073" t="s">
        <v>374</v>
      </c>
      <c r="H84" s="1066">
        <v>68</v>
      </c>
      <c r="I84" s="1065">
        <f t="shared" si="61"/>
        <v>68</v>
      </c>
      <c r="J84" s="1066">
        <f t="shared" si="55"/>
        <v>68</v>
      </c>
      <c r="K84" s="1066"/>
      <c r="L84" s="1065">
        <f t="shared" si="56"/>
        <v>68</v>
      </c>
      <c r="M84" s="1178"/>
      <c r="N84" s="1057"/>
      <c r="O84" s="1058">
        <f t="shared" si="57"/>
        <v>0</v>
      </c>
      <c r="P84" s="934"/>
      <c r="Q84" s="934">
        <v>1</v>
      </c>
      <c r="R84" s="934"/>
      <c r="S84" s="934"/>
      <c r="T84" s="934"/>
      <c r="U84" s="934"/>
      <c r="V84" s="934"/>
      <c r="W84" s="934">
        <v>2</v>
      </c>
      <c r="X84" s="934"/>
      <c r="Y84" s="934"/>
      <c r="Z84" s="934"/>
      <c r="AA84" s="934">
        <v>1</v>
      </c>
      <c r="AB84" s="934"/>
      <c r="AC84" s="934"/>
      <c r="AD84" s="1048"/>
      <c r="AE84" s="1048"/>
      <c r="AF84" s="1048">
        <f t="shared" si="62"/>
        <v>0</v>
      </c>
      <c r="AG84" s="1048"/>
      <c r="AH84" s="934"/>
      <c r="AI84" s="934"/>
      <c r="AJ84" s="1074"/>
      <c r="AK84" s="1074"/>
      <c r="AL84" s="1074"/>
      <c r="AM84" s="1074"/>
      <c r="AN84" s="1049">
        <f t="shared" si="63"/>
        <v>0</v>
      </c>
      <c r="AO84" s="1049"/>
      <c r="AP84" s="1049"/>
      <c r="AQ84" s="1049"/>
      <c r="AR84" s="1049"/>
      <c r="AS84" s="934"/>
      <c r="AT84" s="934"/>
      <c r="AU84" s="934">
        <f t="shared" si="64"/>
        <v>0</v>
      </c>
      <c r="AV84" s="934"/>
      <c r="AW84" s="934"/>
      <c r="AX84" s="934"/>
      <c r="AY84" s="934">
        <v>2</v>
      </c>
      <c r="AZ84" s="934"/>
      <c r="BA84" s="934">
        <f t="shared" si="58"/>
        <v>0</v>
      </c>
      <c r="BB84" s="1061">
        <f t="shared" si="59"/>
        <v>68</v>
      </c>
      <c r="BC84" s="934"/>
      <c r="BD84" s="934">
        <f t="shared" si="60"/>
        <v>0</v>
      </c>
      <c r="BE84" s="934"/>
      <c r="BF84" s="934">
        <v>2</v>
      </c>
      <c r="BG84" s="934"/>
      <c r="BH84" s="934">
        <v>1</v>
      </c>
      <c r="BI84" s="934"/>
      <c r="BJ84" s="934"/>
      <c r="BK84" s="934"/>
      <c r="BL84" s="934">
        <v>2</v>
      </c>
      <c r="BM84" s="934"/>
      <c r="BN84" s="934"/>
      <c r="BO84" s="1048"/>
      <c r="BP84" s="1048"/>
      <c r="BQ84" s="1048"/>
      <c r="BR84" s="1048"/>
      <c r="BS84" s="1048"/>
      <c r="BT84" s="934"/>
      <c r="BU84" s="934"/>
      <c r="BV84" s="934"/>
      <c r="BW84" s="934"/>
      <c r="BX84" s="934"/>
      <c r="BY84" s="1227"/>
      <c r="BZ84" s="1228"/>
      <c r="CA84" s="1072"/>
    </row>
    <row r="85" spans="4:79" s="977" customFormat="1" ht="21.6">
      <c r="E85" s="1056" t="s">
        <v>658</v>
      </c>
      <c r="F85" s="1073" t="s">
        <v>377</v>
      </c>
      <c r="G85" s="1073" t="s">
        <v>377</v>
      </c>
      <c r="H85" s="1066">
        <v>60.7</v>
      </c>
      <c r="I85" s="1065">
        <f t="shared" si="61"/>
        <v>60.7</v>
      </c>
      <c r="J85" s="1066">
        <f t="shared" si="55"/>
        <v>60.7</v>
      </c>
      <c r="K85" s="1066"/>
      <c r="L85" s="1065">
        <f t="shared" si="56"/>
        <v>60.7</v>
      </c>
      <c r="M85" s="1178"/>
      <c r="N85" s="1057"/>
      <c r="O85" s="1058">
        <f t="shared" si="57"/>
        <v>0</v>
      </c>
      <c r="P85" s="934"/>
      <c r="Q85" s="934"/>
      <c r="R85" s="934"/>
      <c r="S85" s="934"/>
      <c r="T85" s="934"/>
      <c r="U85" s="934"/>
      <c r="V85" s="934"/>
      <c r="W85" s="934"/>
      <c r="X85" s="934"/>
      <c r="Y85" s="934"/>
      <c r="Z85" s="934"/>
      <c r="AA85" s="934"/>
      <c r="AB85" s="934"/>
      <c r="AC85" s="934">
        <v>1</v>
      </c>
      <c r="AD85" s="1048">
        <v>1</v>
      </c>
      <c r="AE85" s="1048"/>
      <c r="AF85" s="1048">
        <f t="shared" si="62"/>
        <v>1</v>
      </c>
      <c r="AG85" s="1048"/>
      <c r="AH85" s="934"/>
      <c r="AI85" s="934"/>
      <c r="AJ85" s="1074">
        <v>1</v>
      </c>
      <c r="AK85" s="1074">
        <v>1</v>
      </c>
      <c r="AL85" s="1074"/>
      <c r="AM85" s="1074"/>
      <c r="AN85" s="1049">
        <f t="shared" si="63"/>
        <v>1</v>
      </c>
      <c r="AO85" s="1049"/>
      <c r="AP85" s="1049"/>
      <c r="AQ85" s="1049"/>
      <c r="AR85" s="1049"/>
      <c r="AS85" s="934">
        <v>0.5</v>
      </c>
      <c r="AT85" s="934"/>
      <c r="AU85" s="934">
        <f t="shared" si="64"/>
        <v>0.5</v>
      </c>
      <c r="AV85" s="934"/>
      <c r="AW85" s="934"/>
      <c r="AX85" s="934"/>
      <c r="AY85" s="934"/>
      <c r="AZ85" s="934"/>
      <c r="BA85" s="934">
        <f t="shared" si="58"/>
        <v>1</v>
      </c>
      <c r="BB85" s="1061">
        <f t="shared" si="59"/>
        <v>60.7</v>
      </c>
      <c r="BC85" s="934"/>
      <c r="BD85" s="934">
        <f>AZ85</f>
        <v>0</v>
      </c>
      <c r="BE85" s="934"/>
      <c r="BF85" s="934"/>
      <c r="BG85" s="934"/>
      <c r="BH85" s="934"/>
      <c r="BI85" s="934"/>
      <c r="BJ85" s="934"/>
      <c r="BK85" s="934">
        <v>1</v>
      </c>
      <c r="BL85" s="934"/>
      <c r="BM85" s="934"/>
      <c r="BN85" s="934"/>
      <c r="BO85" s="1048">
        <v>1</v>
      </c>
      <c r="BP85" s="1048"/>
      <c r="BQ85" s="1048"/>
      <c r="BR85" s="1048"/>
      <c r="BS85" s="1048"/>
      <c r="BT85" s="934">
        <v>1</v>
      </c>
      <c r="BU85" s="934"/>
      <c r="BV85" s="934"/>
      <c r="BW85" s="934"/>
      <c r="BX85" s="934"/>
      <c r="BY85" s="1076" t="s">
        <v>868</v>
      </c>
      <c r="BZ85" s="1077"/>
      <c r="CA85" s="1072"/>
    </row>
    <row r="86" spans="4:79" s="1078" customFormat="1" ht="21.6">
      <c r="D86" s="1373" t="s">
        <v>935</v>
      </c>
      <c r="E86" s="1115" t="s">
        <v>797</v>
      </c>
      <c r="F86" s="1116"/>
      <c r="G86" s="1116"/>
      <c r="H86" s="1100">
        <f>SUM(H68:H85)</f>
        <v>983.00000000000011</v>
      </c>
      <c r="I86" s="1100">
        <f t="shared" ref="I86:BT86" si="65">SUM(I68:I85)</f>
        <v>983.00000000000011</v>
      </c>
      <c r="J86" s="1100">
        <f t="shared" si="65"/>
        <v>983.00000000000011</v>
      </c>
      <c r="K86" s="1100">
        <f t="shared" si="65"/>
        <v>0</v>
      </c>
      <c r="L86" s="1100">
        <f t="shared" si="65"/>
        <v>983.00000000000011</v>
      </c>
      <c r="M86" s="1100">
        <f t="shared" si="65"/>
        <v>1</v>
      </c>
      <c r="N86" s="1100">
        <f t="shared" si="65"/>
        <v>0</v>
      </c>
      <c r="O86" s="1100">
        <f t="shared" si="65"/>
        <v>1</v>
      </c>
      <c r="P86" s="1100">
        <f t="shared" si="65"/>
        <v>0</v>
      </c>
      <c r="Q86" s="1100">
        <f t="shared" si="65"/>
        <v>12</v>
      </c>
      <c r="R86" s="1100">
        <f t="shared" si="65"/>
        <v>5</v>
      </c>
      <c r="S86" s="1100">
        <f t="shared" si="65"/>
        <v>2</v>
      </c>
      <c r="T86" s="1100">
        <f t="shared" si="65"/>
        <v>0</v>
      </c>
      <c r="U86" s="1100">
        <f t="shared" si="65"/>
        <v>1</v>
      </c>
      <c r="V86" s="1100">
        <f t="shared" si="65"/>
        <v>0</v>
      </c>
      <c r="W86" s="1100">
        <f t="shared" si="65"/>
        <v>23</v>
      </c>
      <c r="X86" s="1100">
        <f t="shared" si="65"/>
        <v>1</v>
      </c>
      <c r="Y86" s="1100">
        <f t="shared" si="65"/>
        <v>1</v>
      </c>
      <c r="Z86" s="1100">
        <f t="shared" si="65"/>
        <v>2</v>
      </c>
      <c r="AA86" s="1100">
        <f t="shared" si="65"/>
        <v>11</v>
      </c>
      <c r="AB86" s="1100">
        <f t="shared" si="65"/>
        <v>1</v>
      </c>
      <c r="AC86" s="1100">
        <f t="shared" si="65"/>
        <v>4</v>
      </c>
      <c r="AD86" s="1100">
        <f t="shared" si="65"/>
        <v>6</v>
      </c>
      <c r="AE86" s="1100">
        <f t="shared" si="65"/>
        <v>0</v>
      </c>
      <c r="AF86" s="1100">
        <f t="shared" si="65"/>
        <v>6</v>
      </c>
      <c r="AG86" s="1100">
        <f t="shared" si="65"/>
        <v>0</v>
      </c>
      <c r="AH86" s="1100">
        <f t="shared" si="65"/>
        <v>0</v>
      </c>
      <c r="AI86" s="1100">
        <f t="shared" si="65"/>
        <v>0</v>
      </c>
      <c r="AJ86" s="1100">
        <f t="shared" si="65"/>
        <v>3</v>
      </c>
      <c r="AK86" s="1100">
        <f t="shared" si="65"/>
        <v>2</v>
      </c>
      <c r="AL86" s="1100">
        <f t="shared" si="65"/>
        <v>1</v>
      </c>
      <c r="AM86" s="1100">
        <f t="shared" si="65"/>
        <v>1</v>
      </c>
      <c r="AN86" s="1100">
        <f t="shared" si="65"/>
        <v>4</v>
      </c>
      <c r="AO86" s="1100">
        <f t="shared" si="65"/>
        <v>1</v>
      </c>
      <c r="AP86" s="1100">
        <f t="shared" si="65"/>
        <v>1</v>
      </c>
      <c r="AQ86" s="1100">
        <f t="shared" si="65"/>
        <v>0</v>
      </c>
      <c r="AR86" s="1100">
        <f t="shared" si="65"/>
        <v>1</v>
      </c>
      <c r="AS86" s="1100">
        <f t="shared" si="65"/>
        <v>2.5</v>
      </c>
      <c r="AT86" s="1100">
        <f t="shared" si="65"/>
        <v>0</v>
      </c>
      <c r="AU86" s="1100">
        <f t="shared" si="65"/>
        <v>2.5</v>
      </c>
      <c r="AV86" s="1100">
        <f t="shared" si="65"/>
        <v>0</v>
      </c>
      <c r="AW86" s="1100">
        <f t="shared" si="65"/>
        <v>1.5</v>
      </c>
      <c r="AX86" s="1100">
        <f t="shared" si="65"/>
        <v>2</v>
      </c>
      <c r="AY86" s="1100">
        <f t="shared" si="65"/>
        <v>26</v>
      </c>
      <c r="AZ86" s="1100">
        <f t="shared" si="65"/>
        <v>1</v>
      </c>
      <c r="BA86" s="1100">
        <f t="shared" si="65"/>
        <v>4</v>
      </c>
      <c r="BB86" s="1100">
        <f t="shared" si="65"/>
        <v>983.00000000000011</v>
      </c>
      <c r="BC86" s="1100">
        <f t="shared" si="65"/>
        <v>0</v>
      </c>
      <c r="BD86" s="1100">
        <f t="shared" si="65"/>
        <v>1</v>
      </c>
      <c r="BE86" s="1100">
        <f t="shared" si="65"/>
        <v>2</v>
      </c>
      <c r="BF86" s="1100">
        <f t="shared" si="65"/>
        <v>24</v>
      </c>
      <c r="BG86" s="1100">
        <f t="shared" si="65"/>
        <v>0</v>
      </c>
      <c r="BH86" s="1100">
        <f t="shared" si="65"/>
        <v>10</v>
      </c>
      <c r="BI86" s="1100">
        <f t="shared" si="65"/>
        <v>5</v>
      </c>
      <c r="BJ86" s="1100">
        <f t="shared" si="65"/>
        <v>0</v>
      </c>
      <c r="BK86" s="1100">
        <f t="shared" si="65"/>
        <v>4</v>
      </c>
      <c r="BL86" s="1100">
        <f t="shared" si="65"/>
        <v>27</v>
      </c>
      <c r="BM86" s="1100">
        <f t="shared" si="65"/>
        <v>0</v>
      </c>
      <c r="BN86" s="1100">
        <f t="shared" si="65"/>
        <v>4</v>
      </c>
      <c r="BO86" s="1100">
        <f t="shared" si="65"/>
        <v>4</v>
      </c>
      <c r="BP86" s="1100">
        <f t="shared" si="65"/>
        <v>0</v>
      </c>
      <c r="BQ86" s="1100">
        <f t="shared" si="65"/>
        <v>0</v>
      </c>
      <c r="BR86" s="1100">
        <f t="shared" si="65"/>
        <v>0</v>
      </c>
      <c r="BS86" s="1100">
        <f t="shared" si="65"/>
        <v>3</v>
      </c>
      <c r="BT86" s="1100">
        <f t="shared" si="65"/>
        <v>6</v>
      </c>
      <c r="BU86" s="1100">
        <f t="shared" ref="BU86:BW86" si="66">SUM(BU68:BU85)</f>
        <v>0</v>
      </c>
      <c r="BV86" s="1100">
        <f t="shared" si="66"/>
        <v>0</v>
      </c>
      <c r="BW86" s="1100">
        <f t="shared" si="66"/>
        <v>1</v>
      </c>
      <c r="BX86" s="1100">
        <f t="shared" ref="BX86" si="67">SUM(BX68:BX85)</f>
        <v>0</v>
      </c>
      <c r="BY86" s="1117"/>
      <c r="CA86" s="1079"/>
    </row>
    <row r="87" spans="4:79" s="1078" customFormat="1" ht="21.6">
      <c r="D87" s="1372" t="s">
        <v>935</v>
      </c>
      <c r="E87" s="1103" t="s">
        <v>798</v>
      </c>
      <c r="F87" s="1111"/>
      <c r="G87" s="1111"/>
      <c r="H87" s="1112"/>
      <c r="I87" s="1112"/>
      <c r="J87" s="1112"/>
      <c r="K87" s="1112"/>
      <c r="L87" s="1112"/>
      <c r="M87" s="1181"/>
      <c r="N87" s="1113"/>
      <c r="O87" s="1113"/>
      <c r="P87" s="1113"/>
      <c r="Q87" s="1113"/>
      <c r="R87" s="1113"/>
      <c r="S87" s="1113"/>
      <c r="T87" s="1113"/>
      <c r="U87" s="1113"/>
      <c r="V87" s="1113"/>
      <c r="W87" s="1113"/>
      <c r="X87" s="1113"/>
      <c r="Y87" s="1113"/>
      <c r="Z87" s="1113"/>
      <c r="AA87" s="1113"/>
      <c r="AB87" s="1113"/>
      <c r="AC87" s="1113"/>
      <c r="AD87" s="1113"/>
      <c r="AE87" s="1113"/>
      <c r="AF87" s="1113"/>
      <c r="AG87" s="1113"/>
      <c r="AH87" s="1113"/>
      <c r="AI87" s="1113"/>
      <c r="AJ87" s="1113"/>
      <c r="AK87" s="1113"/>
      <c r="AL87" s="1113"/>
      <c r="AM87" s="1113"/>
      <c r="AN87" s="1113"/>
      <c r="AO87" s="1113"/>
      <c r="AP87" s="1113"/>
      <c r="AQ87" s="1113"/>
      <c r="AR87" s="1113"/>
      <c r="AS87" s="1112"/>
      <c r="AT87" s="1112"/>
      <c r="AU87" s="1112"/>
      <c r="AV87" s="1112"/>
      <c r="AW87" s="1112"/>
      <c r="AX87" s="1112"/>
      <c r="AY87" s="1112"/>
      <c r="AZ87" s="1112"/>
      <c r="BA87" s="1113"/>
      <c r="BB87" s="1112"/>
      <c r="BC87" s="1113"/>
      <c r="BD87" s="1113"/>
      <c r="BE87" s="1113"/>
      <c r="BF87" s="1113"/>
      <c r="BG87" s="1113"/>
      <c r="BH87" s="1113"/>
      <c r="BI87" s="1113"/>
      <c r="BJ87" s="1113"/>
      <c r="BK87" s="1113"/>
      <c r="BL87" s="1113"/>
      <c r="BM87" s="1113"/>
      <c r="BN87" s="1113"/>
      <c r="BO87" s="1113"/>
      <c r="BP87" s="1113"/>
      <c r="BQ87" s="1113"/>
      <c r="BR87" s="1113"/>
      <c r="BS87" s="1112"/>
      <c r="BT87" s="1113"/>
      <c r="BU87" s="1113"/>
      <c r="BV87" s="1113"/>
      <c r="BW87" s="1113"/>
      <c r="BX87" s="1113"/>
      <c r="BY87" s="1114"/>
      <c r="BZ87" s="1078" t="s">
        <v>835</v>
      </c>
      <c r="CA87" s="1079"/>
    </row>
    <row r="88" spans="4:79" s="977" customFormat="1" ht="21.6">
      <c r="E88" s="1080" t="s">
        <v>799</v>
      </c>
      <c r="F88" s="1081" t="s">
        <v>377</v>
      </c>
      <c r="G88" s="1081" t="s">
        <v>377</v>
      </c>
      <c r="H88" s="1082"/>
      <c r="I88" s="1082">
        <f>H88</f>
        <v>0</v>
      </c>
      <c r="J88" s="1082">
        <f t="shared" ref="J88:J97" si="68">H88</f>
        <v>0</v>
      </c>
      <c r="K88" s="1082"/>
      <c r="L88" s="1082">
        <f t="shared" ref="L88:L97" si="69">I88</f>
        <v>0</v>
      </c>
      <c r="M88" s="1182"/>
      <c r="N88" s="1083"/>
      <c r="O88" s="1084">
        <f>N88+M88</f>
        <v>0</v>
      </c>
      <c r="P88" s="1085"/>
      <c r="Q88" s="1085"/>
      <c r="R88" s="1085">
        <v>1</v>
      </c>
      <c r="S88" s="1085"/>
      <c r="T88" s="1085"/>
      <c r="U88" s="1085"/>
      <c r="V88" s="1085"/>
      <c r="W88" s="1085"/>
      <c r="X88" s="1085"/>
      <c r="Y88" s="1085"/>
      <c r="Z88" s="1085"/>
      <c r="AA88" s="1085"/>
      <c r="AB88" s="1085"/>
      <c r="AC88" s="1085">
        <v>1</v>
      </c>
      <c r="AD88" s="1086">
        <v>1</v>
      </c>
      <c r="AE88" s="1086"/>
      <c r="AF88" s="1086">
        <f>AE88+AD88</f>
        <v>1</v>
      </c>
      <c r="AG88" s="1086"/>
      <c r="AH88" s="1085"/>
      <c r="AI88" s="1085"/>
      <c r="AJ88" s="1087">
        <v>1</v>
      </c>
      <c r="AK88" s="1087"/>
      <c r="AL88" s="1087">
        <v>1</v>
      </c>
      <c r="AM88" s="1087"/>
      <c r="AN88" s="1071">
        <f>AM88+AJ88</f>
        <v>1</v>
      </c>
      <c r="AO88" s="1071">
        <v>1</v>
      </c>
      <c r="AP88" s="1071"/>
      <c r="AQ88" s="1071">
        <v>1</v>
      </c>
      <c r="AR88" s="1071"/>
      <c r="AS88" s="1085">
        <v>1</v>
      </c>
      <c r="AT88" s="1085"/>
      <c r="AU88" s="1085">
        <f>AT88+AS88</f>
        <v>1</v>
      </c>
      <c r="AV88" s="1085"/>
      <c r="AW88" s="1085">
        <v>2</v>
      </c>
      <c r="AX88" s="1085"/>
      <c r="AY88" s="1085"/>
      <c r="AZ88" s="1085">
        <v>1</v>
      </c>
      <c r="BA88" s="1085">
        <f t="shared" ref="BA88:BA97" si="70">IF(F88="2DT",2,IF(F88="DT",1,IF(F88="2DT-90",2,0)))</f>
        <v>1</v>
      </c>
      <c r="BB88" s="1061">
        <f t="shared" ref="BB88:BB97" si="71">J88</f>
        <v>0</v>
      </c>
      <c r="BC88" s="1085"/>
      <c r="BD88" s="934">
        <f t="shared" ref="BD88:BD96" si="72">AZ88</f>
        <v>1</v>
      </c>
      <c r="BE88" s="1085"/>
      <c r="BF88" s="1085"/>
      <c r="BG88" s="1085"/>
      <c r="BH88" s="1085"/>
      <c r="BI88" s="1085">
        <v>1</v>
      </c>
      <c r="BJ88" s="1085"/>
      <c r="BK88" s="1085">
        <v>1</v>
      </c>
      <c r="BL88" s="1085">
        <f t="shared" ref="BL88:BL97" si="73">IF(F88="G",2,IF(F88="I",1,0))</f>
        <v>0</v>
      </c>
      <c r="BM88" s="1085"/>
      <c r="BN88" s="1085"/>
      <c r="BO88" s="1086">
        <v>1</v>
      </c>
      <c r="BP88" s="1086"/>
      <c r="BQ88" s="1086"/>
      <c r="BR88" s="1086"/>
      <c r="BS88" s="1086">
        <v>2</v>
      </c>
      <c r="BT88" s="1085">
        <v>2</v>
      </c>
      <c r="BU88" s="1085"/>
      <c r="BV88" s="1085">
        <v>1</v>
      </c>
      <c r="BW88" s="1085"/>
      <c r="BX88" s="1085"/>
      <c r="BY88" s="1085" t="s">
        <v>869</v>
      </c>
      <c r="CA88" s="1072"/>
    </row>
    <row r="89" spans="4:79" s="977" customFormat="1" ht="21.6">
      <c r="E89" s="1056" t="s">
        <v>614</v>
      </c>
      <c r="F89" s="1073" t="s">
        <v>374</v>
      </c>
      <c r="G89" s="1073" t="s">
        <v>374</v>
      </c>
      <c r="H89" s="1066">
        <v>57.7</v>
      </c>
      <c r="I89" s="1066">
        <f>H89</f>
        <v>57.7</v>
      </c>
      <c r="J89" s="1066">
        <f t="shared" si="68"/>
        <v>57.7</v>
      </c>
      <c r="K89" s="1066"/>
      <c r="L89" s="1066">
        <f t="shared" si="69"/>
        <v>57.7</v>
      </c>
      <c r="M89" s="1178"/>
      <c r="N89" s="1057"/>
      <c r="O89" s="1058"/>
      <c r="P89" s="934"/>
      <c r="Q89" s="934"/>
      <c r="R89" s="934">
        <v>1</v>
      </c>
      <c r="S89" s="934"/>
      <c r="T89" s="934"/>
      <c r="U89" s="934"/>
      <c r="V89" s="934"/>
      <c r="W89" s="934">
        <v>2</v>
      </c>
      <c r="X89" s="934"/>
      <c r="Y89" s="934"/>
      <c r="Z89" s="934"/>
      <c r="AA89" s="934">
        <v>1</v>
      </c>
      <c r="AB89" s="934"/>
      <c r="AC89" s="934"/>
      <c r="AD89" s="1048"/>
      <c r="AE89" s="1048"/>
      <c r="AF89" s="1048">
        <f>AE89+AD89</f>
        <v>0</v>
      </c>
      <c r="AG89" s="1048"/>
      <c r="AH89" s="934"/>
      <c r="AI89" s="934"/>
      <c r="AJ89" s="1074"/>
      <c r="AK89" s="1074"/>
      <c r="AL89" s="1074"/>
      <c r="AM89" s="1074">
        <v>1</v>
      </c>
      <c r="AN89" s="1049">
        <f>AM89+AJ89</f>
        <v>1</v>
      </c>
      <c r="AO89" s="1049"/>
      <c r="AP89" s="1049"/>
      <c r="AQ89" s="1049"/>
      <c r="AR89" s="1049"/>
      <c r="AS89" s="934"/>
      <c r="AT89" s="934"/>
      <c r="AU89" s="934">
        <f>AT89+AS89</f>
        <v>0</v>
      </c>
      <c r="AV89" s="934"/>
      <c r="AW89" s="934"/>
      <c r="AX89" s="934"/>
      <c r="AY89" s="934">
        <v>2</v>
      </c>
      <c r="AZ89" s="934"/>
      <c r="BA89" s="934">
        <f t="shared" si="70"/>
        <v>0</v>
      </c>
      <c r="BB89" s="1061">
        <f t="shared" si="71"/>
        <v>57.7</v>
      </c>
      <c r="BC89" s="934"/>
      <c r="BD89" s="934">
        <f t="shared" si="72"/>
        <v>0</v>
      </c>
      <c r="BE89" s="934"/>
      <c r="BF89" s="934">
        <v>2</v>
      </c>
      <c r="BG89" s="934"/>
      <c r="BH89" s="934"/>
      <c r="BI89" s="934">
        <v>1</v>
      </c>
      <c r="BJ89" s="934"/>
      <c r="BK89" s="934"/>
      <c r="BL89" s="1085">
        <f t="shared" si="73"/>
        <v>2</v>
      </c>
      <c r="BM89" s="934"/>
      <c r="BN89" s="934"/>
      <c r="BO89" s="1048"/>
      <c r="BP89" s="1048"/>
      <c r="BQ89" s="1048"/>
      <c r="BR89" s="1048"/>
      <c r="BS89" s="1048"/>
      <c r="BT89" s="934"/>
      <c r="BU89" s="934"/>
      <c r="BV89" s="934"/>
      <c r="BW89" s="934"/>
      <c r="BX89" s="934"/>
      <c r="BY89" s="934" t="s">
        <v>874</v>
      </c>
      <c r="CA89" s="1072"/>
    </row>
    <row r="90" spans="4:79" s="977" customFormat="1" ht="21.6">
      <c r="E90" s="1056" t="s">
        <v>615</v>
      </c>
      <c r="F90" s="1073" t="s">
        <v>744</v>
      </c>
      <c r="G90" s="1073" t="s">
        <v>374</v>
      </c>
      <c r="H90" s="1066">
        <v>53.1</v>
      </c>
      <c r="I90" s="1066">
        <f t="shared" ref="I90:I97" si="74">H90</f>
        <v>53.1</v>
      </c>
      <c r="J90" s="1066">
        <f t="shared" si="68"/>
        <v>53.1</v>
      </c>
      <c r="K90" s="1066"/>
      <c r="L90" s="1066">
        <f t="shared" si="69"/>
        <v>53.1</v>
      </c>
      <c r="M90" s="1178"/>
      <c r="N90" s="1057"/>
      <c r="O90" s="1058"/>
      <c r="P90" s="934"/>
      <c r="Q90" s="934">
        <v>1</v>
      </c>
      <c r="R90" s="934"/>
      <c r="S90" s="934"/>
      <c r="T90" s="934"/>
      <c r="U90" s="934"/>
      <c r="V90" s="934"/>
      <c r="W90" s="934"/>
      <c r="X90" s="934"/>
      <c r="Y90" s="934"/>
      <c r="Z90" s="934">
        <v>1</v>
      </c>
      <c r="AA90" s="934"/>
      <c r="AB90" s="934"/>
      <c r="AC90" s="934"/>
      <c r="AD90" s="1048"/>
      <c r="AE90" s="1048"/>
      <c r="AF90" s="1048">
        <f t="shared" ref="AF90:AF97" si="75">AE90+AD90</f>
        <v>0</v>
      </c>
      <c r="AG90" s="1048"/>
      <c r="AH90" s="934"/>
      <c r="AI90" s="934"/>
      <c r="AJ90" s="1074"/>
      <c r="AK90" s="1074"/>
      <c r="AL90" s="1074"/>
      <c r="AM90" s="1074"/>
      <c r="AN90" s="1049">
        <f t="shared" ref="AN90:AN97" si="76">AM90+AJ90</f>
        <v>0</v>
      </c>
      <c r="AO90" s="1049"/>
      <c r="AP90" s="1049"/>
      <c r="AQ90" s="1049"/>
      <c r="AR90" s="1049"/>
      <c r="AS90" s="934"/>
      <c r="AT90" s="934"/>
      <c r="AU90" s="934">
        <f t="shared" ref="AU90:AU97" si="77">AT90+AS90</f>
        <v>0</v>
      </c>
      <c r="AV90" s="934"/>
      <c r="AW90" s="934"/>
      <c r="AX90" s="934"/>
      <c r="AY90" s="934">
        <v>2</v>
      </c>
      <c r="AZ90" s="934"/>
      <c r="BA90" s="934">
        <f t="shared" si="70"/>
        <v>0</v>
      </c>
      <c r="BB90" s="1061">
        <f t="shared" si="71"/>
        <v>53.1</v>
      </c>
      <c r="BC90" s="934"/>
      <c r="BD90" s="934">
        <f t="shared" si="72"/>
        <v>0</v>
      </c>
      <c r="BE90" s="934"/>
      <c r="BF90" s="934"/>
      <c r="BG90" s="934"/>
      <c r="BH90" s="934">
        <v>1</v>
      </c>
      <c r="BI90" s="934"/>
      <c r="BJ90" s="934"/>
      <c r="BK90" s="934"/>
      <c r="BL90" s="1085">
        <f t="shared" si="73"/>
        <v>0</v>
      </c>
      <c r="BM90" s="934"/>
      <c r="BN90" s="934"/>
      <c r="BO90" s="1048"/>
      <c r="BP90" s="1048"/>
      <c r="BQ90" s="1048"/>
      <c r="BR90" s="1048">
        <v>1</v>
      </c>
      <c r="BS90" s="1048"/>
      <c r="BT90" s="934"/>
      <c r="BU90" s="934"/>
      <c r="BV90" s="934"/>
      <c r="BW90" s="934"/>
      <c r="BX90" s="934"/>
      <c r="BY90" s="934" t="s">
        <v>870</v>
      </c>
      <c r="CA90" s="1072"/>
    </row>
    <row r="91" spans="4:79" s="977" customFormat="1" ht="21.6">
      <c r="E91" s="1056" t="s">
        <v>616</v>
      </c>
      <c r="F91" s="1073" t="s">
        <v>148</v>
      </c>
      <c r="G91" s="1073" t="s">
        <v>148</v>
      </c>
      <c r="H91" s="1066">
        <v>63</v>
      </c>
      <c r="I91" s="1066">
        <f t="shared" si="74"/>
        <v>63</v>
      </c>
      <c r="J91" s="1066">
        <f t="shared" si="68"/>
        <v>63</v>
      </c>
      <c r="K91" s="1066"/>
      <c r="L91" s="1066">
        <f t="shared" si="69"/>
        <v>63</v>
      </c>
      <c r="M91" s="1178"/>
      <c r="N91" s="1057"/>
      <c r="O91" s="1058"/>
      <c r="P91" s="934"/>
      <c r="Q91" s="934">
        <v>2</v>
      </c>
      <c r="R91" s="934"/>
      <c r="S91" s="934"/>
      <c r="T91" s="934"/>
      <c r="U91" s="934"/>
      <c r="V91" s="934"/>
      <c r="W91" s="934"/>
      <c r="X91" s="934">
        <v>1</v>
      </c>
      <c r="Y91" s="934"/>
      <c r="Z91" s="934"/>
      <c r="AA91" s="934"/>
      <c r="AB91" s="934"/>
      <c r="AC91" s="934">
        <v>2</v>
      </c>
      <c r="AD91" s="1048">
        <v>2</v>
      </c>
      <c r="AE91" s="1048"/>
      <c r="AF91" s="1048">
        <f t="shared" si="75"/>
        <v>2</v>
      </c>
      <c r="AG91" s="1048"/>
      <c r="AH91" s="934"/>
      <c r="AI91" s="934"/>
      <c r="AJ91" s="1074"/>
      <c r="AK91" s="1074"/>
      <c r="AL91" s="1074"/>
      <c r="AM91" s="1074"/>
      <c r="AN91" s="1049">
        <f t="shared" si="76"/>
        <v>0</v>
      </c>
      <c r="AO91" s="1049"/>
      <c r="AP91" s="1049"/>
      <c r="AQ91" s="1049"/>
      <c r="AR91" s="1049"/>
      <c r="AS91" s="934">
        <v>0.5</v>
      </c>
      <c r="AT91" s="934"/>
      <c r="AU91" s="934">
        <f t="shared" si="77"/>
        <v>0.5</v>
      </c>
      <c r="AV91" s="934"/>
      <c r="AW91" s="934"/>
      <c r="AX91" s="934">
        <v>1</v>
      </c>
      <c r="AY91" s="934"/>
      <c r="AZ91" s="934"/>
      <c r="BA91" s="934">
        <f t="shared" si="70"/>
        <v>2</v>
      </c>
      <c r="BB91" s="1061">
        <f t="shared" si="71"/>
        <v>63</v>
      </c>
      <c r="BC91" s="934"/>
      <c r="BD91" s="934">
        <f t="shared" si="72"/>
        <v>0</v>
      </c>
      <c r="BE91" s="934"/>
      <c r="BF91" s="934"/>
      <c r="BG91" s="934"/>
      <c r="BH91" s="934">
        <v>2</v>
      </c>
      <c r="BI91" s="934"/>
      <c r="BJ91" s="934"/>
      <c r="BK91" s="934">
        <v>2</v>
      </c>
      <c r="BL91" s="1085">
        <f t="shared" si="73"/>
        <v>0</v>
      </c>
      <c r="BM91" s="934"/>
      <c r="BN91" s="934"/>
      <c r="BO91" s="1048">
        <v>2</v>
      </c>
      <c r="BP91" s="1048"/>
      <c r="BQ91" s="1048"/>
      <c r="BR91" s="1048"/>
      <c r="BS91" s="1048"/>
      <c r="BT91" s="934"/>
      <c r="BU91" s="934"/>
      <c r="BV91" s="934"/>
      <c r="BW91" s="934"/>
      <c r="BX91" s="934"/>
      <c r="BY91" s="934"/>
      <c r="CA91" s="1072"/>
    </row>
    <row r="92" spans="4:79" s="977" customFormat="1" ht="21.6">
      <c r="E92" s="1056" t="s">
        <v>617</v>
      </c>
      <c r="F92" s="1073" t="s">
        <v>374</v>
      </c>
      <c r="G92" s="1073" t="s">
        <v>374</v>
      </c>
      <c r="H92" s="1066">
        <v>64.5</v>
      </c>
      <c r="I92" s="1066">
        <f t="shared" si="74"/>
        <v>64.5</v>
      </c>
      <c r="J92" s="1066">
        <f t="shared" si="68"/>
        <v>64.5</v>
      </c>
      <c r="K92" s="1066"/>
      <c r="L92" s="1066">
        <f t="shared" si="69"/>
        <v>64.5</v>
      </c>
      <c r="M92" s="1178"/>
      <c r="N92" s="1057"/>
      <c r="O92" s="1058"/>
      <c r="P92" s="934"/>
      <c r="Q92" s="934"/>
      <c r="R92" s="934">
        <v>1</v>
      </c>
      <c r="S92" s="934"/>
      <c r="T92" s="934"/>
      <c r="U92" s="934">
        <v>1</v>
      </c>
      <c r="V92" s="934"/>
      <c r="W92" s="934">
        <v>2</v>
      </c>
      <c r="X92" s="934"/>
      <c r="Y92" s="934"/>
      <c r="Z92" s="934"/>
      <c r="AA92" s="934">
        <v>1</v>
      </c>
      <c r="AB92" s="934"/>
      <c r="AC92" s="934"/>
      <c r="AD92" s="1048"/>
      <c r="AE92" s="1048"/>
      <c r="AF92" s="1048">
        <f t="shared" si="75"/>
        <v>0</v>
      </c>
      <c r="AG92" s="1048"/>
      <c r="AH92" s="934"/>
      <c r="AI92" s="934"/>
      <c r="AJ92" s="1074"/>
      <c r="AK92" s="1074"/>
      <c r="AL92" s="1074"/>
      <c r="AM92" s="1074"/>
      <c r="AN92" s="1049">
        <f t="shared" si="76"/>
        <v>0</v>
      </c>
      <c r="AO92" s="1049"/>
      <c r="AP92" s="1049"/>
      <c r="AQ92" s="1049"/>
      <c r="AR92" s="1049"/>
      <c r="AS92" s="934"/>
      <c r="AT92" s="934"/>
      <c r="AU92" s="934">
        <f t="shared" si="77"/>
        <v>0</v>
      </c>
      <c r="AV92" s="934"/>
      <c r="AW92" s="934"/>
      <c r="AX92" s="934"/>
      <c r="AY92" s="934">
        <v>2</v>
      </c>
      <c r="AZ92" s="934"/>
      <c r="BA92" s="934">
        <f t="shared" si="70"/>
        <v>0</v>
      </c>
      <c r="BB92" s="1061">
        <f t="shared" si="71"/>
        <v>64.5</v>
      </c>
      <c r="BC92" s="934"/>
      <c r="BD92" s="934">
        <f t="shared" si="72"/>
        <v>0</v>
      </c>
      <c r="BE92" s="934"/>
      <c r="BF92" s="934">
        <v>2</v>
      </c>
      <c r="BG92" s="934"/>
      <c r="BH92" s="934"/>
      <c r="BI92" s="934">
        <v>1</v>
      </c>
      <c r="BJ92" s="934"/>
      <c r="BK92" s="934"/>
      <c r="BL92" s="1085">
        <f t="shared" si="73"/>
        <v>2</v>
      </c>
      <c r="BM92" s="934"/>
      <c r="BN92" s="934"/>
      <c r="BO92" s="1048"/>
      <c r="BP92" s="1048"/>
      <c r="BQ92" s="1048"/>
      <c r="BR92" s="1048"/>
      <c r="BS92" s="1048"/>
      <c r="BT92" s="934"/>
      <c r="BU92" s="934"/>
      <c r="BV92" s="934"/>
      <c r="BW92" s="934"/>
      <c r="BX92" s="934"/>
      <c r="BY92" s="934"/>
      <c r="CA92" s="1072"/>
    </row>
    <row r="93" spans="4:79" s="977" customFormat="1" ht="21.6">
      <c r="E93" s="1056" t="s">
        <v>618</v>
      </c>
      <c r="F93" s="1073" t="s">
        <v>80</v>
      </c>
      <c r="G93" s="1073" t="s">
        <v>80</v>
      </c>
      <c r="H93" s="1066">
        <v>62.7</v>
      </c>
      <c r="I93" s="1066">
        <f t="shared" si="74"/>
        <v>62.7</v>
      </c>
      <c r="J93" s="1066">
        <f t="shared" si="68"/>
        <v>62.7</v>
      </c>
      <c r="K93" s="1066"/>
      <c r="L93" s="1066">
        <f t="shared" si="69"/>
        <v>62.7</v>
      </c>
      <c r="M93" s="1178"/>
      <c r="N93" s="1057"/>
      <c r="O93" s="1058"/>
      <c r="P93" s="934"/>
      <c r="Q93" s="934"/>
      <c r="R93" s="934"/>
      <c r="S93" s="934"/>
      <c r="T93" s="934"/>
      <c r="U93" s="934"/>
      <c r="V93" s="934">
        <v>1</v>
      </c>
      <c r="W93" s="934">
        <v>1</v>
      </c>
      <c r="X93" s="934"/>
      <c r="Y93" s="934"/>
      <c r="Z93" s="934"/>
      <c r="AA93" s="934"/>
      <c r="AB93" s="934"/>
      <c r="AC93" s="934"/>
      <c r="AD93" s="1048"/>
      <c r="AE93" s="1048"/>
      <c r="AF93" s="1048">
        <f t="shared" si="75"/>
        <v>0</v>
      </c>
      <c r="AG93" s="1048"/>
      <c r="AH93" s="934"/>
      <c r="AI93" s="934"/>
      <c r="AJ93" s="1074"/>
      <c r="AK93" s="1074"/>
      <c r="AL93" s="1074"/>
      <c r="AM93" s="1074"/>
      <c r="AN93" s="1049">
        <f t="shared" si="76"/>
        <v>0</v>
      </c>
      <c r="AO93" s="1049"/>
      <c r="AP93" s="1049"/>
      <c r="AQ93" s="1049"/>
      <c r="AR93" s="1049"/>
      <c r="AS93" s="934"/>
      <c r="AT93" s="934"/>
      <c r="AU93" s="934">
        <f t="shared" si="77"/>
        <v>0</v>
      </c>
      <c r="AV93" s="934"/>
      <c r="AW93" s="934"/>
      <c r="AX93" s="934">
        <v>1</v>
      </c>
      <c r="AY93" s="934"/>
      <c r="AZ93" s="934"/>
      <c r="BA93" s="934">
        <f t="shared" si="70"/>
        <v>0</v>
      </c>
      <c r="BB93" s="1061">
        <f t="shared" si="71"/>
        <v>62.7</v>
      </c>
      <c r="BC93" s="934"/>
      <c r="BD93" s="934">
        <f t="shared" si="72"/>
        <v>0</v>
      </c>
      <c r="BE93" s="934">
        <v>2</v>
      </c>
      <c r="BF93" s="934"/>
      <c r="BG93" s="934"/>
      <c r="BH93" s="934"/>
      <c r="BI93" s="934"/>
      <c r="BJ93" s="934"/>
      <c r="BK93" s="934"/>
      <c r="BL93" s="1085">
        <f t="shared" si="73"/>
        <v>1</v>
      </c>
      <c r="BM93" s="934"/>
      <c r="BN93" s="934"/>
      <c r="BO93" s="1048"/>
      <c r="BP93" s="1048"/>
      <c r="BQ93" s="1048"/>
      <c r="BR93" s="1048"/>
      <c r="BS93" s="1048"/>
      <c r="BT93" s="934"/>
      <c r="BU93" s="934"/>
      <c r="BV93" s="934"/>
      <c r="BW93" s="934"/>
      <c r="BX93" s="934"/>
      <c r="BY93" s="934"/>
      <c r="CA93" s="1072"/>
    </row>
    <row r="94" spans="4:79" s="977" customFormat="1" ht="21.6">
      <c r="E94" s="1056" t="s">
        <v>619</v>
      </c>
      <c r="F94" s="1073" t="s">
        <v>374</v>
      </c>
      <c r="G94" s="1073" t="s">
        <v>374</v>
      </c>
      <c r="H94" s="1066">
        <v>57.7</v>
      </c>
      <c r="I94" s="1066">
        <f t="shared" si="74"/>
        <v>57.7</v>
      </c>
      <c r="J94" s="1066">
        <f t="shared" si="68"/>
        <v>57.7</v>
      </c>
      <c r="K94" s="1066"/>
      <c r="L94" s="1066">
        <f t="shared" si="69"/>
        <v>57.7</v>
      </c>
      <c r="M94" s="1178"/>
      <c r="N94" s="1057"/>
      <c r="O94" s="1058"/>
      <c r="P94" s="934"/>
      <c r="Q94" s="934">
        <v>1</v>
      </c>
      <c r="R94" s="934"/>
      <c r="S94" s="934"/>
      <c r="T94" s="934"/>
      <c r="U94" s="934"/>
      <c r="V94" s="934"/>
      <c r="W94" s="934">
        <v>2</v>
      </c>
      <c r="X94" s="934"/>
      <c r="Y94" s="934"/>
      <c r="Z94" s="934"/>
      <c r="AA94" s="934">
        <v>1</v>
      </c>
      <c r="AB94" s="934"/>
      <c r="AC94" s="934"/>
      <c r="AD94" s="1048"/>
      <c r="AE94" s="1048"/>
      <c r="AF94" s="1048">
        <f t="shared" si="75"/>
        <v>0</v>
      </c>
      <c r="AG94" s="1048"/>
      <c r="AH94" s="934"/>
      <c r="AI94" s="934"/>
      <c r="AJ94" s="1074"/>
      <c r="AK94" s="1074"/>
      <c r="AL94" s="1074"/>
      <c r="AM94" s="1074"/>
      <c r="AN94" s="1049">
        <f t="shared" si="76"/>
        <v>0</v>
      </c>
      <c r="AO94" s="1049"/>
      <c r="AP94" s="1049"/>
      <c r="AQ94" s="1049"/>
      <c r="AR94" s="1049"/>
      <c r="AS94" s="934"/>
      <c r="AT94" s="934"/>
      <c r="AU94" s="934">
        <f t="shared" si="77"/>
        <v>0</v>
      </c>
      <c r="AV94" s="934"/>
      <c r="AW94" s="934"/>
      <c r="AX94" s="934"/>
      <c r="AY94" s="934">
        <v>2</v>
      </c>
      <c r="AZ94" s="934"/>
      <c r="BA94" s="934">
        <f t="shared" si="70"/>
        <v>0</v>
      </c>
      <c r="BB94" s="1061">
        <f t="shared" si="71"/>
        <v>57.7</v>
      </c>
      <c r="BC94" s="934"/>
      <c r="BD94" s="934">
        <f t="shared" si="72"/>
        <v>0</v>
      </c>
      <c r="BE94" s="934"/>
      <c r="BF94" s="934">
        <v>2</v>
      </c>
      <c r="BG94" s="934"/>
      <c r="BH94" s="934">
        <v>1</v>
      </c>
      <c r="BI94" s="934"/>
      <c r="BJ94" s="934"/>
      <c r="BK94" s="934"/>
      <c r="BL94" s="1085">
        <f t="shared" si="73"/>
        <v>2</v>
      </c>
      <c r="BM94" s="934"/>
      <c r="BN94" s="934"/>
      <c r="BO94" s="1048"/>
      <c r="BP94" s="1048"/>
      <c r="BQ94" s="1048"/>
      <c r="BR94" s="1048"/>
      <c r="BS94" s="1048"/>
      <c r="BT94" s="934"/>
      <c r="BU94" s="934"/>
      <c r="BV94" s="934"/>
      <c r="BW94" s="934"/>
      <c r="BX94" s="934"/>
      <c r="BY94" s="934"/>
      <c r="CA94" s="1072"/>
    </row>
    <row r="95" spans="4:79" s="977" customFormat="1" ht="21.6">
      <c r="E95" s="1056" t="s">
        <v>620</v>
      </c>
      <c r="F95" s="1073" t="s">
        <v>80</v>
      </c>
      <c r="G95" s="1073" t="s">
        <v>80</v>
      </c>
      <c r="H95" s="1066">
        <v>59.8</v>
      </c>
      <c r="I95" s="1066">
        <f t="shared" si="74"/>
        <v>59.8</v>
      </c>
      <c r="J95" s="1066">
        <f t="shared" si="68"/>
        <v>59.8</v>
      </c>
      <c r="K95" s="1066"/>
      <c r="L95" s="1066">
        <f t="shared" si="69"/>
        <v>59.8</v>
      </c>
      <c r="M95" s="1178"/>
      <c r="N95" s="1057"/>
      <c r="O95" s="1058">
        <f>N95+M95</f>
        <v>0</v>
      </c>
      <c r="P95" s="934"/>
      <c r="Q95" s="934"/>
      <c r="R95" s="934"/>
      <c r="S95" s="934"/>
      <c r="T95" s="934">
        <f t="shared" ref="T95:T97" si="78">R95</f>
        <v>0</v>
      </c>
      <c r="U95" s="934"/>
      <c r="V95" s="934">
        <v>1</v>
      </c>
      <c r="W95" s="934">
        <v>1</v>
      </c>
      <c r="X95" s="934"/>
      <c r="Y95" s="934"/>
      <c r="Z95" s="934"/>
      <c r="AA95" s="934"/>
      <c r="AB95" s="934"/>
      <c r="AC95" s="934"/>
      <c r="AD95" s="1048"/>
      <c r="AE95" s="1048"/>
      <c r="AF95" s="1048">
        <f t="shared" si="75"/>
        <v>0</v>
      </c>
      <c r="AG95" s="1048"/>
      <c r="AH95" s="934"/>
      <c r="AI95" s="934"/>
      <c r="AJ95" s="1074"/>
      <c r="AK95" s="1074"/>
      <c r="AL95" s="1074"/>
      <c r="AM95" s="1074"/>
      <c r="AN95" s="1049">
        <f t="shared" si="76"/>
        <v>0</v>
      </c>
      <c r="AO95" s="1049"/>
      <c r="AP95" s="1049"/>
      <c r="AQ95" s="1049"/>
      <c r="AR95" s="1049"/>
      <c r="AS95" s="934"/>
      <c r="AT95" s="934"/>
      <c r="AU95" s="934">
        <f t="shared" si="77"/>
        <v>0</v>
      </c>
      <c r="AV95" s="934"/>
      <c r="AW95" s="934"/>
      <c r="AX95" s="934">
        <v>1</v>
      </c>
      <c r="AY95" s="934"/>
      <c r="AZ95" s="934"/>
      <c r="BA95" s="934">
        <f t="shared" si="70"/>
        <v>0</v>
      </c>
      <c r="BB95" s="1061">
        <f t="shared" si="71"/>
        <v>59.8</v>
      </c>
      <c r="BC95" s="934"/>
      <c r="BD95" s="934">
        <f t="shared" si="72"/>
        <v>0</v>
      </c>
      <c r="BE95" s="934">
        <v>2</v>
      </c>
      <c r="BF95" s="934"/>
      <c r="BG95" s="934"/>
      <c r="BH95" s="934"/>
      <c r="BI95" s="934"/>
      <c r="BJ95" s="934"/>
      <c r="BK95" s="934"/>
      <c r="BL95" s="1085">
        <f t="shared" si="73"/>
        <v>1</v>
      </c>
      <c r="BM95" s="934"/>
      <c r="BN95" s="934"/>
      <c r="BO95" s="1048"/>
      <c r="BP95" s="1048"/>
      <c r="BQ95" s="1048"/>
      <c r="BR95" s="1048"/>
      <c r="BS95" s="1048"/>
      <c r="BT95" s="934"/>
      <c r="BU95" s="934"/>
      <c r="BV95" s="934"/>
      <c r="BW95" s="934"/>
      <c r="BX95" s="934"/>
      <c r="BY95" s="1076"/>
      <c r="BZ95" s="1077"/>
      <c r="CA95" s="1072"/>
    </row>
    <row r="96" spans="4:79" s="977" customFormat="1" ht="21.6">
      <c r="E96" s="1056" t="s">
        <v>621</v>
      </c>
      <c r="F96" s="1073" t="s">
        <v>374</v>
      </c>
      <c r="G96" s="1073" t="s">
        <v>374</v>
      </c>
      <c r="H96" s="1066">
        <v>59.4</v>
      </c>
      <c r="I96" s="1066">
        <f t="shared" si="74"/>
        <v>59.4</v>
      </c>
      <c r="J96" s="1066">
        <f t="shared" si="68"/>
        <v>59.4</v>
      </c>
      <c r="K96" s="1066"/>
      <c r="L96" s="1066">
        <f t="shared" si="69"/>
        <v>59.4</v>
      </c>
      <c r="M96" s="1178"/>
      <c r="N96" s="1057"/>
      <c r="O96" s="1058">
        <f>N96+M96</f>
        <v>0</v>
      </c>
      <c r="P96" s="934"/>
      <c r="Q96" s="934">
        <v>1</v>
      </c>
      <c r="R96" s="934"/>
      <c r="S96" s="934"/>
      <c r="T96" s="934">
        <f t="shared" si="78"/>
        <v>0</v>
      </c>
      <c r="U96" s="934"/>
      <c r="V96" s="934"/>
      <c r="W96" s="934">
        <v>2</v>
      </c>
      <c r="X96" s="934"/>
      <c r="Y96" s="934"/>
      <c r="Z96" s="934"/>
      <c r="AA96" s="934">
        <v>1</v>
      </c>
      <c r="AB96" s="934"/>
      <c r="AC96" s="934"/>
      <c r="AD96" s="1048"/>
      <c r="AE96" s="1048"/>
      <c r="AF96" s="1048">
        <f t="shared" si="75"/>
        <v>0</v>
      </c>
      <c r="AG96" s="1048"/>
      <c r="AH96" s="934"/>
      <c r="AI96" s="934"/>
      <c r="AJ96" s="1074"/>
      <c r="AK96" s="1074"/>
      <c r="AL96" s="1074"/>
      <c r="AM96" s="1074"/>
      <c r="AN96" s="1049">
        <f t="shared" si="76"/>
        <v>0</v>
      </c>
      <c r="AO96" s="1049"/>
      <c r="AP96" s="1049"/>
      <c r="AQ96" s="1049"/>
      <c r="AR96" s="1049"/>
      <c r="AS96" s="934"/>
      <c r="AT96" s="934"/>
      <c r="AU96" s="934">
        <f t="shared" si="77"/>
        <v>0</v>
      </c>
      <c r="AV96" s="934"/>
      <c r="AW96" s="934"/>
      <c r="AX96" s="934"/>
      <c r="AY96" s="934">
        <v>2</v>
      </c>
      <c r="AZ96" s="934"/>
      <c r="BA96" s="934">
        <f t="shared" si="70"/>
        <v>0</v>
      </c>
      <c r="BB96" s="1061">
        <f t="shared" si="71"/>
        <v>59.4</v>
      </c>
      <c r="BC96" s="934"/>
      <c r="BD96" s="934">
        <f t="shared" si="72"/>
        <v>0</v>
      </c>
      <c r="BE96" s="934"/>
      <c r="BF96" s="934">
        <v>2</v>
      </c>
      <c r="BG96" s="934"/>
      <c r="BH96" s="934">
        <v>1</v>
      </c>
      <c r="BI96" s="934"/>
      <c r="BJ96" s="934"/>
      <c r="BK96" s="934"/>
      <c r="BL96" s="1085">
        <f t="shared" si="73"/>
        <v>2</v>
      </c>
      <c r="BM96" s="934"/>
      <c r="BN96" s="934"/>
      <c r="BO96" s="1048"/>
      <c r="BP96" s="1048"/>
      <c r="BQ96" s="1048"/>
      <c r="BR96" s="1048"/>
      <c r="BS96" s="1048"/>
      <c r="BT96" s="934"/>
      <c r="BU96" s="934"/>
      <c r="BV96" s="934"/>
      <c r="BW96" s="934"/>
      <c r="BX96" s="934"/>
      <c r="BY96" s="934"/>
      <c r="CA96" s="1072"/>
    </row>
    <row r="97" spans="4:79" s="977" customFormat="1" ht="21.6">
      <c r="E97" s="1056" t="s">
        <v>622</v>
      </c>
      <c r="F97" s="1073" t="s">
        <v>377</v>
      </c>
      <c r="G97" s="1073" t="s">
        <v>377</v>
      </c>
      <c r="H97" s="1066">
        <v>66.400000000000006</v>
      </c>
      <c r="I97" s="1066">
        <f t="shared" si="74"/>
        <v>66.400000000000006</v>
      </c>
      <c r="J97" s="1066">
        <f t="shared" si="68"/>
        <v>66.400000000000006</v>
      </c>
      <c r="K97" s="1066"/>
      <c r="L97" s="1066">
        <f t="shared" si="69"/>
        <v>66.400000000000006</v>
      </c>
      <c r="M97" s="1178"/>
      <c r="N97" s="1057"/>
      <c r="O97" s="1058">
        <f>N97+M97</f>
        <v>0</v>
      </c>
      <c r="P97" s="934"/>
      <c r="Q97" s="934">
        <v>1</v>
      </c>
      <c r="R97" s="934"/>
      <c r="S97" s="934"/>
      <c r="T97" s="934">
        <f t="shared" si="78"/>
        <v>0</v>
      </c>
      <c r="U97" s="934"/>
      <c r="V97" s="934"/>
      <c r="W97" s="934"/>
      <c r="X97" s="934"/>
      <c r="Y97" s="934"/>
      <c r="Z97" s="934"/>
      <c r="AA97" s="934"/>
      <c r="AB97" s="934"/>
      <c r="AC97" s="934">
        <v>1</v>
      </c>
      <c r="AD97" s="1048">
        <v>1</v>
      </c>
      <c r="AE97" s="1048"/>
      <c r="AF97" s="1048">
        <f t="shared" si="75"/>
        <v>1</v>
      </c>
      <c r="AG97" s="1048"/>
      <c r="AH97" s="934"/>
      <c r="AI97" s="934"/>
      <c r="AJ97" s="1074">
        <v>1</v>
      </c>
      <c r="AK97" s="1074">
        <v>1</v>
      </c>
      <c r="AL97" s="1074"/>
      <c r="AM97" s="1074"/>
      <c r="AN97" s="1049">
        <f t="shared" si="76"/>
        <v>1</v>
      </c>
      <c r="AO97" s="1049"/>
      <c r="AP97" s="1049"/>
      <c r="AQ97" s="1049"/>
      <c r="AR97" s="1049"/>
      <c r="AS97" s="934"/>
      <c r="AT97" s="934"/>
      <c r="AU97" s="934">
        <f t="shared" si="77"/>
        <v>0</v>
      </c>
      <c r="AV97" s="934"/>
      <c r="AW97" s="934"/>
      <c r="AX97" s="934"/>
      <c r="AY97" s="934"/>
      <c r="AZ97" s="934"/>
      <c r="BA97" s="934">
        <f t="shared" si="70"/>
        <v>1</v>
      </c>
      <c r="BB97" s="1061">
        <f t="shared" si="71"/>
        <v>66.400000000000006</v>
      </c>
      <c r="BC97" s="934"/>
      <c r="BD97" s="934">
        <f>AZ97</f>
        <v>0</v>
      </c>
      <c r="BE97" s="934"/>
      <c r="BF97" s="934"/>
      <c r="BG97" s="934"/>
      <c r="BH97" s="934">
        <v>1</v>
      </c>
      <c r="BI97" s="934"/>
      <c r="BJ97" s="934"/>
      <c r="BK97" s="934">
        <v>1</v>
      </c>
      <c r="BL97" s="1085">
        <f t="shared" si="73"/>
        <v>0</v>
      </c>
      <c r="BM97" s="934"/>
      <c r="BN97" s="934"/>
      <c r="BO97" s="1048">
        <v>1</v>
      </c>
      <c r="BP97" s="1048"/>
      <c r="BQ97" s="1048"/>
      <c r="BR97" s="1048"/>
      <c r="BS97" s="1048"/>
      <c r="BT97" s="934">
        <v>1</v>
      </c>
      <c r="BU97" s="934"/>
      <c r="BV97" s="934"/>
      <c r="BW97" s="934"/>
      <c r="BX97" s="934"/>
      <c r="BY97" s="934" t="s">
        <v>871</v>
      </c>
      <c r="BZ97" s="1077"/>
      <c r="CA97" s="1072"/>
    </row>
    <row r="98" spans="4:79" s="940" customFormat="1" ht="21.6">
      <c r="D98" s="1373" t="s">
        <v>935</v>
      </c>
      <c r="E98" s="1129" t="s">
        <v>800</v>
      </c>
      <c r="F98" s="1130"/>
      <c r="G98" s="1130"/>
      <c r="H98" s="1131">
        <f>SUM(H88:H97)</f>
        <v>544.29999999999995</v>
      </c>
      <c r="I98" s="1131">
        <f t="shared" ref="I98:BT98" si="79">SUM(I88:I97)</f>
        <v>544.29999999999995</v>
      </c>
      <c r="J98" s="1131">
        <f t="shared" si="79"/>
        <v>544.29999999999995</v>
      </c>
      <c r="K98" s="1131">
        <f t="shared" si="79"/>
        <v>0</v>
      </c>
      <c r="L98" s="1131">
        <f t="shared" si="79"/>
        <v>544.29999999999995</v>
      </c>
      <c r="M98" s="1131">
        <f t="shared" si="79"/>
        <v>0</v>
      </c>
      <c r="N98" s="1131">
        <f t="shared" si="79"/>
        <v>0</v>
      </c>
      <c r="O98" s="1131">
        <f t="shared" si="79"/>
        <v>0</v>
      </c>
      <c r="P98" s="1131">
        <f t="shared" si="79"/>
        <v>0</v>
      </c>
      <c r="Q98" s="1131">
        <f t="shared" si="79"/>
        <v>6</v>
      </c>
      <c r="R98" s="1131">
        <f t="shared" si="79"/>
        <v>3</v>
      </c>
      <c r="S98" s="1131">
        <f t="shared" si="79"/>
        <v>0</v>
      </c>
      <c r="T98" s="1131">
        <f t="shared" si="79"/>
        <v>0</v>
      </c>
      <c r="U98" s="1131">
        <f t="shared" si="79"/>
        <v>1</v>
      </c>
      <c r="V98" s="1131">
        <f t="shared" si="79"/>
        <v>2</v>
      </c>
      <c r="W98" s="1131">
        <f t="shared" si="79"/>
        <v>10</v>
      </c>
      <c r="X98" s="1131">
        <f t="shared" si="79"/>
        <v>1</v>
      </c>
      <c r="Y98" s="1131">
        <f t="shared" si="79"/>
        <v>0</v>
      </c>
      <c r="Z98" s="1131">
        <f t="shared" si="79"/>
        <v>1</v>
      </c>
      <c r="AA98" s="1131">
        <f t="shared" si="79"/>
        <v>4</v>
      </c>
      <c r="AB98" s="1131">
        <f t="shared" si="79"/>
        <v>0</v>
      </c>
      <c r="AC98" s="1131">
        <f t="shared" si="79"/>
        <v>4</v>
      </c>
      <c r="AD98" s="1131">
        <f t="shared" si="79"/>
        <v>4</v>
      </c>
      <c r="AE98" s="1131">
        <f t="shared" si="79"/>
        <v>0</v>
      </c>
      <c r="AF98" s="1131">
        <f t="shared" si="79"/>
        <v>4</v>
      </c>
      <c r="AG98" s="1131">
        <f t="shared" si="79"/>
        <v>0</v>
      </c>
      <c r="AH98" s="1131">
        <f t="shared" si="79"/>
        <v>0</v>
      </c>
      <c r="AI98" s="1131">
        <f t="shared" si="79"/>
        <v>0</v>
      </c>
      <c r="AJ98" s="1131">
        <f t="shared" si="79"/>
        <v>2</v>
      </c>
      <c r="AK98" s="1131">
        <f t="shared" si="79"/>
        <v>1</v>
      </c>
      <c r="AL98" s="1131">
        <f t="shared" si="79"/>
        <v>1</v>
      </c>
      <c r="AM98" s="1131">
        <f t="shared" si="79"/>
        <v>1</v>
      </c>
      <c r="AN98" s="1131">
        <f t="shared" si="79"/>
        <v>3</v>
      </c>
      <c r="AO98" s="1131">
        <f t="shared" si="79"/>
        <v>1</v>
      </c>
      <c r="AP98" s="1131">
        <f t="shared" si="79"/>
        <v>0</v>
      </c>
      <c r="AQ98" s="1131">
        <f t="shared" si="79"/>
        <v>1</v>
      </c>
      <c r="AR98" s="1131">
        <f t="shared" si="79"/>
        <v>0</v>
      </c>
      <c r="AS98" s="1131">
        <f t="shared" si="79"/>
        <v>1.5</v>
      </c>
      <c r="AT98" s="1131">
        <f t="shared" si="79"/>
        <v>0</v>
      </c>
      <c r="AU98" s="1131">
        <f t="shared" si="79"/>
        <v>1.5</v>
      </c>
      <c r="AV98" s="1131">
        <f t="shared" si="79"/>
        <v>0</v>
      </c>
      <c r="AW98" s="1131">
        <f t="shared" si="79"/>
        <v>2</v>
      </c>
      <c r="AX98" s="1131">
        <f t="shared" si="79"/>
        <v>3</v>
      </c>
      <c r="AY98" s="1131">
        <f t="shared" si="79"/>
        <v>10</v>
      </c>
      <c r="AZ98" s="1131">
        <f t="shared" si="79"/>
        <v>1</v>
      </c>
      <c r="BA98" s="1131">
        <f t="shared" si="79"/>
        <v>4</v>
      </c>
      <c r="BB98" s="1131">
        <f t="shared" si="79"/>
        <v>544.29999999999995</v>
      </c>
      <c r="BC98" s="1131">
        <f t="shared" si="79"/>
        <v>0</v>
      </c>
      <c r="BD98" s="1131">
        <f t="shared" si="79"/>
        <v>1</v>
      </c>
      <c r="BE98" s="1131">
        <f t="shared" si="79"/>
        <v>4</v>
      </c>
      <c r="BF98" s="1131">
        <f t="shared" si="79"/>
        <v>8</v>
      </c>
      <c r="BG98" s="1131">
        <f t="shared" si="79"/>
        <v>0</v>
      </c>
      <c r="BH98" s="1131">
        <f t="shared" si="79"/>
        <v>6</v>
      </c>
      <c r="BI98" s="1131">
        <f t="shared" si="79"/>
        <v>3</v>
      </c>
      <c r="BJ98" s="1131">
        <f t="shared" si="79"/>
        <v>0</v>
      </c>
      <c r="BK98" s="1131">
        <f t="shared" si="79"/>
        <v>4</v>
      </c>
      <c r="BL98" s="1131">
        <f t="shared" si="79"/>
        <v>10</v>
      </c>
      <c r="BM98" s="1131">
        <f t="shared" si="79"/>
        <v>0</v>
      </c>
      <c r="BN98" s="1131">
        <f t="shared" si="79"/>
        <v>0</v>
      </c>
      <c r="BO98" s="1131">
        <f t="shared" si="79"/>
        <v>4</v>
      </c>
      <c r="BP98" s="1131">
        <f t="shared" si="79"/>
        <v>0</v>
      </c>
      <c r="BQ98" s="1131">
        <f t="shared" si="79"/>
        <v>0</v>
      </c>
      <c r="BR98" s="1131">
        <f t="shared" si="79"/>
        <v>1</v>
      </c>
      <c r="BS98" s="1131">
        <f t="shared" si="79"/>
        <v>2</v>
      </c>
      <c r="BT98" s="1131">
        <f t="shared" si="79"/>
        <v>3</v>
      </c>
      <c r="BU98" s="1131">
        <f t="shared" ref="BU98:BW98" si="80">SUM(BU88:BU97)</f>
        <v>0</v>
      </c>
      <c r="BV98" s="1131">
        <f t="shared" si="80"/>
        <v>1</v>
      </c>
      <c r="BW98" s="1131">
        <f t="shared" si="80"/>
        <v>0</v>
      </c>
      <c r="BX98" s="1132">
        <f>SUM(BX88:BX97)</f>
        <v>0</v>
      </c>
      <c r="BY98" s="1133"/>
      <c r="BZ98" s="1090"/>
      <c r="CA98" s="1091"/>
    </row>
    <row r="99" spans="4:79" s="977" customFormat="1" ht="21.6">
      <c r="D99" s="1372" t="s">
        <v>935</v>
      </c>
      <c r="E99" s="1118" t="s">
        <v>801</v>
      </c>
      <c r="F99" s="1119"/>
      <c r="G99" s="1119"/>
      <c r="H99" s="1120"/>
      <c r="I99" s="1120"/>
      <c r="J99" s="1120"/>
      <c r="K99" s="1120"/>
      <c r="L99" s="1120"/>
      <c r="M99" s="1183"/>
      <c r="N99" s="1122"/>
      <c r="O99" s="1123"/>
      <c r="P99" s="1124"/>
      <c r="Q99" s="1124"/>
      <c r="R99" s="1124"/>
      <c r="S99" s="1124"/>
      <c r="T99" s="1124"/>
      <c r="U99" s="1124"/>
      <c r="V99" s="1124"/>
      <c r="W99" s="1124"/>
      <c r="X99" s="1124"/>
      <c r="Y99" s="1124"/>
      <c r="Z99" s="1124"/>
      <c r="AA99" s="1124"/>
      <c r="AB99" s="1124"/>
      <c r="AC99" s="1124"/>
      <c r="AD99" s="1125"/>
      <c r="AE99" s="1125"/>
      <c r="AF99" s="1125"/>
      <c r="AG99" s="1125"/>
      <c r="AH99" s="1124"/>
      <c r="AI99" s="1124"/>
      <c r="AJ99" s="1126"/>
      <c r="AK99" s="1126"/>
      <c r="AL99" s="1126"/>
      <c r="AM99" s="1126"/>
      <c r="AN99" s="1121"/>
      <c r="AO99" s="1121"/>
      <c r="AP99" s="1121"/>
      <c r="AQ99" s="1121"/>
      <c r="AR99" s="1121"/>
      <c r="AS99" s="1124"/>
      <c r="AT99" s="1124"/>
      <c r="AU99" s="1124"/>
      <c r="AV99" s="1124"/>
      <c r="AW99" s="1124"/>
      <c r="AX99" s="1124"/>
      <c r="AY99" s="1124"/>
      <c r="AZ99" s="1124"/>
      <c r="BA99" s="1124"/>
      <c r="BB99" s="1128"/>
      <c r="BC99" s="1124"/>
      <c r="BD99" s="1124"/>
      <c r="BE99" s="1124"/>
      <c r="BF99" s="1124"/>
      <c r="BG99" s="1124"/>
      <c r="BH99" s="1124"/>
      <c r="BI99" s="1124"/>
      <c r="BJ99" s="1124"/>
      <c r="BK99" s="1124"/>
      <c r="BL99" s="1124"/>
      <c r="BM99" s="1124"/>
      <c r="BN99" s="1124"/>
      <c r="BO99" s="1125"/>
      <c r="BP99" s="1125"/>
      <c r="BQ99" s="1125"/>
      <c r="BR99" s="1125"/>
      <c r="BS99" s="1125"/>
      <c r="BT99" s="1124"/>
      <c r="BU99" s="1124"/>
      <c r="BV99" s="1124"/>
      <c r="BW99" s="1124"/>
      <c r="BX99" s="1124"/>
      <c r="BY99" s="1127"/>
      <c r="BZ99" s="1077"/>
      <c r="CA99" s="1072"/>
    </row>
    <row r="100" spans="4:79" s="977" customFormat="1" ht="21.6">
      <c r="E100" s="1080" t="s">
        <v>768</v>
      </c>
      <c r="F100" s="1081" t="s">
        <v>377</v>
      </c>
      <c r="G100" s="1081" t="s">
        <v>377</v>
      </c>
      <c r="H100" s="1082"/>
      <c r="I100" s="1082">
        <f>H100</f>
        <v>0</v>
      </c>
      <c r="J100" s="1082">
        <f t="shared" ref="J100:J139" si="81">H100</f>
        <v>0</v>
      </c>
      <c r="K100" s="1082"/>
      <c r="L100" s="1082">
        <f t="shared" ref="L100:L139" si="82">I100</f>
        <v>0</v>
      </c>
      <c r="M100" s="1182"/>
      <c r="N100" s="1083"/>
      <c r="O100" s="1084">
        <f t="shared" ref="O100:O137" si="83">N100+M100</f>
        <v>0</v>
      </c>
      <c r="P100" s="1085"/>
      <c r="Q100" s="1085">
        <v>1</v>
      </c>
      <c r="R100" s="1085"/>
      <c r="S100" s="1085"/>
      <c r="T100" s="1085"/>
      <c r="U100" s="1085"/>
      <c r="V100" s="1085"/>
      <c r="W100" s="1085"/>
      <c r="X100" s="1085"/>
      <c r="Y100" s="1085"/>
      <c r="Z100" s="1085"/>
      <c r="AA100" s="1085"/>
      <c r="AB100" s="1085"/>
      <c r="AC100" s="1085">
        <v>1</v>
      </c>
      <c r="AD100" s="1086">
        <v>1</v>
      </c>
      <c r="AE100" s="1086"/>
      <c r="AF100" s="1086">
        <f>AD100+AE100</f>
        <v>1</v>
      </c>
      <c r="AG100" s="1086"/>
      <c r="AH100" s="1085"/>
      <c r="AI100" s="1085"/>
      <c r="AJ100" s="1087">
        <v>1</v>
      </c>
      <c r="AK100" s="1087"/>
      <c r="AL100" s="1087">
        <v>1</v>
      </c>
      <c r="AM100" s="1087"/>
      <c r="AN100" s="1071">
        <f>AM100+AJ100</f>
        <v>1</v>
      </c>
      <c r="AO100" s="1071"/>
      <c r="AP100" s="1071"/>
      <c r="AQ100" s="1071"/>
      <c r="AR100" s="1071"/>
      <c r="AS100" s="1085">
        <v>0.5</v>
      </c>
      <c r="AT100" s="1085"/>
      <c r="AU100" s="1085">
        <f>AS100</f>
        <v>0.5</v>
      </c>
      <c r="AV100" s="1085"/>
      <c r="AW100" s="1085">
        <v>1</v>
      </c>
      <c r="AX100" s="1085"/>
      <c r="AY100" s="1085"/>
      <c r="AZ100" s="1085"/>
      <c r="BA100" s="934">
        <f t="shared" ref="BA100:BA139" si="84">IF(F100="2DT",2,IF(F100="DT",1,IF(F100="2DT-90",2,0)))</f>
        <v>1</v>
      </c>
      <c r="BB100" s="1089">
        <f t="shared" ref="BB100:BB139" si="85">J100</f>
        <v>0</v>
      </c>
      <c r="BC100" s="1085"/>
      <c r="BD100" s="1085">
        <f>AZ100</f>
        <v>0</v>
      </c>
      <c r="BE100" s="1085"/>
      <c r="BF100" s="1085"/>
      <c r="BG100" s="1085">
        <f t="shared" ref="BG100:BG139" si="86">P100</f>
        <v>0</v>
      </c>
      <c r="BH100" s="1085">
        <f t="shared" ref="BH100:BH139" si="87">Q100</f>
        <v>1</v>
      </c>
      <c r="BI100" s="1085">
        <f t="shared" ref="BI100:BI139" si="88">R100</f>
        <v>0</v>
      </c>
      <c r="BJ100" s="1085"/>
      <c r="BK100" s="1085">
        <v>1</v>
      </c>
      <c r="BL100" s="1085">
        <f t="shared" ref="BL100:BL139" si="89">IF(F100="G",2,IF(F100="I",1,0))</f>
        <v>0</v>
      </c>
      <c r="BM100" s="1085"/>
      <c r="BN100" s="1085"/>
      <c r="BO100" s="1086">
        <v>1</v>
      </c>
      <c r="BP100" s="1086"/>
      <c r="BQ100" s="1086"/>
      <c r="BR100" s="1086"/>
      <c r="BS100" s="1086">
        <v>1</v>
      </c>
      <c r="BT100" s="1085">
        <v>2</v>
      </c>
      <c r="BU100" s="1085"/>
      <c r="BV100" s="1085"/>
      <c r="BW100" s="1085"/>
      <c r="BX100" s="1085"/>
      <c r="BY100" s="1088"/>
      <c r="BZ100" s="1077"/>
      <c r="CA100" s="1072"/>
    </row>
    <row r="101" spans="4:79" s="977" customFormat="1" ht="21.6">
      <c r="E101" s="1056" t="s">
        <v>614</v>
      </c>
      <c r="F101" s="1073" t="s">
        <v>148</v>
      </c>
      <c r="G101" s="1073" t="s">
        <v>148</v>
      </c>
      <c r="H101" s="1066">
        <v>24</v>
      </c>
      <c r="I101" s="1066">
        <f>H101</f>
        <v>24</v>
      </c>
      <c r="J101" s="1066">
        <f t="shared" si="81"/>
        <v>24</v>
      </c>
      <c r="K101" s="1066"/>
      <c r="L101" s="1066">
        <f t="shared" si="82"/>
        <v>24</v>
      </c>
      <c r="M101" s="1178"/>
      <c r="N101" s="1057"/>
      <c r="O101" s="1058">
        <f t="shared" si="83"/>
        <v>0</v>
      </c>
      <c r="P101" s="934"/>
      <c r="Q101" s="934">
        <v>1</v>
      </c>
      <c r="R101" s="934"/>
      <c r="S101" s="934"/>
      <c r="T101" s="934"/>
      <c r="U101" s="934"/>
      <c r="V101" s="934"/>
      <c r="W101" s="934"/>
      <c r="X101" s="934"/>
      <c r="Y101" s="934"/>
      <c r="Z101" s="934"/>
      <c r="AA101" s="934"/>
      <c r="AB101" s="934"/>
      <c r="AC101" s="934">
        <v>2</v>
      </c>
      <c r="AD101" s="1048">
        <v>2</v>
      </c>
      <c r="AE101" s="1048"/>
      <c r="AF101" s="1048">
        <f>AD101+AE101</f>
        <v>2</v>
      </c>
      <c r="AG101" s="1048"/>
      <c r="AH101" s="934"/>
      <c r="AI101" s="934"/>
      <c r="AJ101" s="1074"/>
      <c r="AK101" s="1074"/>
      <c r="AL101" s="1074"/>
      <c r="AM101" s="1074"/>
      <c r="AN101" s="1049">
        <f>AM101+AJ101</f>
        <v>0</v>
      </c>
      <c r="AO101" s="1049">
        <v>1</v>
      </c>
      <c r="AP101" s="1049"/>
      <c r="AQ101" s="1049"/>
      <c r="AR101" s="1049">
        <v>1</v>
      </c>
      <c r="AS101" s="934">
        <v>1</v>
      </c>
      <c r="AT101" s="934"/>
      <c r="AU101" s="934">
        <v>1</v>
      </c>
      <c r="AV101" s="934"/>
      <c r="AW101" s="934">
        <v>2</v>
      </c>
      <c r="AX101" s="934"/>
      <c r="AY101" s="934"/>
      <c r="AZ101" s="934">
        <v>1</v>
      </c>
      <c r="BA101" s="934">
        <f t="shared" si="84"/>
        <v>2</v>
      </c>
      <c r="BB101" s="1061">
        <f t="shared" si="85"/>
        <v>24</v>
      </c>
      <c r="BC101" s="934"/>
      <c r="BD101" s="934">
        <f>AZ101</f>
        <v>1</v>
      </c>
      <c r="BE101" s="934"/>
      <c r="BF101" s="934"/>
      <c r="BG101" s="1085">
        <f t="shared" si="86"/>
        <v>0</v>
      </c>
      <c r="BH101" s="1085">
        <f t="shared" si="87"/>
        <v>1</v>
      </c>
      <c r="BI101" s="1085">
        <f t="shared" si="88"/>
        <v>0</v>
      </c>
      <c r="BJ101" s="934"/>
      <c r="BK101" s="934">
        <v>2</v>
      </c>
      <c r="BL101" s="1085">
        <f t="shared" si="89"/>
        <v>0</v>
      </c>
      <c r="BM101" s="934"/>
      <c r="BN101" s="934"/>
      <c r="BO101" s="1048">
        <v>2</v>
      </c>
      <c r="BP101" s="1048"/>
      <c r="BQ101" s="1048"/>
      <c r="BR101" s="1048"/>
      <c r="BS101" s="1048">
        <v>2</v>
      </c>
      <c r="BT101" s="934">
        <v>2</v>
      </c>
      <c r="BU101" s="934"/>
      <c r="BV101" s="934"/>
      <c r="BW101" s="934">
        <v>1</v>
      </c>
      <c r="BX101" s="934"/>
      <c r="BY101" s="1076" t="s">
        <v>875</v>
      </c>
      <c r="BZ101" s="1077"/>
      <c r="CA101" s="1072"/>
    </row>
    <row r="102" spans="4:79" s="977" customFormat="1" ht="21.6">
      <c r="E102" s="1056" t="s">
        <v>615</v>
      </c>
      <c r="F102" s="1073" t="s">
        <v>374</v>
      </c>
      <c r="G102" s="1073" t="s">
        <v>374</v>
      </c>
      <c r="H102" s="1066">
        <v>62.3</v>
      </c>
      <c r="I102" s="1066">
        <f t="shared" ref="I102:I139" si="90">H102</f>
        <v>62.3</v>
      </c>
      <c r="J102" s="1066">
        <f t="shared" si="81"/>
        <v>62.3</v>
      </c>
      <c r="K102" s="1066"/>
      <c r="L102" s="1066">
        <f t="shared" si="82"/>
        <v>62.3</v>
      </c>
      <c r="M102" s="1178"/>
      <c r="N102" s="1057"/>
      <c r="O102" s="1058">
        <f t="shared" si="83"/>
        <v>0</v>
      </c>
      <c r="P102" s="934"/>
      <c r="Q102" s="934">
        <v>1</v>
      </c>
      <c r="R102" s="934"/>
      <c r="S102" s="934"/>
      <c r="T102" s="934"/>
      <c r="U102" s="934"/>
      <c r="V102" s="934"/>
      <c r="W102" s="934">
        <v>2</v>
      </c>
      <c r="X102" s="934"/>
      <c r="Y102" s="934"/>
      <c r="Z102" s="934"/>
      <c r="AA102" s="934">
        <v>1</v>
      </c>
      <c r="AB102" s="934"/>
      <c r="AC102" s="934"/>
      <c r="AD102" s="1048"/>
      <c r="AE102" s="1048"/>
      <c r="AF102" s="1048">
        <f t="shared" ref="AF102:AF139" si="91">AD102+AE102</f>
        <v>0</v>
      </c>
      <c r="AG102" s="1048"/>
      <c r="AH102" s="934"/>
      <c r="AI102" s="934"/>
      <c r="AJ102" s="1074"/>
      <c r="AK102" s="1074"/>
      <c r="AL102" s="1074"/>
      <c r="AM102" s="1074">
        <v>1</v>
      </c>
      <c r="AN102" s="1049">
        <f t="shared" ref="AN102:AN139" si="92">AM102+AJ102</f>
        <v>1</v>
      </c>
      <c r="AO102" s="1049"/>
      <c r="AP102" s="1049"/>
      <c r="AQ102" s="1049"/>
      <c r="AR102" s="1049"/>
      <c r="AS102" s="934"/>
      <c r="AT102" s="934"/>
      <c r="AU102" s="934"/>
      <c r="AV102" s="934"/>
      <c r="AW102" s="934"/>
      <c r="AX102" s="934"/>
      <c r="AY102" s="934">
        <v>2</v>
      </c>
      <c r="AZ102" s="934"/>
      <c r="BA102" s="934">
        <f t="shared" si="84"/>
        <v>0</v>
      </c>
      <c r="BB102" s="1061">
        <f t="shared" si="85"/>
        <v>62.3</v>
      </c>
      <c r="BC102" s="934"/>
      <c r="BD102" s="934">
        <f t="shared" ref="BD102:BD139" si="93">AZ102</f>
        <v>0</v>
      </c>
      <c r="BE102" s="934"/>
      <c r="BF102" s="934">
        <v>2</v>
      </c>
      <c r="BG102" s="1085">
        <f t="shared" si="86"/>
        <v>0</v>
      </c>
      <c r="BH102" s="1085">
        <f t="shared" si="87"/>
        <v>1</v>
      </c>
      <c r="BI102" s="1085">
        <f t="shared" si="88"/>
        <v>0</v>
      </c>
      <c r="BJ102" s="934"/>
      <c r="BK102" s="934"/>
      <c r="BL102" s="1085">
        <f t="shared" si="89"/>
        <v>2</v>
      </c>
      <c r="BM102" s="934"/>
      <c r="BN102" s="934"/>
      <c r="BO102" s="1048"/>
      <c r="BP102" s="1048"/>
      <c r="BQ102" s="1048"/>
      <c r="BR102" s="1048"/>
      <c r="BS102" s="1048"/>
      <c r="BT102" s="934"/>
      <c r="BU102" s="934"/>
      <c r="BV102" s="934"/>
      <c r="BW102" s="934"/>
      <c r="BX102" s="934"/>
      <c r="BY102" s="1076"/>
      <c r="BZ102" s="1077"/>
      <c r="CA102" s="1072"/>
    </row>
    <row r="103" spans="4:79" s="977" customFormat="1" ht="21.6">
      <c r="E103" s="1056" t="s">
        <v>616</v>
      </c>
      <c r="F103" s="1073" t="s">
        <v>374</v>
      </c>
      <c r="G103" s="1073" t="s">
        <v>374</v>
      </c>
      <c r="H103" s="1066">
        <v>57.3</v>
      </c>
      <c r="I103" s="1066">
        <f t="shared" si="90"/>
        <v>57.3</v>
      </c>
      <c r="J103" s="1066">
        <f t="shared" si="81"/>
        <v>57.3</v>
      </c>
      <c r="K103" s="1066"/>
      <c r="L103" s="1066">
        <f t="shared" si="82"/>
        <v>57.3</v>
      </c>
      <c r="M103" s="1178"/>
      <c r="N103" s="1057"/>
      <c r="O103" s="1058">
        <f t="shared" si="83"/>
        <v>0</v>
      </c>
      <c r="P103" s="934"/>
      <c r="Q103" s="934">
        <v>1</v>
      </c>
      <c r="R103" s="934"/>
      <c r="S103" s="934"/>
      <c r="T103" s="934"/>
      <c r="U103" s="934"/>
      <c r="V103" s="934"/>
      <c r="W103" s="934">
        <v>2</v>
      </c>
      <c r="X103" s="934"/>
      <c r="Y103" s="934"/>
      <c r="Z103" s="934"/>
      <c r="AA103" s="934">
        <v>1</v>
      </c>
      <c r="AB103" s="934"/>
      <c r="AC103" s="934"/>
      <c r="AD103" s="1048"/>
      <c r="AE103" s="1048"/>
      <c r="AF103" s="1048">
        <f t="shared" si="91"/>
        <v>0</v>
      </c>
      <c r="AG103" s="1048"/>
      <c r="AH103" s="934"/>
      <c r="AI103" s="934"/>
      <c r="AJ103" s="1074"/>
      <c r="AK103" s="1074"/>
      <c r="AL103" s="1074"/>
      <c r="AM103" s="1074"/>
      <c r="AN103" s="1049">
        <f t="shared" si="92"/>
        <v>0</v>
      </c>
      <c r="AO103" s="1049"/>
      <c r="AP103" s="1049"/>
      <c r="AQ103" s="1049"/>
      <c r="AR103" s="1049"/>
      <c r="AS103" s="934"/>
      <c r="AT103" s="934"/>
      <c r="AU103" s="934"/>
      <c r="AV103" s="934"/>
      <c r="AW103" s="934"/>
      <c r="AX103" s="934"/>
      <c r="AY103" s="934">
        <v>2</v>
      </c>
      <c r="AZ103" s="934"/>
      <c r="BA103" s="934">
        <f t="shared" si="84"/>
        <v>0</v>
      </c>
      <c r="BB103" s="1061">
        <f t="shared" si="85"/>
        <v>57.3</v>
      </c>
      <c r="BC103" s="934"/>
      <c r="BD103" s="934">
        <f t="shared" si="93"/>
        <v>0</v>
      </c>
      <c r="BE103" s="934"/>
      <c r="BF103" s="934">
        <v>2</v>
      </c>
      <c r="BG103" s="1085">
        <f t="shared" si="86"/>
        <v>0</v>
      </c>
      <c r="BH103" s="1085">
        <f t="shared" si="87"/>
        <v>1</v>
      </c>
      <c r="BI103" s="1085">
        <f t="shared" si="88"/>
        <v>0</v>
      </c>
      <c r="BJ103" s="934"/>
      <c r="BK103" s="934"/>
      <c r="BL103" s="1085">
        <f t="shared" si="89"/>
        <v>2</v>
      </c>
      <c r="BM103" s="934"/>
      <c r="BN103" s="934"/>
      <c r="BO103" s="1048"/>
      <c r="BP103" s="1048"/>
      <c r="BQ103" s="1048"/>
      <c r="BR103" s="1048"/>
      <c r="BS103" s="1048"/>
      <c r="BT103" s="934"/>
      <c r="BU103" s="934"/>
      <c r="BV103" s="934"/>
      <c r="BW103" s="934"/>
      <c r="BX103" s="934"/>
      <c r="BY103" s="1076"/>
      <c r="BZ103" s="1077"/>
      <c r="CA103" s="1072"/>
    </row>
    <row r="104" spans="4:79" s="977" customFormat="1" ht="21.6">
      <c r="E104" s="1056" t="s">
        <v>617</v>
      </c>
      <c r="F104" s="1073" t="s">
        <v>80</v>
      </c>
      <c r="G104" s="1073" t="s">
        <v>80</v>
      </c>
      <c r="H104" s="1066">
        <v>64.400000000000006</v>
      </c>
      <c r="I104" s="1066">
        <f t="shared" si="90"/>
        <v>64.400000000000006</v>
      </c>
      <c r="J104" s="1066">
        <f t="shared" si="81"/>
        <v>64.400000000000006</v>
      </c>
      <c r="K104" s="1066"/>
      <c r="L104" s="1066">
        <f t="shared" si="82"/>
        <v>64.400000000000006</v>
      </c>
      <c r="M104" s="1178"/>
      <c r="N104" s="1057"/>
      <c r="O104" s="1058">
        <f t="shared" si="83"/>
        <v>0</v>
      </c>
      <c r="P104" s="934"/>
      <c r="Q104" s="934"/>
      <c r="R104" s="934"/>
      <c r="S104" s="934"/>
      <c r="T104" s="934"/>
      <c r="U104" s="934"/>
      <c r="V104" s="934">
        <v>1</v>
      </c>
      <c r="W104" s="934">
        <v>1</v>
      </c>
      <c r="X104" s="934"/>
      <c r="Y104" s="934"/>
      <c r="Z104" s="934"/>
      <c r="AA104" s="934"/>
      <c r="AB104" s="934"/>
      <c r="AC104" s="934"/>
      <c r="AD104" s="1048"/>
      <c r="AE104" s="1048"/>
      <c r="AF104" s="1048">
        <f t="shared" si="91"/>
        <v>0</v>
      </c>
      <c r="AG104" s="1048"/>
      <c r="AH104" s="934"/>
      <c r="AI104" s="934"/>
      <c r="AJ104" s="1074"/>
      <c r="AK104" s="1074"/>
      <c r="AL104" s="1074"/>
      <c r="AM104" s="1074"/>
      <c r="AN104" s="1049">
        <f t="shared" si="92"/>
        <v>0</v>
      </c>
      <c r="AO104" s="1049"/>
      <c r="AP104" s="1049"/>
      <c r="AQ104" s="1049"/>
      <c r="AR104" s="1049"/>
      <c r="AS104" s="934"/>
      <c r="AT104" s="934"/>
      <c r="AU104" s="934"/>
      <c r="AV104" s="934"/>
      <c r="AW104" s="934"/>
      <c r="AX104" s="934">
        <v>1</v>
      </c>
      <c r="AY104" s="934"/>
      <c r="AZ104" s="934"/>
      <c r="BA104" s="934">
        <f t="shared" si="84"/>
        <v>0</v>
      </c>
      <c r="BB104" s="1061">
        <f t="shared" si="85"/>
        <v>64.400000000000006</v>
      </c>
      <c r="BC104" s="934"/>
      <c r="BD104" s="934">
        <f t="shared" si="93"/>
        <v>0</v>
      </c>
      <c r="BE104" s="934">
        <v>2</v>
      </c>
      <c r="BF104" s="934"/>
      <c r="BG104" s="1085">
        <f t="shared" si="86"/>
        <v>0</v>
      </c>
      <c r="BH104" s="1085">
        <f t="shared" si="87"/>
        <v>0</v>
      </c>
      <c r="BI104" s="1085">
        <f t="shared" si="88"/>
        <v>0</v>
      </c>
      <c r="BJ104" s="934"/>
      <c r="BK104" s="934"/>
      <c r="BL104" s="1085">
        <f t="shared" si="89"/>
        <v>1</v>
      </c>
      <c r="BM104" s="934"/>
      <c r="BN104" s="934"/>
      <c r="BO104" s="1048"/>
      <c r="BP104" s="1048"/>
      <c r="BQ104" s="1048"/>
      <c r="BR104" s="1048"/>
      <c r="BS104" s="1048"/>
      <c r="BT104" s="934"/>
      <c r="BU104" s="934"/>
      <c r="BV104" s="934"/>
      <c r="BW104" s="934"/>
      <c r="BX104" s="934"/>
      <c r="BY104" s="1076"/>
      <c r="BZ104" s="1077"/>
      <c r="CA104" s="1072"/>
    </row>
    <row r="105" spans="4:79" s="1187" customFormat="1" ht="21.6">
      <c r="E105" s="1189" t="s">
        <v>739</v>
      </c>
      <c r="F105" s="1190"/>
      <c r="G105" s="1190" t="s">
        <v>80</v>
      </c>
      <c r="H105" s="1191">
        <v>35</v>
      </c>
      <c r="I105" s="1201">
        <f t="shared" si="90"/>
        <v>35</v>
      </c>
      <c r="J105" s="1191">
        <f t="shared" si="81"/>
        <v>35</v>
      </c>
      <c r="K105" s="1191"/>
      <c r="L105" s="1201">
        <f t="shared" si="82"/>
        <v>35</v>
      </c>
      <c r="M105" s="1178">
        <v>1</v>
      </c>
      <c r="N105" s="1178"/>
      <c r="O105" s="1194">
        <f t="shared" si="83"/>
        <v>1</v>
      </c>
      <c r="P105" s="1195"/>
      <c r="Q105" s="1195"/>
      <c r="R105" s="1195"/>
      <c r="S105" s="1195"/>
      <c r="T105" s="1195"/>
      <c r="U105" s="1195">
        <v>1</v>
      </c>
      <c r="V105" s="1195"/>
      <c r="W105" s="1195"/>
      <c r="X105" s="1195">
        <v>1</v>
      </c>
      <c r="Y105" s="1195"/>
      <c r="Z105" s="1195"/>
      <c r="AA105" s="1195"/>
      <c r="AB105" s="1195">
        <v>1</v>
      </c>
      <c r="AC105" s="1195"/>
      <c r="AD105" s="1196"/>
      <c r="AE105" s="1196"/>
      <c r="AF105" s="1048">
        <f t="shared" si="91"/>
        <v>0</v>
      </c>
      <c r="AG105" s="1196"/>
      <c r="AH105" s="1195"/>
      <c r="AI105" s="1195"/>
      <c r="AJ105" s="1197"/>
      <c r="AK105" s="1197"/>
      <c r="AL105" s="1197"/>
      <c r="AM105" s="1197"/>
      <c r="AN105" s="1049">
        <f t="shared" si="92"/>
        <v>0</v>
      </c>
      <c r="AO105" s="1193"/>
      <c r="AP105" s="1193"/>
      <c r="AQ105" s="1193"/>
      <c r="AR105" s="1193"/>
      <c r="AS105" s="1195"/>
      <c r="AT105" s="1195"/>
      <c r="AU105" s="1195"/>
      <c r="AV105" s="1195"/>
      <c r="AW105" s="1195"/>
      <c r="AX105" s="1195">
        <v>1</v>
      </c>
      <c r="AY105" s="1195"/>
      <c r="AZ105" s="1195"/>
      <c r="BA105" s="934">
        <f t="shared" si="84"/>
        <v>0</v>
      </c>
      <c r="BB105" s="1199">
        <f t="shared" si="85"/>
        <v>35</v>
      </c>
      <c r="BC105" s="1195"/>
      <c r="BD105" s="934">
        <f t="shared" si="93"/>
        <v>0</v>
      </c>
      <c r="BE105" s="1195"/>
      <c r="BF105" s="1195"/>
      <c r="BG105" s="1085">
        <f t="shared" si="86"/>
        <v>0</v>
      </c>
      <c r="BH105" s="1085">
        <f t="shared" si="87"/>
        <v>0</v>
      </c>
      <c r="BI105" s="1085">
        <f t="shared" si="88"/>
        <v>0</v>
      </c>
      <c r="BJ105" s="1195"/>
      <c r="BK105" s="1195"/>
      <c r="BL105" s="1085">
        <f t="shared" si="89"/>
        <v>0</v>
      </c>
      <c r="BM105" s="1195"/>
      <c r="BN105" s="1195"/>
      <c r="BO105" s="1196"/>
      <c r="BP105" s="1196"/>
      <c r="BQ105" s="1196"/>
      <c r="BR105" s="1196"/>
      <c r="BS105" s="1196"/>
      <c r="BT105" s="1195"/>
      <c r="BU105" s="1195"/>
      <c r="BV105" s="1195"/>
      <c r="BW105" s="1195"/>
      <c r="BX105" s="1195"/>
      <c r="BY105" s="1198"/>
      <c r="BZ105" s="1202"/>
      <c r="CA105" s="1200"/>
    </row>
    <row r="106" spans="4:79" s="977" customFormat="1" ht="21.6">
      <c r="E106" s="1056" t="s">
        <v>618</v>
      </c>
      <c r="F106" s="1073" t="s">
        <v>374</v>
      </c>
      <c r="G106" s="1073" t="s">
        <v>374</v>
      </c>
      <c r="H106" s="1066">
        <v>35</v>
      </c>
      <c r="I106" s="1066">
        <f t="shared" si="90"/>
        <v>35</v>
      </c>
      <c r="J106" s="1066">
        <f t="shared" si="81"/>
        <v>35</v>
      </c>
      <c r="K106" s="1066"/>
      <c r="L106" s="1066">
        <f t="shared" si="82"/>
        <v>35</v>
      </c>
      <c r="M106" s="1178"/>
      <c r="N106" s="1057"/>
      <c r="O106" s="1058">
        <f t="shared" si="83"/>
        <v>0</v>
      </c>
      <c r="P106" s="934"/>
      <c r="Q106" s="934">
        <v>1</v>
      </c>
      <c r="R106" s="934"/>
      <c r="S106" s="934"/>
      <c r="T106" s="934"/>
      <c r="U106" s="934"/>
      <c r="V106" s="934"/>
      <c r="W106" s="934">
        <v>2</v>
      </c>
      <c r="X106" s="934"/>
      <c r="Y106" s="934"/>
      <c r="Z106" s="934"/>
      <c r="AA106" s="934">
        <v>1</v>
      </c>
      <c r="AB106" s="934"/>
      <c r="AC106" s="934"/>
      <c r="AD106" s="1048"/>
      <c r="AE106" s="1048"/>
      <c r="AF106" s="1048">
        <f t="shared" si="91"/>
        <v>0</v>
      </c>
      <c r="AG106" s="1048"/>
      <c r="AH106" s="934"/>
      <c r="AI106" s="934"/>
      <c r="AJ106" s="1074"/>
      <c r="AK106" s="1074"/>
      <c r="AL106" s="1074"/>
      <c r="AM106" s="1074"/>
      <c r="AN106" s="1049">
        <f t="shared" si="92"/>
        <v>0</v>
      </c>
      <c r="AO106" s="1049"/>
      <c r="AP106" s="1049"/>
      <c r="AQ106" s="1049"/>
      <c r="AR106" s="1049"/>
      <c r="AS106" s="934"/>
      <c r="AT106" s="934"/>
      <c r="AU106" s="934"/>
      <c r="AV106" s="934"/>
      <c r="AW106" s="934"/>
      <c r="AX106" s="934"/>
      <c r="AY106" s="934">
        <v>2</v>
      </c>
      <c r="AZ106" s="934"/>
      <c r="BA106" s="934">
        <f t="shared" si="84"/>
        <v>0</v>
      </c>
      <c r="BB106" s="1061">
        <f t="shared" si="85"/>
        <v>35</v>
      </c>
      <c r="BC106" s="934"/>
      <c r="BD106" s="934">
        <f t="shared" si="93"/>
        <v>0</v>
      </c>
      <c r="BE106" s="934"/>
      <c r="BF106" s="934">
        <v>2</v>
      </c>
      <c r="BG106" s="1085">
        <f t="shared" si="86"/>
        <v>0</v>
      </c>
      <c r="BH106" s="1085">
        <f t="shared" si="87"/>
        <v>1</v>
      </c>
      <c r="BI106" s="1085">
        <f t="shared" si="88"/>
        <v>0</v>
      </c>
      <c r="BJ106" s="934"/>
      <c r="BK106" s="934"/>
      <c r="BL106" s="1085">
        <f t="shared" si="89"/>
        <v>2</v>
      </c>
      <c r="BM106" s="934"/>
      <c r="BN106" s="934"/>
      <c r="BO106" s="1048"/>
      <c r="BP106" s="1048"/>
      <c r="BQ106" s="1048"/>
      <c r="BR106" s="1048"/>
      <c r="BS106" s="1048"/>
      <c r="BT106" s="934"/>
      <c r="BU106" s="934"/>
      <c r="BV106" s="934"/>
      <c r="BW106" s="934"/>
      <c r="BX106" s="934"/>
      <c r="BY106" s="1076"/>
      <c r="BZ106" s="1077"/>
      <c r="CA106" s="1072"/>
    </row>
    <row r="107" spans="4:79" s="977" customFormat="1" ht="21.6">
      <c r="E107" s="1056" t="s">
        <v>619</v>
      </c>
      <c r="F107" s="1073" t="s">
        <v>374</v>
      </c>
      <c r="G107" s="1073" t="s">
        <v>374</v>
      </c>
      <c r="H107" s="1066">
        <v>59.9</v>
      </c>
      <c r="I107" s="1066">
        <f t="shared" si="90"/>
        <v>59.9</v>
      </c>
      <c r="J107" s="1066">
        <f t="shared" si="81"/>
        <v>59.9</v>
      </c>
      <c r="K107" s="1066"/>
      <c r="L107" s="1066">
        <f t="shared" si="82"/>
        <v>59.9</v>
      </c>
      <c r="M107" s="1178"/>
      <c r="N107" s="1057"/>
      <c r="O107" s="1058">
        <f t="shared" si="83"/>
        <v>0</v>
      </c>
      <c r="P107" s="934"/>
      <c r="Q107" s="934"/>
      <c r="R107" s="934">
        <v>1</v>
      </c>
      <c r="S107" s="934"/>
      <c r="T107" s="934"/>
      <c r="U107" s="934"/>
      <c r="V107" s="934"/>
      <c r="W107" s="934">
        <v>2</v>
      </c>
      <c r="X107" s="934"/>
      <c r="Y107" s="934"/>
      <c r="Z107" s="934"/>
      <c r="AA107" s="934">
        <v>1</v>
      </c>
      <c r="AB107" s="934"/>
      <c r="AC107" s="934"/>
      <c r="AD107" s="1048"/>
      <c r="AE107" s="1048"/>
      <c r="AF107" s="1048">
        <f t="shared" si="91"/>
        <v>0</v>
      </c>
      <c r="AG107" s="1048"/>
      <c r="AH107" s="934"/>
      <c r="AI107" s="934"/>
      <c r="AJ107" s="1074"/>
      <c r="AK107" s="1074"/>
      <c r="AL107" s="1074"/>
      <c r="AM107" s="1074"/>
      <c r="AN107" s="1049">
        <f t="shared" si="92"/>
        <v>0</v>
      </c>
      <c r="AO107" s="1049"/>
      <c r="AP107" s="1049"/>
      <c r="AQ107" s="1049"/>
      <c r="AR107" s="1049"/>
      <c r="AS107" s="934"/>
      <c r="AT107" s="934"/>
      <c r="AU107" s="934"/>
      <c r="AV107" s="934"/>
      <c r="AW107" s="934"/>
      <c r="AX107" s="934"/>
      <c r="AY107" s="934">
        <v>2</v>
      </c>
      <c r="AZ107" s="934"/>
      <c r="BA107" s="934">
        <f t="shared" si="84"/>
        <v>0</v>
      </c>
      <c r="BB107" s="1061">
        <f t="shared" si="85"/>
        <v>59.9</v>
      </c>
      <c r="BC107" s="934"/>
      <c r="BD107" s="934">
        <f t="shared" si="93"/>
        <v>0</v>
      </c>
      <c r="BE107" s="934"/>
      <c r="BF107" s="934">
        <v>2</v>
      </c>
      <c r="BG107" s="1085">
        <f t="shared" si="86"/>
        <v>0</v>
      </c>
      <c r="BH107" s="1085">
        <f t="shared" si="87"/>
        <v>0</v>
      </c>
      <c r="BI107" s="1085">
        <f t="shared" si="88"/>
        <v>1</v>
      </c>
      <c r="BJ107" s="934"/>
      <c r="BK107" s="934"/>
      <c r="BL107" s="1085">
        <f t="shared" si="89"/>
        <v>2</v>
      </c>
      <c r="BM107" s="934"/>
      <c r="BN107" s="934"/>
      <c r="BO107" s="1048"/>
      <c r="BP107" s="1048"/>
      <c r="BQ107" s="1048"/>
      <c r="BR107" s="1048"/>
      <c r="BS107" s="1048"/>
      <c r="BT107" s="934"/>
      <c r="BU107" s="934"/>
      <c r="BV107" s="934"/>
      <c r="BW107" s="934"/>
      <c r="BX107" s="934"/>
      <c r="BY107" s="1076"/>
      <c r="BZ107" s="1077"/>
      <c r="CA107" s="1072"/>
    </row>
    <row r="108" spans="4:79" s="1187" customFormat="1" ht="21.6">
      <c r="E108" s="1189" t="s">
        <v>790</v>
      </c>
      <c r="F108" s="1190"/>
      <c r="G108" s="1190" t="s">
        <v>80</v>
      </c>
      <c r="H108" s="1191">
        <v>34.9</v>
      </c>
      <c r="I108" s="1201">
        <f t="shared" si="90"/>
        <v>34.9</v>
      </c>
      <c r="J108" s="1191">
        <f t="shared" si="81"/>
        <v>34.9</v>
      </c>
      <c r="K108" s="1191"/>
      <c r="L108" s="1201">
        <f t="shared" si="82"/>
        <v>34.9</v>
      </c>
      <c r="M108" s="1178">
        <v>1</v>
      </c>
      <c r="N108" s="1178"/>
      <c r="O108" s="1194">
        <f t="shared" si="83"/>
        <v>1</v>
      </c>
      <c r="P108" s="1195"/>
      <c r="Q108" s="1195"/>
      <c r="R108" s="1195"/>
      <c r="S108" s="1195"/>
      <c r="T108" s="1195"/>
      <c r="U108" s="1195"/>
      <c r="V108" s="1195"/>
      <c r="W108" s="1195"/>
      <c r="X108" s="1195">
        <v>1</v>
      </c>
      <c r="Y108" s="1195"/>
      <c r="Z108" s="1195"/>
      <c r="AA108" s="1195"/>
      <c r="AB108" s="1195">
        <v>1</v>
      </c>
      <c r="AC108" s="1195"/>
      <c r="AD108" s="1196"/>
      <c r="AE108" s="1196"/>
      <c r="AF108" s="1048">
        <f t="shared" si="91"/>
        <v>0</v>
      </c>
      <c r="AG108" s="1196"/>
      <c r="AH108" s="1195"/>
      <c r="AI108" s="1195"/>
      <c r="AJ108" s="1197"/>
      <c r="AK108" s="1197"/>
      <c r="AL108" s="1197"/>
      <c r="AM108" s="1197"/>
      <c r="AN108" s="1049">
        <f t="shared" si="92"/>
        <v>0</v>
      </c>
      <c r="AO108" s="1193"/>
      <c r="AP108" s="1193"/>
      <c r="AQ108" s="1193"/>
      <c r="AR108" s="1193"/>
      <c r="AS108" s="1195"/>
      <c r="AT108" s="1195"/>
      <c r="AU108" s="1195"/>
      <c r="AV108" s="1195"/>
      <c r="AW108" s="1195"/>
      <c r="AX108" s="1195">
        <v>1</v>
      </c>
      <c r="AY108" s="1195"/>
      <c r="AZ108" s="1195"/>
      <c r="BA108" s="934">
        <f t="shared" si="84"/>
        <v>0</v>
      </c>
      <c r="BB108" s="1199">
        <f t="shared" si="85"/>
        <v>34.9</v>
      </c>
      <c r="BC108" s="1195"/>
      <c r="BD108" s="934">
        <f t="shared" si="93"/>
        <v>0</v>
      </c>
      <c r="BE108" s="1195"/>
      <c r="BF108" s="1195"/>
      <c r="BG108" s="1085">
        <f t="shared" si="86"/>
        <v>0</v>
      </c>
      <c r="BH108" s="1085">
        <f t="shared" si="87"/>
        <v>0</v>
      </c>
      <c r="BI108" s="1085">
        <f t="shared" si="88"/>
        <v>0</v>
      </c>
      <c r="BJ108" s="1195"/>
      <c r="BK108" s="1195"/>
      <c r="BL108" s="1085">
        <f t="shared" si="89"/>
        <v>0</v>
      </c>
      <c r="BM108" s="1195"/>
      <c r="BN108" s="1195"/>
      <c r="BO108" s="1196"/>
      <c r="BP108" s="1196"/>
      <c r="BQ108" s="1196"/>
      <c r="BR108" s="1196"/>
      <c r="BS108" s="1196"/>
      <c r="BT108" s="1195"/>
      <c r="BU108" s="1195"/>
      <c r="BV108" s="1195"/>
      <c r="BW108" s="1195"/>
      <c r="BX108" s="1195"/>
      <c r="BY108" s="1198"/>
      <c r="BZ108" s="1202"/>
      <c r="CA108" s="1200"/>
    </row>
    <row r="109" spans="4:79" s="977" customFormat="1" ht="21.6">
      <c r="E109" s="1056" t="s">
        <v>620</v>
      </c>
      <c r="F109" s="1073" t="s">
        <v>80</v>
      </c>
      <c r="G109" s="1073" t="s">
        <v>80</v>
      </c>
      <c r="H109" s="1066">
        <v>34.9</v>
      </c>
      <c r="I109" s="1066">
        <f t="shared" si="90"/>
        <v>34.9</v>
      </c>
      <c r="J109" s="1066">
        <f t="shared" si="81"/>
        <v>34.9</v>
      </c>
      <c r="K109" s="1066"/>
      <c r="L109" s="1066">
        <f t="shared" si="82"/>
        <v>34.9</v>
      </c>
      <c r="M109" s="1178"/>
      <c r="N109" s="1057"/>
      <c r="O109" s="1058">
        <f t="shared" si="83"/>
        <v>0</v>
      </c>
      <c r="P109" s="934"/>
      <c r="Q109" s="934"/>
      <c r="R109" s="934"/>
      <c r="S109" s="934"/>
      <c r="T109" s="934"/>
      <c r="U109" s="934"/>
      <c r="V109" s="934">
        <v>1</v>
      </c>
      <c r="W109" s="934">
        <v>1</v>
      </c>
      <c r="X109" s="934"/>
      <c r="Y109" s="934"/>
      <c r="Z109" s="934"/>
      <c r="AA109" s="934"/>
      <c r="AB109" s="934"/>
      <c r="AC109" s="934"/>
      <c r="AD109" s="1048"/>
      <c r="AE109" s="1048"/>
      <c r="AF109" s="1048">
        <f t="shared" si="91"/>
        <v>0</v>
      </c>
      <c r="AG109" s="1048"/>
      <c r="AH109" s="934"/>
      <c r="AI109" s="934"/>
      <c r="AJ109" s="1074">
        <v>1</v>
      </c>
      <c r="AK109" s="1074">
        <v>1</v>
      </c>
      <c r="AL109" s="1074"/>
      <c r="AM109" s="1074"/>
      <c r="AN109" s="1049">
        <f t="shared" si="92"/>
        <v>1</v>
      </c>
      <c r="AO109" s="1049"/>
      <c r="AP109" s="1049"/>
      <c r="AQ109" s="1049"/>
      <c r="AR109" s="1049"/>
      <c r="AS109" s="934"/>
      <c r="AT109" s="934"/>
      <c r="AU109" s="934"/>
      <c r="AV109" s="934"/>
      <c r="AW109" s="934"/>
      <c r="AX109" s="934">
        <v>1</v>
      </c>
      <c r="AY109" s="934"/>
      <c r="AZ109" s="934"/>
      <c r="BA109" s="934">
        <f t="shared" si="84"/>
        <v>0</v>
      </c>
      <c r="BB109" s="1061">
        <f t="shared" si="85"/>
        <v>34.9</v>
      </c>
      <c r="BC109" s="934">
        <v>1</v>
      </c>
      <c r="BD109" s="934">
        <f t="shared" si="93"/>
        <v>0</v>
      </c>
      <c r="BE109" s="934">
        <v>2</v>
      </c>
      <c r="BF109" s="934"/>
      <c r="BG109" s="1085">
        <f t="shared" si="86"/>
        <v>0</v>
      </c>
      <c r="BH109" s="1085">
        <f t="shared" si="87"/>
        <v>0</v>
      </c>
      <c r="BI109" s="1085">
        <f t="shared" si="88"/>
        <v>0</v>
      </c>
      <c r="BJ109" s="934"/>
      <c r="BK109" s="934"/>
      <c r="BL109" s="1085">
        <f t="shared" si="89"/>
        <v>1</v>
      </c>
      <c r="BM109" s="934"/>
      <c r="BN109" s="934"/>
      <c r="BO109" s="1048"/>
      <c r="BP109" s="1048"/>
      <c r="BQ109" s="1048"/>
      <c r="BR109" s="1048"/>
      <c r="BS109" s="1048"/>
      <c r="BT109" s="934">
        <v>1</v>
      </c>
      <c r="BU109" s="934"/>
      <c r="BV109" s="934"/>
      <c r="BW109" s="934"/>
      <c r="BX109" s="934"/>
      <c r="BY109" s="1076" t="s">
        <v>877</v>
      </c>
      <c r="BZ109" s="1077"/>
      <c r="CA109" s="1072"/>
    </row>
    <row r="110" spans="4:79" s="977" customFormat="1" ht="21.6">
      <c r="E110" s="1056" t="s">
        <v>621</v>
      </c>
      <c r="F110" s="1073" t="s">
        <v>374</v>
      </c>
      <c r="G110" s="1073" t="s">
        <v>374</v>
      </c>
      <c r="H110" s="1066">
        <v>70.5</v>
      </c>
      <c r="I110" s="1066">
        <f t="shared" si="90"/>
        <v>70.5</v>
      </c>
      <c r="J110" s="1066">
        <f t="shared" si="81"/>
        <v>70.5</v>
      </c>
      <c r="K110" s="1066"/>
      <c r="L110" s="1066">
        <f t="shared" si="82"/>
        <v>70.5</v>
      </c>
      <c r="M110" s="1178"/>
      <c r="N110" s="1057"/>
      <c r="O110" s="1058">
        <f t="shared" si="83"/>
        <v>0</v>
      </c>
      <c r="P110" s="934"/>
      <c r="Q110" s="934">
        <v>1</v>
      </c>
      <c r="R110" s="934"/>
      <c r="S110" s="934"/>
      <c r="T110" s="934"/>
      <c r="U110" s="934"/>
      <c r="V110" s="934"/>
      <c r="W110" s="934">
        <v>2</v>
      </c>
      <c r="X110" s="934"/>
      <c r="Y110" s="934"/>
      <c r="Z110" s="934"/>
      <c r="AA110" s="934">
        <v>1</v>
      </c>
      <c r="AB110" s="934"/>
      <c r="AC110" s="934"/>
      <c r="AD110" s="1048"/>
      <c r="AE110" s="1048"/>
      <c r="AF110" s="1048">
        <f t="shared" si="91"/>
        <v>0</v>
      </c>
      <c r="AG110" s="1048"/>
      <c r="AH110" s="934"/>
      <c r="AI110" s="934"/>
      <c r="AJ110" s="1074"/>
      <c r="AK110" s="1074"/>
      <c r="AL110" s="1074"/>
      <c r="AM110" s="1074"/>
      <c r="AN110" s="1049">
        <f t="shared" si="92"/>
        <v>0</v>
      </c>
      <c r="AO110" s="1049"/>
      <c r="AP110" s="1049"/>
      <c r="AQ110" s="1049"/>
      <c r="AR110" s="1049"/>
      <c r="AS110" s="934"/>
      <c r="AT110" s="934"/>
      <c r="AU110" s="934"/>
      <c r="AV110" s="934"/>
      <c r="AW110" s="934"/>
      <c r="AX110" s="934"/>
      <c r="AY110" s="934">
        <v>2</v>
      </c>
      <c r="AZ110" s="934"/>
      <c r="BA110" s="934">
        <f t="shared" si="84"/>
        <v>0</v>
      </c>
      <c r="BB110" s="1061">
        <f t="shared" si="85"/>
        <v>70.5</v>
      </c>
      <c r="BC110" s="934"/>
      <c r="BD110" s="934">
        <f t="shared" si="93"/>
        <v>0</v>
      </c>
      <c r="BE110" s="934"/>
      <c r="BF110" s="934">
        <v>2</v>
      </c>
      <c r="BG110" s="1085">
        <f t="shared" si="86"/>
        <v>0</v>
      </c>
      <c r="BH110" s="1085">
        <f t="shared" si="87"/>
        <v>1</v>
      </c>
      <c r="BI110" s="1085">
        <f t="shared" si="88"/>
        <v>0</v>
      </c>
      <c r="BJ110" s="934"/>
      <c r="BK110" s="934"/>
      <c r="BL110" s="1085">
        <f t="shared" si="89"/>
        <v>2</v>
      </c>
      <c r="BM110" s="934"/>
      <c r="BN110" s="934"/>
      <c r="BO110" s="1048"/>
      <c r="BP110" s="1048"/>
      <c r="BQ110" s="1048"/>
      <c r="BR110" s="1048"/>
      <c r="BS110" s="1048"/>
      <c r="BT110" s="934"/>
      <c r="BU110" s="934"/>
      <c r="BV110" s="934"/>
      <c r="BW110" s="934"/>
      <c r="BX110" s="934"/>
      <c r="BY110" s="1076"/>
      <c r="BZ110" s="1077"/>
      <c r="CA110" s="1072"/>
    </row>
    <row r="111" spans="4:79" s="1187" customFormat="1" ht="21.6">
      <c r="E111" s="1189" t="s">
        <v>802</v>
      </c>
      <c r="F111" s="1190"/>
      <c r="G111" s="1190" t="s">
        <v>80</v>
      </c>
      <c r="H111" s="1191">
        <v>36.9</v>
      </c>
      <c r="I111" s="1201">
        <f t="shared" si="90"/>
        <v>36.9</v>
      </c>
      <c r="J111" s="1191">
        <f t="shared" si="81"/>
        <v>36.9</v>
      </c>
      <c r="K111" s="1191"/>
      <c r="L111" s="1201">
        <f t="shared" si="82"/>
        <v>36.9</v>
      </c>
      <c r="M111" s="1178">
        <v>1</v>
      </c>
      <c r="N111" s="1178"/>
      <c r="O111" s="1194">
        <f t="shared" si="83"/>
        <v>1</v>
      </c>
      <c r="P111" s="1195"/>
      <c r="Q111" s="1195"/>
      <c r="R111" s="1195"/>
      <c r="S111" s="1195"/>
      <c r="T111" s="1195"/>
      <c r="U111" s="1195">
        <v>1</v>
      </c>
      <c r="V111" s="1195"/>
      <c r="W111" s="1195"/>
      <c r="X111" s="1195">
        <v>1</v>
      </c>
      <c r="Y111" s="1195"/>
      <c r="Z111" s="1195"/>
      <c r="AA111" s="1195"/>
      <c r="AB111" s="1195">
        <v>1</v>
      </c>
      <c r="AC111" s="1195"/>
      <c r="AD111" s="1196"/>
      <c r="AE111" s="1196"/>
      <c r="AF111" s="1048">
        <f t="shared" si="91"/>
        <v>0</v>
      </c>
      <c r="AG111" s="1196"/>
      <c r="AH111" s="1195"/>
      <c r="AI111" s="1195"/>
      <c r="AJ111" s="1197"/>
      <c r="AK111" s="1197"/>
      <c r="AL111" s="1197"/>
      <c r="AM111" s="1197"/>
      <c r="AN111" s="1049">
        <f t="shared" si="92"/>
        <v>0</v>
      </c>
      <c r="AO111" s="1193"/>
      <c r="AP111" s="1193"/>
      <c r="AQ111" s="1193"/>
      <c r="AR111" s="1193"/>
      <c r="AS111" s="1195"/>
      <c r="AT111" s="1195"/>
      <c r="AU111" s="1195"/>
      <c r="AV111" s="1195"/>
      <c r="AW111" s="1195"/>
      <c r="AX111" s="1195">
        <v>1</v>
      </c>
      <c r="AY111" s="1195"/>
      <c r="AZ111" s="1195"/>
      <c r="BA111" s="934">
        <f t="shared" si="84"/>
        <v>0</v>
      </c>
      <c r="BB111" s="1199">
        <f t="shared" si="85"/>
        <v>36.9</v>
      </c>
      <c r="BC111" s="1195"/>
      <c r="BD111" s="934">
        <f t="shared" si="93"/>
        <v>0</v>
      </c>
      <c r="BE111" s="1195"/>
      <c r="BF111" s="1195"/>
      <c r="BG111" s="1085">
        <f t="shared" si="86"/>
        <v>0</v>
      </c>
      <c r="BH111" s="1085">
        <f t="shared" si="87"/>
        <v>0</v>
      </c>
      <c r="BI111" s="1085">
        <f t="shared" si="88"/>
        <v>0</v>
      </c>
      <c r="BJ111" s="1195"/>
      <c r="BK111" s="1195"/>
      <c r="BL111" s="1085">
        <f t="shared" si="89"/>
        <v>0</v>
      </c>
      <c r="BM111" s="1195"/>
      <c r="BN111" s="1195"/>
      <c r="BO111" s="1196"/>
      <c r="BP111" s="1196"/>
      <c r="BQ111" s="1196"/>
      <c r="BR111" s="1196"/>
      <c r="BS111" s="1196"/>
      <c r="BT111" s="1195"/>
      <c r="BU111" s="1195"/>
      <c r="BV111" s="1195"/>
      <c r="BW111" s="1195"/>
      <c r="BX111" s="1195"/>
      <c r="BY111" s="1198"/>
      <c r="BZ111" s="1202"/>
      <c r="CA111" s="1200"/>
    </row>
    <row r="112" spans="4:79" s="977" customFormat="1" ht="21.6">
      <c r="E112" s="1056" t="s">
        <v>622</v>
      </c>
      <c r="F112" s="1073" t="s">
        <v>80</v>
      </c>
      <c r="G112" s="1073" t="s">
        <v>80</v>
      </c>
      <c r="H112" s="1066">
        <v>36.9</v>
      </c>
      <c r="I112" s="1066">
        <f t="shared" si="90"/>
        <v>36.9</v>
      </c>
      <c r="J112" s="1066">
        <f t="shared" si="81"/>
        <v>36.9</v>
      </c>
      <c r="K112" s="1066"/>
      <c r="L112" s="1066">
        <f t="shared" si="82"/>
        <v>36.9</v>
      </c>
      <c r="M112" s="1178"/>
      <c r="N112" s="1057"/>
      <c r="O112" s="1058">
        <f t="shared" si="83"/>
        <v>0</v>
      </c>
      <c r="P112" s="934"/>
      <c r="Q112" s="934"/>
      <c r="R112" s="934"/>
      <c r="S112" s="934"/>
      <c r="T112" s="934"/>
      <c r="U112" s="934"/>
      <c r="V112" s="934">
        <v>1</v>
      </c>
      <c r="W112" s="934">
        <v>1</v>
      </c>
      <c r="X112" s="934"/>
      <c r="Y112" s="934"/>
      <c r="Z112" s="934"/>
      <c r="AA112" s="934"/>
      <c r="AB112" s="934"/>
      <c r="AC112" s="934"/>
      <c r="AD112" s="1048"/>
      <c r="AE112" s="1048"/>
      <c r="AF112" s="1048">
        <f t="shared" si="91"/>
        <v>0</v>
      </c>
      <c r="AG112" s="1048"/>
      <c r="AH112" s="934"/>
      <c r="AI112" s="934"/>
      <c r="AJ112" s="1074"/>
      <c r="AK112" s="1074"/>
      <c r="AL112" s="1074"/>
      <c r="AM112" s="1074"/>
      <c r="AN112" s="1049">
        <f t="shared" si="92"/>
        <v>0</v>
      </c>
      <c r="AO112" s="1049"/>
      <c r="AP112" s="1049"/>
      <c r="AQ112" s="1049"/>
      <c r="AR112" s="1049"/>
      <c r="AS112" s="934"/>
      <c r="AT112" s="934"/>
      <c r="AU112" s="934"/>
      <c r="AV112" s="934"/>
      <c r="AW112" s="934"/>
      <c r="AX112" s="934">
        <v>1</v>
      </c>
      <c r="AY112" s="934"/>
      <c r="AZ112" s="934"/>
      <c r="BA112" s="934">
        <f t="shared" si="84"/>
        <v>0</v>
      </c>
      <c r="BB112" s="1061">
        <f t="shared" si="85"/>
        <v>36.9</v>
      </c>
      <c r="BC112" s="934"/>
      <c r="BD112" s="934">
        <f t="shared" si="93"/>
        <v>0</v>
      </c>
      <c r="BE112" s="934">
        <v>2</v>
      </c>
      <c r="BF112" s="934"/>
      <c r="BG112" s="1085">
        <f t="shared" si="86"/>
        <v>0</v>
      </c>
      <c r="BH112" s="1085">
        <f t="shared" si="87"/>
        <v>0</v>
      </c>
      <c r="BI112" s="1085">
        <f t="shared" si="88"/>
        <v>0</v>
      </c>
      <c r="BJ112" s="934"/>
      <c r="BK112" s="934"/>
      <c r="BL112" s="1085">
        <f t="shared" si="89"/>
        <v>1</v>
      </c>
      <c r="BM112" s="934"/>
      <c r="BN112" s="934"/>
      <c r="BO112" s="1048"/>
      <c r="BP112" s="1048"/>
      <c r="BQ112" s="1048"/>
      <c r="BR112" s="1048"/>
      <c r="BS112" s="1048"/>
      <c r="BT112" s="934"/>
      <c r="BU112" s="934"/>
      <c r="BV112" s="934"/>
      <c r="BW112" s="934"/>
      <c r="BX112" s="934"/>
      <c r="BY112" s="1076"/>
      <c r="BZ112" s="1077"/>
      <c r="CA112" s="1072"/>
    </row>
    <row r="113" spans="5:79" s="1187" customFormat="1" ht="21.6">
      <c r="E113" s="1189" t="s">
        <v>768</v>
      </c>
      <c r="F113" s="1190"/>
      <c r="G113" s="1190" t="s">
        <v>80</v>
      </c>
      <c r="H113" s="1191">
        <v>39.9</v>
      </c>
      <c r="I113" s="1201">
        <f t="shared" si="90"/>
        <v>39.9</v>
      </c>
      <c r="J113" s="1191">
        <f t="shared" si="81"/>
        <v>39.9</v>
      </c>
      <c r="K113" s="1191"/>
      <c r="L113" s="1201">
        <f t="shared" si="82"/>
        <v>39.9</v>
      </c>
      <c r="M113" s="1178">
        <v>1</v>
      </c>
      <c r="N113" s="1178"/>
      <c r="O113" s="1194">
        <f t="shared" si="83"/>
        <v>1</v>
      </c>
      <c r="P113" s="1195"/>
      <c r="Q113" s="1195"/>
      <c r="R113" s="1195"/>
      <c r="S113" s="1195"/>
      <c r="T113" s="1195"/>
      <c r="U113" s="1195"/>
      <c r="V113" s="1195"/>
      <c r="W113" s="1195"/>
      <c r="X113" s="1195">
        <v>1</v>
      </c>
      <c r="Y113" s="1195"/>
      <c r="Z113" s="1195"/>
      <c r="AA113" s="1195"/>
      <c r="AB113" s="1195">
        <v>1</v>
      </c>
      <c r="AC113" s="1195"/>
      <c r="AD113" s="1196"/>
      <c r="AE113" s="1196"/>
      <c r="AF113" s="1048">
        <f t="shared" si="91"/>
        <v>0</v>
      </c>
      <c r="AG113" s="1196"/>
      <c r="AH113" s="1195"/>
      <c r="AI113" s="1195"/>
      <c r="AJ113" s="1197"/>
      <c r="AK113" s="1197"/>
      <c r="AL113" s="1197"/>
      <c r="AM113" s="1197"/>
      <c r="AN113" s="1049">
        <f t="shared" si="92"/>
        <v>0</v>
      </c>
      <c r="AO113" s="1193"/>
      <c r="AP113" s="1193"/>
      <c r="AQ113" s="1193"/>
      <c r="AR113" s="1193"/>
      <c r="AS113" s="1195"/>
      <c r="AT113" s="1195"/>
      <c r="AU113" s="1195"/>
      <c r="AV113" s="1195"/>
      <c r="AW113" s="1195"/>
      <c r="AX113" s="1195">
        <v>1</v>
      </c>
      <c r="AY113" s="1195"/>
      <c r="AZ113" s="1195"/>
      <c r="BA113" s="934">
        <f t="shared" si="84"/>
        <v>0</v>
      </c>
      <c r="BB113" s="1199">
        <f t="shared" si="85"/>
        <v>39.9</v>
      </c>
      <c r="BC113" s="1195"/>
      <c r="BD113" s="934">
        <f t="shared" si="93"/>
        <v>0</v>
      </c>
      <c r="BE113" s="1195"/>
      <c r="BF113" s="1195"/>
      <c r="BG113" s="1085">
        <f t="shared" si="86"/>
        <v>0</v>
      </c>
      <c r="BH113" s="1085">
        <f t="shared" si="87"/>
        <v>0</v>
      </c>
      <c r="BI113" s="1085">
        <f t="shared" si="88"/>
        <v>0</v>
      </c>
      <c r="BJ113" s="1195"/>
      <c r="BK113" s="1195"/>
      <c r="BL113" s="1085">
        <f t="shared" si="89"/>
        <v>0</v>
      </c>
      <c r="BM113" s="1195"/>
      <c r="BN113" s="1195"/>
      <c r="BO113" s="1196"/>
      <c r="BP113" s="1196"/>
      <c r="BQ113" s="1196"/>
      <c r="BR113" s="1196"/>
      <c r="BS113" s="1196"/>
      <c r="BT113" s="1195"/>
      <c r="BU113" s="1195"/>
      <c r="BV113" s="1195"/>
      <c r="BW113" s="1195"/>
      <c r="BX113" s="1195"/>
      <c r="BY113" s="1198"/>
      <c r="BZ113" s="1202"/>
      <c r="CA113" s="1200"/>
    </row>
    <row r="114" spans="5:79" s="977" customFormat="1" ht="21.6">
      <c r="E114" s="1056" t="s">
        <v>623</v>
      </c>
      <c r="F114" s="1073" t="s">
        <v>374</v>
      </c>
      <c r="G114" s="1073" t="s">
        <v>374</v>
      </c>
      <c r="H114" s="1066">
        <v>39.5</v>
      </c>
      <c r="I114" s="1066">
        <f t="shared" si="90"/>
        <v>39.5</v>
      </c>
      <c r="J114" s="1066">
        <f t="shared" si="81"/>
        <v>39.5</v>
      </c>
      <c r="K114" s="1066"/>
      <c r="L114" s="1066">
        <f t="shared" si="82"/>
        <v>39.5</v>
      </c>
      <c r="M114" s="1178"/>
      <c r="N114" s="1057"/>
      <c r="O114" s="1058">
        <f t="shared" si="83"/>
        <v>0</v>
      </c>
      <c r="P114" s="934"/>
      <c r="Q114" s="934"/>
      <c r="R114" s="934">
        <v>1</v>
      </c>
      <c r="S114" s="934"/>
      <c r="T114" s="934"/>
      <c r="U114" s="934"/>
      <c r="V114" s="934"/>
      <c r="W114" s="934">
        <v>2</v>
      </c>
      <c r="X114" s="934"/>
      <c r="Y114" s="934"/>
      <c r="Z114" s="934"/>
      <c r="AA114" s="934">
        <v>1</v>
      </c>
      <c r="AB114" s="934"/>
      <c r="AC114" s="934"/>
      <c r="AD114" s="1048"/>
      <c r="AE114" s="1048"/>
      <c r="AF114" s="1048">
        <f t="shared" si="91"/>
        <v>0</v>
      </c>
      <c r="AG114" s="1048"/>
      <c r="AH114" s="934"/>
      <c r="AI114" s="934"/>
      <c r="AJ114" s="1074"/>
      <c r="AK114" s="1074"/>
      <c r="AL114" s="1074"/>
      <c r="AM114" s="1074"/>
      <c r="AN114" s="1049">
        <f t="shared" si="92"/>
        <v>0</v>
      </c>
      <c r="AO114" s="1049"/>
      <c r="AP114" s="1049"/>
      <c r="AQ114" s="1049"/>
      <c r="AR114" s="1049"/>
      <c r="AS114" s="934"/>
      <c r="AT114" s="934"/>
      <c r="AU114" s="934"/>
      <c r="AV114" s="934"/>
      <c r="AW114" s="934"/>
      <c r="AX114" s="934"/>
      <c r="AY114" s="934">
        <v>2</v>
      </c>
      <c r="AZ114" s="934"/>
      <c r="BA114" s="934">
        <f t="shared" si="84"/>
        <v>0</v>
      </c>
      <c r="BB114" s="1061">
        <f t="shared" si="85"/>
        <v>39.5</v>
      </c>
      <c r="BC114" s="934"/>
      <c r="BD114" s="934">
        <f t="shared" si="93"/>
        <v>0</v>
      </c>
      <c r="BE114" s="934"/>
      <c r="BF114" s="934">
        <v>2</v>
      </c>
      <c r="BG114" s="1085">
        <f t="shared" si="86"/>
        <v>0</v>
      </c>
      <c r="BH114" s="1085">
        <f t="shared" si="87"/>
        <v>0</v>
      </c>
      <c r="BI114" s="1085">
        <f t="shared" si="88"/>
        <v>1</v>
      </c>
      <c r="BJ114" s="934"/>
      <c r="BK114" s="934"/>
      <c r="BL114" s="1085">
        <f t="shared" si="89"/>
        <v>2</v>
      </c>
      <c r="BM114" s="934"/>
      <c r="BN114" s="934"/>
      <c r="BO114" s="1048"/>
      <c r="BP114" s="1048"/>
      <c r="BQ114" s="1048"/>
      <c r="BR114" s="1048"/>
      <c r="BS114" s="1048"/>
      <c r="BT114" s="934"/>
      <c r="BU114" s="934"/>
      <c r="BV114" s="934"/>
      <c r="BW114" s="934"/>
      <c r="BX114" s="934"/>
      <c r="BY114" s="1076"/>
      <c r="BZ114" s="1077"/>
      <c r="CA114" s="1072"/>
    </row>
    <row r="115" spans="5:79" s="977" customFormat="1" ht="21.6">
      <c r="E115" s="1056" t="s">
        <v>624</v>
      </c>
      <c r="F115" s="1073" t="s">
        <v>374</v>
      </c>
      <c r="G115" s="1073" t="s">
        <v>374</v>
      </c>
      <c r="H115" s="1066">
        <v>68.099999999999994</v>
      </c>
      <c r="I115" s="1066">
        <f t="shared" si="90"/>
        <v>68.099999999999994</v>
      </c>
      <c r="J115" s="1066">
        <f t="shared" si="81"/>
        <v>68.099999999999994</v>
      </c>
      <c r="K115" s="1066"/>
      <c r="L115" s="1066">
        <f t="shared" si="82"/>
        <v>68.099999999999994</v>
      </c>
      <c r="M115" s="1178"/>
      <c r="N115" s="1057"/>
      <c r="O115" s="1058">
        <f t="shared" si="83"/>
        <v>0</v>
      </c>
      <c r="P115" s="934"/>
      <c r="Q115" s="934"/>
      <c r="R115" s="934">
        <v>1</v>
      </c>
      <c r="S115" s="934"/>
      <c r="T115" s="934"/>
      <c r="U115" s="934"/>
      <c r="V115" s="934"/>
      <c r="W115" s="934">
        <v>2</v>
      </c>
      <c r="X115" s="934"/>
      <c r="Y115" s="934"/>
      <c r="Z115" s="934"/>
      <c r="AA115" s="934">
        <v>1</v>
      </c>
      <c r="AB115" s="934"/>
      <c r="AC115" s="934"/>
      <c r="AD115" s="1048"/>
      <c r="AE115" s="1048"/>
      <c r="AF115" s="1048">
        <f t="shared" si="91"/>
        <v>0</v>
      </c>
      <c r="AG115" s="1048"/>
      <c r="AH115" s="934"/>
      <c r="AI115" s="934"/>
      <c r="AJ115" s="1074"/>
      <c r="AK115" s="1074"/>
      <c r="AL115" s="1074"/>
      <c r="AM115" s="1074"/>
      <c r="AN115" s="1049">
        <f t="shared" si="92"/>
        <v>0</v>
      </c>
      <c r="AO115" s="1049"/>
      <c r="AP115" s="1049"/>
      <c r="AQ115" s="1049"/>
      <c r="AR115" s="1049"/>
      <c r="AS115" s="934"/>
      <c r="AT115" s="934"/>
      <c r="AU115" s="934"/>
      <c r="AV115" s="934"/>
      <c r="AW115" s="934"/>
      <c r="AX115" s="934"/>
      <c r="AY115" s="934">
        <v>2</v>
      </c>
      <c r="AZ115" s="934"/>
      <c r="BA115" s="934">
        <f t="shared" si="84"/>
        <v>0</v>
      </c>
      <c r="BB115" s="1061">
        <f t="shared" si="85"/>
        <v>68.099999999999994</v>
      </c>
      <c r="BC115" s="934"/>
      <c r="BD115" s="934">
        <f t="shared" si="93"/>
        <v>0</v>
      </c>
      <c r="BE115" s="934"/>
      <c r="BF115" s="934">
        <v>2</v>
      </c>
      <c r="BG115" s="1085">
        <f t="shared" si="86"/>
        <v>0</v>
      </c>
      <c r="BH115" s="1085">
        <f t="shared" si="87"/>
        <v>0</v>
      </c>
      <c r="BI115" s="1085">
        <f t="shared" si="88"/>
        <v>1</v>
      </c>
      <c r="BJ115" s="934"/>
      <c r="BK115" s="934"/>
      <c r="BL115" s="1085">
        <f t="shared" si="89"/>
        <v>2</v>
      </c>
      <c r="BM115" s="934"/>
      <c r="BN115" s="934"/>
      <c r="BO115" s="1048"/>
      <c r="BP115" s="1048"/>
      <c r="BQ115" s="1048"/>
      <c r="BR115" s="1048"/>
      <c r="BS115" s="1048"/>
      <c r="BT115" s="934"/>
      <c r="BU115" s="934"/>
      <c r="BV115" s="934"/>
      <c r="BW115" s="934"/>
      <c r="BX115" s="934"/>
      <c r="BY115" s="1076"/>
      <c r="BZ115" s="1077"/>
      <c r="CA115" s="1072"/>
    </row>
    <row r="116" spans="5:79" s="977" customFormat="1" ht="21.6">
      <c r="E116" s="1056" t="s">
        <v>625</v>
      </c>
      <c r="F116" s="1073" t="s">
        <v>80</v>
      </c>
      <c r="G116" s="1073" t="s">
        <v>80</v>
      </c>
      <c r="H116" s="1066">
        <v>50.2</v>
      </c>
      <c r="I116" s="1066">
        <f t="shared" si="90"/>
        <v>50.2</v>
      </c>
      <c r="J116" s="1066">
        <f t="shared" si="81"/>
        <v>50.2</v>
      </c>
      <c r="K116" s="1066"/>
      <c r="L116" s="1066">
        <f t="shared" si="82"/>
        <v>50.2</v>
      </c>
      <c r="M116" s="1178"/>
      <c r="N116" s="1057"/>
      <c r="O116" s="1058">
        <f t="shared" si="83"/>
        <v>0</v>
      </c>
      <c r="P116" s="934"/>
      <c r="Q116" s="934"/>
      <c r="R116" s="934"/>
      <c r="S116" s="934"/>
      <c r="T116" s="934"/>
      <c r="U116" s="934"/>
      <c r="V116" s="934">
        <v>1</v>
      </c>
      <c r="W116" s="934">
        <v>1</v>
      </c>
      <c r="X116" s="934"/>
      <c r="Y116" s="934"/>
      <c r="Z116" s="934"/>
      <c r="AA116" s="934"/>
      <c r="AB116" s="934"/>
      <c r="AC116" s="934"/>
      <c r="AD116" s="1048"/>
      <c r="AE116" s="1048"/>
      <c r="AF116" s="1048">
        <f t="shared" si="91"/>
        <v>0</v>
      </c>
      <c r="AG116" s="1048"/>
      <c r="AH116" s="934"/>
      <c r="AI116" s="934"/>
      <c r="AJ116" s="1074"/>
      <c r="AK116" s="1074"/>
      <c r="AL116" s="1074"/>
      <c r="AM116" s="1074"/>
      <c r="AN116" s="1049">
        <f t="shared" si="92"/>
        <v>0</v>
      </c>
      <c r="AO116" s="1049"/>
      <c r="AP116" s="1049"/>
      <c r="AQ116" s="1049"/>
      <c r="AR116" s="1049"/>
      <c r="AS116" s="934"/>
      <c r="AT116" s="934"/>
      <c r="AU116" s="934"/>
      <c r="AV116" s="934"/>
      <c r="AW116" s="934"/>
      <c r="AX116" s="934">
        <v>1</v>
      </c>
      <c r="AY116" s="934"/>
      <c r="AZ116" s="934"/>
      <c r="BA116" s="934">
        <f t="shared" si="84"/>
        <v>0</v>
      </c>
      <c r="BB116" s="1061">
        <f t="shared" si="85"/>
        <v>50.2</v>
      </c>
      <c r="BC116" s="934"/>
      <c r="BD116" s="934">
        <f t="shared" si="93"/>
        <v>0</v>
      </c>
      <c r="BE116" s="934">
        <v>2</v>
      </c>
      <c r="BF116" s="934"/>
      <c r="BG116" s="1085">
        <f t="shared" si="86"/>
        <v>0</v>
      </c>
      <c r="BH116" s="1085">
        <f t="shared" si="87"/>
        <v>0</v>
      </c>
      <c r="BI116" s="1085">
        <f t="shared" si="88"/>
        <v>0</v>
      </c>
      <c r="BJ116" s="934"/>
      <c r="BK116" s="934"/>
      <c r="BL116" s="1085">
        <f t="shared" si="89"/>
        <v>1</v>
      </c>
      <c r="BM116" s="934"/>
      <c r="BN116" s="934"/>
      <c r="BO116" s="1048"/>
      <c r="BP116" s="1048"/>
      <c r="BQ116" s="1048"/>
      <c r="BR116" s="1048"/>
      <c r="BS116" s="1048"/>
      <c r="BT116" s="934"/>
      <c r="BU116" s="934"/>
      <c r="BV116" s="934"/>
      <c r="BW116" s="934"/>
      <c r="BX116" s="934"/>
      <c r="BY116" s="1076"/>
      <c r="BZ116" s="1077"/>
      <c r="CA116" s="1072"/>
    </row>
    <row r="117" spans="5:79" s="977" customFormat="1" ht="21.6">
      <c r="E117" s="1056" t="s">
        <v>626</v>
      </c>
      <c r="F117" s="1073" t="s">
        <v>374</v>
      </c>
      <c r="G117" s="1073" t="s">
        <v>374</v>
      </c>
      <c r="H117" s="1066">
        <v>47.5</v>
      </c>
      <c r="I117" s="1066">
        <f t="shared" si="90"/>
        <v>47.5</v>
      </c>
      <c r="J117" s="1066">
        <f t="shared" si="81"/>
        <v>47.5</v>
      </c>
      <c r="K117" s="1066"/>
      <c r="L117" s="1066">
        <f t="shared" si="82"/>
        <v>47.5</v>
      </c>
      <c r="M117" s="1178"/>
      <c r="N117" s="1057"/>
      <c r="O117" s="1058">
        <f t="shared" si="83"/>
        <v>0</v>
      </c>
      <c r="P117" s="934"/>
      <c r="Q117" s="934">
        <v>1</v>
      </c>
      <c r="R117" s="934"/>
      <c r="S117" s="934"/>
      <c r="T117" s="934"/>
      <c r="U117" s="934">
        <v>1</v>
      </c>
      <c r="V117" s="934"/>
      <c r="W117" s="934">
        <v>2</v>
      </c>
      <c r="X117" s="934"/>
      <c r="Y117" s="934"/>
      <c r="Z117" s="934"/>
      <c r="AA117" s="934">
        <v>1</v>
      </c>
      <c r="AB117" s="934"/>
      <c r="AC117" s="934"/>
      <c r="AD117" s="1048"/>
      <c r="AE117" s="1048"/>
      <c r="AF117" s="1048">
        <f t="shared" si="91"/>
        <v>0</v>
      </c>
      <c r="AG117" s="1048"/>
      <c r="AH117" s="934"/>
      <c r="AI117" s="934"/>
      <c r="AJ117" s="1074"/>
      <c r="AK117" s="1074"/>
      <c r="AL117" s="1074"/>
      <c r="AM117" s="1074"/>
      <c r="AN117" s="1049">
        <f t="shared" si="92"/>
        <v>0</v>
      </c>
      <c r="AO117" s="1049"/>
      <c r="AP117" s="1049"/>
      <c r="AQ117" s="1049"/>
      <c r="AR117" s="1049"/>
      <c r="AS117" s="934"/>
      <c r="AT117" s="934"/>
      <c r="AU117" s="934"/>
      <c r="AV117" s="934"/>
      <c r="AW117" s="934"/>
      <c r="AX117" s="934"/>
      <c r="AY117" s="934">
        <v>2</v>
      </c>
      <c r="AZ117" s="934"/>
      <c r="BA117" s="934">
        <f t="shared" si="84"/>
        <v>0</v>
      </c>
      <c r="BB117" s="1061">
        <f t="shared" si="85"/>
        <v>47.5</v>
      </c>
      <c r="BC117" s="934"/>
      <c r="BD117" s="934">
        <f t="shared" si="93"/>
        <v>0</v>
      </c>
      <c r="BE117" s="934"/>
      <c r="BF117" s="934">
        <v>2</v>
      </c>
      <c r="BG117" s="1085">
        <f t="shared" si="86"/>
        <v>0</v>
      </c>
      <c r="BH117" s="1085">
        <f t="shared" si="87"/>
        <v>1</v>
      </c>
      <c r="BI117" s="1085">
        <f t="shared" si="88"/>
        <v>0</v>
      </c>
      <c r="BJ117" s="934"/>
      <c r="BK117" s="934"/>
      <c r="BL117" s="1085">
        <f t="shared" si="89"/>
        <v>2</v>
      </c>
      <c r="BM117" s="934"/>
      <c r="BN117" s="934"/>
      <c r="BO117" s="1048"/>
      <c r="BP117" s="1048"/>
      <c r="BQ117" s="1048"/>
      <c r="BR117" s="1048"/>
      <c r="BS117" s="1048"/>
      <c r="BT117" s="934"/>
      <c r="BU117" s="934"/>
      <c r="BV117" s="934"/>
      <c r="BW117" s="934"/>
      <c r="BX117" s="934"/>
      <c r="BY117" s="1076"/>
      <c r="BZ117" s="1077"/>
      <c r="CA117" s="1072"/>
    </row>
    <row r="118" spans="5:79" s="977" customFormat="1" ht="21.6">
      <c r="E118" s="1056" t="s">
        <v>627</v>
      </c>
      <c r="F118" s="1073" t="s">
        <v>374</v>
      </c>
      <c r="G118" s="1073" t="s">
        <v>374</v>
      </c>
      <c r="H118" s="1066">
        <v>50.5</v>
      </c>
      <c r="I118" s="1066">
        <f t="shared" si="90"/>
        <v>50.5</v>
      </c>
      <c r="J118" s="1066">
        <f t="shared" si="81"/>
        <v>50.5</v>
      </c>
      <c r="K118" s="1066"/>
      <c r="L118" s="1066">
        <f t="shared" si="82"/>
        <v>50.5</v>
      </c>
      <c r="M118" s="1178"/>
      <c r="N118" s="1057"/>
      <c r="O118" s="1058">
        <f t="shared" si="83"/>
        <v>0</v>
      </c>
      <c r="P118" s="934"/>
      <c r="Q118" s="934">
        <v>1</v>
      </c>
      <c r="R118" s="934"/>
      <c r="S118" s="934"/>
      <c r="T118" s="934"/>
      <c r="U118" s="934"/>
      <c r="V118" s="934"/>
      <c r="W118" s="934">
        <v>2</v>
      </c>
      <c r="X118" s="934"/>
      <c r="Y118" s="934"/>
      <c r="Z118" s="934"/>
      <c r="AA118" s="934">
        <v>1</v>
      </c>
      <c r="AB118" s="934"/>
      <c r="AC118" s="934"/>
      <c r="AD118" s="1048"/>
      <c r="AE118" s="1048"/>
      <c r="AF118" s="1048">
        <f t="shared" si="91"/>
        <v>0</v>
      </c>
      <c r="AG118" s="1048"/>
      <c r="AH118" s="934"/>
      <c r="AI118" s="934"/>
      <c r="AJ118" s="1074"/>
      <c r="AK118" s="1074"/>
      <c r="AL118" s="1074"/>
      <c r="AM118" s="1074"/>
      <c r="AN118" s="1049">
        <f t="shared" si="92"/>
        <v>0</v>
      </c>
      <c r="AO118" s="1049"/>
      <c r="AP118" s="1049"/>
      <c r="AQ118" s="1049"/>
      <c r="AR118" s="1049"/>
      <c r="AS118" s="934"/>
      <c r="AT118" s="934"/>
      <c r="AU118" s="934"/>
      <c r="AV118" s="934"/>
      <c r="AW118" s="934"/>
      <c r="AX118" s="934"/>
      <c r="AY118" s="934">
        <v>2</v>
      </c>
      <c r="AZ118" s="934"/>
      <c r="BA118" s="934">
        <f t="shared" si="84"/>
        <v>0</v>
      </c>
      <c r="BB118" s="1061">
        <f t="shared" si="85"/>
        <v>50.5</v>
      </c>
      <c r="BC118" s="934"/>
      <c r="BD118" s="934">
        <f t="shared" si="93"/>
        <v>0</v>
      </c>
      <c r="BE118" s="934"/>
      <c r="BF118" s="934">
        <v>2</v>
      </c>
      <c r="BG118" s="1085">
        <f t="shared" si="86"/>
        <v>0</v>
      </c>
      <c r="BH118" s="1085">
        <f t="shared" si="87"/>
        <v>1</v>
      </c>
      <c r="BI118" s="1085">
        <f t="shared" si="88"/>
        <v>0</v>
      </c>
      <c r="BJ118" s="934"/>
      <c r="BK118" s="934"/>
      <c r="BL118" s="1085">
        <f t="shared" si="89"/>
        <v>2</v>
      </c>
      <c r="BM118" s="934"/>
      <c r="BN118" s="934"/>
      <c r="BO118" s="1048"/>
      <c r="BP118" s="1048"/>
      <c r="BQ118" s="1048"/>
      <c r="BR118" s="1048"/>
      <c r="BS118" s="1048"/>
      <c r="BT118" s="934"/>
      <c r="BU118" s="934"/>
      <c r="BV118" s="934"/>
      <c r="BW118" s="934"/>
      <c r="BX118" s="934"/>
      <c r="BY118" s="1076"/>
      <c r="BZ118" s="1077"/>
      <c r="CA118" s="1072"/>
    </row>
    <row r="119" spans="5:79" s="977" customFormat="1" ht="21.6">
      <c r="E119" s="1056" t="s">
        <v>657</v>
      </c>
      <c r="F119" s="1073" t="s">
        <v>148</v>
      </c>
      <c r="G119" s="1073" t="s">
        <v>148</v>
      </c>
      <c r="H119" s="1066">
        <v>56.2</v>
      </c>
      <c r="I119" s="1066">
        <f t="shared" si="90"/>
        <v>56.2</v>
      </c>
      <c r="J119" s="1066">
        <f t="shared" si="81"/>
        <v>56.2</v>
      </c>
      <c r="K119" s="1066"/>
      <c r="L119" s="1066">
        <f t="shared" si="82"/>
        <v>56.2</v>
      </c>
      <c r="M119" s="1178"/>
      <c r="N119" s="1057"/>
      <c r="O119" s="1058">
        <f t="shared" si="83"/>
        <v>0</v>
      </c>
      <c r="P119" s="934"/>
      <c r="Q119" s="934">
        <v>2</v>
      </c>
      <c r="R119" s="934"/>
      <c r="S119" s="934"/>
      <c r="T119" s="934"/>
      <c r="U119" s="934"/>
      <c r="V119" s="934"/>
      <c r="W119" s="934"/>
      <c r="X119" s="934">
        <v>1</v>
      </c>
      <c r="Y119" s="934"/>
      <c r="Z119" s="934"/>
      <c r="AA119" s="934"/>
      <c r="AB119" s="934"/>
      <c r="AC119" s="934">
        <v>2</v>
      </c>
      <c r="AD119" s="1048">
        <v>2</v>
      </c>
      <c r="AE119" s="1048"/>
      <c r="AF119" s="1048">
        <f t="shared" si="91"/>
        <v>2</v>
      </c>
      <c r="AG119" s="1048"/>
      <c r="AH119" s="934"/>
      <c r="AI119" s="934"/>
      <c r="AJ119" s="1074"/>
      <c r="AK119" s="1074"/>
      <c r="AL119" s="1074"/>
      <c r="AM119" s="1074"/>
      <c r="AN119" s="1049">
        <f t="shared" si="92"/>
        <v>0</v>
      </c>
      <c r="AO119" s="1049"/>
      <c r="AP119" s="1049"/>
      <c r="AQ119" s="1049"/>
      <c r="AR119" s="1049"/>
      <c r="AS119" s="934"/>
      <c r="AT119" s="934"/>
      <c r="AU119" s="934"/>
      <c r="AV119" s="934"/>
      <c r="AW119" s="934"/>
      <c r="AX119" s="934">
        <v>1</v>
      </c>
      <c r="AY119" s="934"/>
      <c r="AZ119" s="934"/>
      <c r="BA119" s="934">
        <f t="shared" si="84"/>
        <v>2</v>
      </c>
      <c r="BB119" s="1061">
        <f t="shared" si="85"/>
        <v>56.2</v>
      </c>
      <c r="BC119" s="934"/>
      <c r="BD119" s="934">
        <f t="shared" si="93"/>
        <v>0</v>
      </c>
      <c r="BE119" s="934"/>
      <c r="BF119" s="934"/>
      <c r="BG119" s="1085">
        <f t="shared" si="86"/>
        <v>0</v>
      </c>
      <c r="BH119" s="1085">
        <f t="shared" si="87"/>
        <v>2</v>
      </c>
      <c r="BI119" s="1085">
        <f t="shared" si="88"/>
        <v>0</v>
      </c>
      <c r="BJ119" s="934"/>
      <c r="BK119" s="934">
        <v>2</v>
      </c>
      <c r="BL119" s="1085">
        <f t="shared" si="89"/>
        <v>0</v>
      </c>
      <c r="BM119" s="934"/>
      <c r="BN119" s="934"/>
      <c r="BO119" s="1048"/>
      <c r="BP119" s="1048"/>
      <c r="BQ119" s="1048"/>
      <c r="BR119" s="1048"/>
      <c r="BS119" s="1048"/>
      <c r="BT119" s="934"/>
      <c r="BU119" s="934"/>
      <c r="BV119" s="934"/>
      <c r="BW119" s="934"/>
      <c r="BX119" s="934"/>
      <c r="BY119" s="1076"/>
      <c r="BZ119" s="1077"/>
      <c r="CA119" s="1072"/>
    </row>
    <row r="120" spans="5:79" s="977" customFormat="1" ht="21.6">
      <c r="E120" s="1056" t="s">
        <v>658</v>
      </c>
      <c r="F120" s="1073" t="s">
        <v>80</v>
      </c>
      <c r="G120" s="1073" t="s">
        <v>80</v>
      </c>
      <c r="H120" s="1066">
        <v>68.900000000000006</v>
      </c>
      <c r="I120" s="1066">
        <f t="shared" si="90"/>
        <v>68.900000000000006</v>
      </c>
      <c r="J120" s="1066">
        <f t="shared" si="81"/>
        <v>68.900000000000006</v>
      </c>
      <c r="K120" s="1066"/>
      <c r="L120" s="1066">
        <f t="shared" si="82"/>
        <v>68.900000000000006</v>
      </c>
      <c r="M120" s="1178"/>
      <c r="N120" s="1057"/>
      <c r="O120" s="1058">
        <f t="shared" si="83"/>
        <v>0</v>
      </c>
      <c r="P120" s="934"/>
      <c r="Q120" s="934"/>
      <c r="R120" s="934"/>
      <c r="S120" s="934"/>
      <c r="T120" s="934"/>
      <c r="U120" s="934"/>
      <c r="V120" s="934">
        <v>1</v>
      </c>
      <c r="W120" s="934">
        <v>1</v>
      </c>
      <c r="X120" s="934"/>
      <c r="Y120" s="934"/>
      <c r="Z120" s="934"/>
      <c r="AA120" s="934"/>
      <c r="AB120" s="934"/>
      <c r="AC120" s="934"/>
      <c r="AD120" s="1048"/>
      <c r="AE120" s="1048"/>
      <c r="AF120" s="1048">
        <f t="shared" si="91"/>
        <v>0</v>
      </c>
      <c r="AG120" s="1048"/>
      <c r="AH120" s="934"/>
      <c r="AI120" s="934"/>
      <c r="AJ120" s="1074">
        <v>1</v>
      </c>
      <c r="AK120" s="1074">
        <v>1</v>
      </c>
      <c r="AL120" s="1074"/>
      <c r="AM120" s="1074"/>
      <c r="AN120" s="1049">
        <f t="shared" si="92"/>
        <v>1</v>
      </c>
      <c r="AO120" s="1049"/>
      <c r="AP120" s="1049"/>
      <c r="AQ120" s="1049"/>
      <c r="AR120" s="1049"/>
      <c r="AS120" s="934">
        <v>1</v>
      </c>
      <c r="AT120" s="934"/>
      <c r="AU120" s="934">
        <v>1</v>
      </c>
      <c r="AV120" s="934">
        <v>4</v>
      </c>
      <c r="AW120" s="934"/>
      <c r="AX120" s="934">
        <v>1</v>
      </c>
      <c r="AY120" s="934"/>
      <c r="AZ120" s="934"/>
      <c r="BA120" s="934">
        <f t="shared" si="84"/>
        <v>0</v>
      </c>
      <c r="BB120" s="1061">
        <f t="shared" si="85"/>
        <v>68.900000000000006</v>
      </c>
      <c r="BC120" s="934"/>
      <c r="BD120" s="934">
        <f t="shared" si="93"/>
        <v>0</v>
      </c>
      <c r="BE120" s="934">
        <v>2</v>
      </c>
      <c r="BF120" s="934"/>
      <c r="BG120" s="1085">
        <f t="shared" si="86"/>
        <v>0</v>
      </c>
      <c r="BH120" s="1085">
        <f t="shared" si="87"/>
        <v>0</v>
      </c>
      <c r="BI120" s="1085">
        <f t="shared" si="88"/>
        <v>0</v>
      </c>
      <c r="BJ120" s="934"/>
      <c r="BK120" s="934"/>
      <c r="BL120" s="1085">
        <f t="shared" si="89"/>
        <v>1</v>
      </c>
      <c r="BM120" s="934"/>
      <c r="BN120" s="934"/>
      <c r="BO120" s="1048"/>
      <c r="BP120" s="1048"/>
      <c r="BQ120" s="1048"/>
      <c r="BR120" s="1048"/>
      <c r="BS120" s="1048">
        <v>2</v>
      </c>
      <c r="BT120" s="934">
        <v>1</v>
      </c>
      <c r="BU120" s="934"/>
      <c r="BV120" s="934"/>
      <c r="BW120" s="934"/>
      <c r="BX120" s="934"/>
      <c r="BY120" s="1076" t="s">
        <v>878</v>
      </c>
      <c r="BZ120" s="1077"/>
      <c r="CA120" s="1072"/>
    </row>
    <row r="121" spans="5:79" s="1187" customFormat="1" ht="21.6">
      <c r="E121" s="1189" t="s">
        <v>803</v>
      </c>
      <c r="F121" s="1190"/>
      <c r="G121" s="1190" t="s">
        <v>80</v>
      </c>
      <c r="H121" s="1191">
        <v>37.1</v>
      </c>
      <c r="I121" s="1201">
        <f t="shared" si="90"/>
        <v>37.1</v>
      </c>
      <c r="J121" s="1191">
        <f t="shared" si="81"/>
        <v>37.1</v>
      </c>
      <c r="K121" s="1191"/>
      <c r="L121" s="1201">
        <f t="shared" si="82"/>
        <v>37.1</v>
      </c>
      <c r="M121" s="1178">
        <v>1</v>
      </c>
      <c r="N121" s="1178"/>
      <c r="O121" s="1194">
        <f t="shared" si="83"/>
        <v>1</v>
      </c>
      <c r="P121" s="1195"/>
      <c r="Q121" s="1195"/>
      <c r="R121" s="1195"/>
      <c r="S121" s="1195"/>
      <c r="T121" s="1195"/>
      <c r="U121" s="1195">
        <v>1</v>
      </c>
      <c r="V121" s="1195"/>
      <c r="W121" s="1195"/>
      <c r="X121" s="1195">
        <v>1</v>
      </c>
      <c r="Y121" s="1195"/>
      <c r="Z121" s="1195"/>
      <c r="AA121" s="1195"/>
      <c r="AB121" s="1195">
        <v>1</v>
      </c>
      <c r="AC121" s="1195"/>
      <c r="AD121" s="1196"/>
      <c r="AE121" s="1196"/>
      <c r="AF121" s="1048">
        <f t="shared" si="91"/>
        <v>0</v>
      </c>
      <c r="AG121" s="1196"/>
      <c r="AH121" s="1195"/>
      <c r="AI121" s="1195"/>
      <c r="AJ121" s="1197"/>
      <c r="AK121" s="1197"/>
      <c r="AL121" s="1197"/>
      <c r="AM121" s="1197"/>
      <c r="AN121" s="1049">
        <f t="shared" si="92"/>
        <v>0</v>
      </c>
      <c r="AO121" s="1193"/>
      <c r="AP121" s="1193"/>
      <c r="AQ121" s="1193"/>
      <c r="AR121" s="1193"/>
      <c r="AS121" s="1195"/>
      <c r="AT121" s="1195"/>
      <c r="AU121" s="1195"/>
      <c r="AV121" s="1195"/>
      <c r="AW121" s="1195"/>
      <c r="AX121" s="1195">
        <v>1</v>
      </c>
      <c r="AY121" s="1195"/>
      <c r="AZ121" s="1195"/>
      <c r="BA121" s="934">
        <f t="shared" si="84"/>
        <v>0</v>
      </c>
      <c r="BB121" s="1199">
        <f t="shared" si="85"/>
        <v>37.1</v>
      </c>
      <c r="BC121" s="1195"/>
      <c r="BD121" s="934">
        <f t="shared" si="93"/>
        <v>0</v>
      </c>
      <c r="BE121" s="1195"/>
      <c r="BF121" s="1195"/>
      <c r="BG121" s="1085">
        <f t="shared" si="86"/>
        <v>0</v>
      </c>
      <c r="BH121" s="1085">
        <f t="shared" si="87"/>
        <v>0</v>
      </c>
      <c r="BI121" s="1085">
        <f t="shared" si="88"/>
        <v>0</v>
      </c>
      <c r="BJ121" s="1195"/>
      <c r="BK121" s="1195"/>
      <c r="BL121" s="1085">
        <f t="shared" si="89"/>
        <v>0</v>
      </c>
      <c r="BM121" s="1195"/>
      <c r="BN121" s="1195"/>
      <c r="BO121" s="1196"/>
      <c r="BP121" s="1196"/>
      <c r="BQ121" s="1196"/>
      <c r="BR121" s="1196"/>
      <c r="BS121" s="1196"/>
      <c r="BT121" s="1195"/>
      <c r="BU121" s="1195"/>
      <c r="BV121" s="1195"/>
      <c r="BW121" s="1195"/>
      <c r="BX121" s="1195"/>
      <c r="BY121" s="1198"/>
      <c r="BZ121" s="1202"/>
      <c r="CA121" s="1200"/>
    </row>
    <row r="122" spans="5:79" s="977" customFormat="1" ht="21.6">
      <c r="E122" s="1056" t="s">
        <v>659</v>
      </c>
      <c r="F122" s="1073" t="s">
        <v>148</v>
      </c>
      <c r="G122" s="1073" t="s">
        <v>148</v>
      </c>
      <c r="H122" s="1066">
        <v>37</v>
      </c>
      <c r="I122" s="1066">
        <f t="shared" si="90"/>
        <v>37</v>
      </c>
      <c r="J122" s="1066">
        <f t="shared" si="81"/>
        <v>37</v>
      </c>
      <c r="K122" s="1066"/>
      <c r="L122" s="1066">
        <f t="shared" si="82"/>
        <v>37</v>
      </c>
      <c r="M122" s="1178"/>
      <c r="N122" s="1057"/>
      <c r="O122" s="1058">
        <f t="shared" si="83"/>
        <v>0</v>
      </c>
      <c r="P122" s="934"/>
      <c r="Q122" s="934">
        <v>2</v>
      </c>
      <c r="R122" s="934"/>
      <c r="S122" s="934"/>
      <c r="T122" s="934"/>
      <c r="U122" s="934"/>
      <c r="V122" s="934"/>
      <c r="W122" s="934"/>
      <c r="X122" s="934">
        <v>1</v>
      </c>
      <c r="Y122" s="934"/>
      <c r="Z122" s="934"/>
      <c r="AA122" s="934"/>
      <c r="AB122" s="934"/>
      <c r="AC122" s="934">
        <v>2</v>
      </c>
      <c r="AD122" s="1048">
        <v>2</v>
      </c>
      <c r="AE122" s="1048"/>
      <c r="AF122" s="1048">
        <f t="shared" si="91"/>
        <v>2</v>
      </c>
      <c r="AG122" s="1048"/>
      <c r="AH122" s="934"/>
      <c r="AI122" s="934"/>
      <c r="AJ122" s="1074"/>
      <c r="AK122" s="1074"/>
      <c r="AL122" s="1074"/>
      <c r="AM122" s="1074"/>
      <c r="AN122" s="1049">
        <f t="shared" si="92"/>
        <v>0</v>
      </c>
      <c r="AO122" s="1049"/>
      <c r="AP122" s="1049"/>
      <c r="AQ122" s="1049"/>
      <c r="AR122" s="1049"/>
      <c r="AS122" s="934">
        <v>1</v>
      </c>
      <c r="AT122" s="934"/>
      <c r="AU122" s="934">
        <v>1</v>
      </c>
      <c r="AV122" s="934"/>
      <c r="AW122" s="934"/>
      <c r="AX122" s="934">
        <v>1</v>
      </c>
      <c r="AY122" s="934"/>
      <c r="AZ122" s="934"/>
      <c r="BA122" s="934">
        <f t="shared" si="84"/>
        <v>2</v>
      </c>
      <c r="BB122" s="1061">
        <f t="shared" si="85"/>
        <v>37</v>
      </c>
      <c r="BC122" s="934"/>
      <c r="BD122" s="934">
        <f t="shared" si="93"/>
        <v>0</v>
      </c>
      <c r="BE122" s="934"/>
      <c r="BF122" s="934"/>
      <c r="BG122" s="1085">
        <f t="shared" si="86"/>
        <v>0</v>
      </c>
      <c r="BH122" s="1085">
        <f t="shared" si="87"/>
        <v>2</v>
      </c>
      <c r="BI122" s="1085">
        <f t="shared" si="88"/>
        <v>0</v>
      </c>
      <c r="BJ122" s="934"/>
      <c r="BK122" s="934">
        <v>2</v>
      </c>
      <c r="BL122" s="1085">
        <f t="shared" si="89"/>
        <v>0</v>
      </c>
      <c r="BM122" s="934"/>
      <c r="BN122" s="934"/>
      <c r="BO122" s="1048"/>
      <c r="BP122" s="1048"/>
      <c r="BQ122" s="1048"/>
      <c r="BR122" s="1048"/>
      <c r="BS122" s="1048"/>
      <c r="BT122" s="934"/>
      <c r="BU122" s="934"/>
      <c r="BV122" s="934"/>
      <c r="BW122" s="934"/>
      <c r="BX122" s="934"/>
      <c r="BY122" s="1076"/>
      <c r="BZ122" s="1077"/>
      <c r="CA122" s="1072"/>
    </row>
    <row r="123" spans="5:79" s="977" customFormat="1" ht="21.6">
      <c r="E123" s="1056" t="s">
        <v>660</v>
      </c>
      <c r="F123" s="1073" t="s">
        <v>374</v>
      </c>
      <c r="G123" s="1073" t="s">
        <v>374</v>
      </c>
      <c r="H123" s="1066">
        <v>64.099999999999994</v>
      </c>
      <c r="I123" s="1066">
        <f t="shared" si="90"/>
        <v>64.099999999999994</v>
      </c>
      <c r="J123" s="1066">
        <f t="shared" si="81"/>
        <v>64.099999999999994</v>
      </c>
      <c r="K123" s="1066"/>
      <c r="L123" s="1066">
        <f t="shared" si="82"/>
        <v>64.099999999999994</v>
      </c>
      <c r="M123" s="1178"/>
      <c r="N123" s="1057"/>
      <c r="O123" s="1058">
        <f t="shared" si="83"/>
        <v>0</v>
      </c>
      <c r="P123" s="934"/>
      <c r="Q123" s="934">
        <v>1</v>
      </c>
      <c r="R123" s="934"/>
      <c r="S123" s="934"/>
      <c r="T123" s="934"/>
      <c r="U123" s="934"/>
      <c r="V123" s="934"/>
      <c r="W123" s="934">
        <v>2</v>
      </c>
      <c r="X123" s="934"/>
      <c r="Y123" s="934"/>
      <c r="Z123" s="934"/>
      <c r="AA123" s="934">
        <v>1</v>
      </c>
      <c r="AB123" s="934"/>
      <c r="AC123" s="934"/>
      <c r="AD123" s="1048"/>
      <c r="AE123" s="1048"/>
      <c r="AF123" s="1048">
        <f t="shared" si="91"/>
        <v>0</v>
      </c>
      <c r="AG123" s="1048"/>
      <c r="AH123" s="934"/>
      <c r="AI123" s="934"/>
      <c r="AJ123" s="1074"/>
      <c r="AK123" s="1074"/>
      <c r="AL123" s="1074"/>
      <c r="AM123" s="1074"/>
      <c r="AN123" s="1049">
        <f t="shared" si="92"/>
        <v>0</v>
      </c>
      <c r="AO123" s="1049"/>
      <c r="AP123" s="1049"/>
      <c r="AQ123" s="1049"/>
      <c r="AR123" s="1049"/>
      <c r="AS123" s="934"/>
      <c r="AT123" s="934"/>
      <c r="AU123" s="934"/>
      <c r="AV123" s="934"/>
      <c r="AW123" s="934"/>
      <c r="AX123" s="934"/>
      <c r="AY123" s="934">
        <v>2</v>
      </c>
      <c r="AZ123" s="934"/>
      <c r="BA123" s="934">
        <f t="shared" si="84"/>
        <v>0</v>
      </c>
      <c r="BB123" s="1061">
        <f t="shared" si="85"/>
        <v>64.099999999999994</v>
      </c>
      <c r="BC123" s="934"/>
      <c r="BD123" s="934">
        <f t="shared" si="93"/>
        <v>0</v>
      </c>
      <c r="BE123" s="934"/>
      <c r="BF123" s="934">
        <v>2</v>
      </c>
      <c r="BG123" s="1085">
        <f t="shared" si="86"/>
        <v>0</v>
      </c>
      <c r="BH123" s="1085">
        <f t="shared" si="87"/>
        <v>1</v>
      </c>
      <c r="BI123" s="1085">
        <f t="shared" si="88"/>
        <v>0</v>
      </c>
      <c r="BJ123" s="934"/>
      <c r="BK123" s="934"/>
      <c r="BL123" s="1085">
        <f t="shared" si="89"/>
        <v>2</v>
      </c>
      <c r="BM123" s="934"/>
      <c r="BN123" s="934"/>
      <c r="BO123" s="1048"/>
      <c r="BP123" s="1048"/>
      <c r="BQ123" s="1048"/>
      <c r="BR123" s="1048"/>
      <c r="BS123" s="1048"/>
      <c r="BT123" s="934"/>
      <c r="BU123" s="934"/>
      <c r="BV123" s="934"/>
      <c r="BW123" s="934"/>
      <c r="BX123" s="934"/>
      <c r="BY123" s="1076"/>
      <c r="BZ123" s="1077"/>
      <c r="CA123" s="1072"/>
    </row>
    <row r="124" spans="5:79" s="977" customFormat="1" ht="21.6">
      <c r="E124" s="1056" t="s">
        <v>661</v>
      </c>
      <c r="F124" s="1073" t="s">
        <v>374</v>
      </c>
      <c r="G124" s="1073" t="s">
        <v>374</v>
      </c>
      <c r="H124" s="1066">
        <v>69.8</v>
      </c>
      <c r="I124" s="1066">
        <f t="shared" si="90"/>
        <v>69.8</v>
      </c>
      <c r="J124" s="1066">
        <f t="shared" si="81"/>
        <v>69.8</v>
      </c>
      <c r="K124" s="1066"/>
      <c r="L124" s="1066">
        <f t="shared" si="82"/>
        <v>69.8</v>
      </c>
      <c r="M124" s="1178"/>
      <c r="N124" s="1057"/>
      <c r="O124" s="1058">
        <f t="shared" si="83"/>
        <v>0</v>
      </c>
      <c r="P124" s="934"/>
      <c r="Q124" s="934">
        <v>1</v>
      </c>
      <c r="R124" s="934"/>
      <c r="S124" s="934"/>
      <c r="T124" s="934"/>
      <c r="U124" s="934"/>
      <c r="V124" s="934"/>
      <c r="W124" s="934">
        <v>2</v>
      </c>
      <c r="X124" s="934"/>
      <c r="Y124" s="934"/>
      <c r="Z124" s="934"/>
      <c r="AA124" s="934">
        <v>1</v>
      </c>
      <c r="AB124" s="934"/>
      <c r="AC124" s="934"/>
      <c r="AD124" s="1048"/>
      <c r="AE124" s="1048"/>
      <c r="AF124" s="1048">
        <f t="shared" si="91"/>
        <v>0</v>
      </c>
      <c r="AG124" s="1048"/>
      <c r="AH124" s="934"/>
      <c r="AI124" s="934"/>
      <c r="AJ124" s="1074"/>
      <c r="AK124" s="1074"/>
      <c r="AL124" s="1074"/>
      <c r="AM124" s="1074"/>
      <c r="AN124" s="1049">
        <f t="shared" si="92"/>
        <v>0</v>
      </c>
      <c r="AO124" s="1049"/>
      <c r="AP124" s="1049"/>
      <c r="AQ124" s="1049"/>
      <c r="AR124" s="1049"/>
      <c r="AS124" s="934"/>
      <c r="AT124" s="934"/>
      <c r="AU124" s="934"/>
      <c r="AV124" s="934"/>
      <c r="AW124" s="934"/>
      <c r="AX124" s="934"/>
      <c r="AY124" s="934">
        <v>2</v>
      </c>
      <c r="AZ124" s="934"/>
      <c r="BA124" s="934">
        <f t="shared" si="84"/>
        <v>0</v>
      </c>
      <c r="BB124" s="1061">
        <f t="shared" si="85"/>
        <v>69.8</v>
      </c>
      <c r="BC124" s="934"/>
      <c r="BD124" s="934">
        <f t="shared" si="93"/>
        <v>0</v>
      </c>
      <c r="BE124" s="934"/>
      <c r="BF124" s="934">
        <v>2</v>
      </c>
      <c r="BG124" s="1085">
        <f t="shared" si="86"/>
        <v>0</v>
      </c>
      <c r="BH124" s="1085">
        <f t="shared" si="87"/>
        <v>1</v>
      </c>
      <c r="BI124" s="1085">
        <f t="shared" si="88"/>
        <v>0</v>
      </c>
      <c r="BJ124" s="934"/>
      <c r="BK124" s="934"/>
      <c r="BL124" s="1085">
        <f t="shared" si="89"/>
        <v>2</v>
      </c>
      <c r="BM124" s="934"/>
      <c r="BN124" s="934"/>
      <c r="BO124" s="1048"/>
      <c r="BP124" s="1048"/>
      <c r="BQ124" s="1048"/>
      <c r="BR124" s="1048"/>
      <c r="BS124" s="1048"/>
      <c r="BT124" s="934"/>
      <c r="BU124" s="934"/>
      <c r="BV124" s="934"/>
      <c r="BW124" s="934"/>
      <c r="BX124" s="934"/>
      <c r="BY124" s="1076"/>
      <c r="BZ124" s="1077"/>
      <c r="CA124" s="1072"/>
    </row>
    <row r="125" spans="5:79" s="977" customFormat="1" ht="21.6">
      <c r="E125" s="1056" t="s">
        <v>662</v>
      </c>
      <c r="F125" s="1073" t="s">
        <v>374</v>
      </c>
      <c r="G125" s="1073" t="s">
        <v>374</v>
      </c>
      <c r="H125" s="1066">
        <v>65.099999999999994</v>
      </c>
      <c r="I125" s="1066">
        <f t="shared" si="90"/>
        <v>65.099999999999994</v>
      </c>
      <c r="J125" s="1066">
        <f t="shared" si="81"/>
        <v>65.099999999999994</v>
      </c>
      <c r="K125" s="1066"/>
      <c r="L125" s="1066">
        <f t="shared" si="82"/>
        <v>65.099999999999994</v>
      </c>
      <c r="M125" s="1178"/>
      <c r="N125" s="1057"/>
      <c r="O125" s="1058">
        <f t="shared" si="83"/>
        <v>0</v>
      </c>
      <c r="P125" s="934"/>
      <c r="Q125" s="934">
        <v>1</v>
      </c>
      <c r="R125" s="934"/>
      <c r="S125" s="934"/>
      <c r="T125" s="934"/>
      <c r="U125" s="934"/>
      <c r="V125" s="934"/>
      <c r="W125" s="934">
        <v>2</v>
      </c>
      <c r="X125" s="934"/>
      <c r="Y125" s="934"/>
      <c r="Z125" s="934"/>
      <c r="AA125" s="934">
        <v>1</v>
      </c>
      <c r="AB125" s="934"/>
      <c r="AC125" s="934"/>
      <c r="AD125" s="1048"/>
      <c r="AE125" s="1048"/>
      <c r="AF125" s="1048">
        <f t="shared" si="91"/>
        <v>0</v>
      </c>
      <c r="AG125" s="1048"/>
      <c r="AH125" s="934"/>
      <c r="AI125" s="934"/>
      <c r="AJ125" s="1074"/>
      <c r="AK125" s="1074"/>
      <c r="AL125" s="1074"/>
      <c r="AM125" s="1074"/>
      <c r="AN125" s="1049">
        <f t="shared" si="92"/>
        <v>0</v>
      </c>
      <c r="AO125" s="1049"/>
      <c r="AP125" s="1049"/>
      <c r="AQ125" s="1049"/>
      <c r="AR125" s="1049"/>
      <c r="AS125" s="934"/>
      <c r="AT125" s="934"/>
      <c r="AU125" s="934"/>
      <c r="AV125" s="934"/>
      <c r="AW125" s="934"/>
      <c r="AX125" s="934"/>
      <c r="AY125" s="934">
        <v>2</v>
      </c>
      <c r="AZ125" s="934"/>
      <c r="BA125" s="934">
        <f t="shared" si="84"/>
        <v>0</v>
      </c>
      <c r="BB125" s="1061">
        <f t="shared" si="85"/>
        <v>65.099999999999994</v>
      </c>
      <c r="BC125" s="934"/>
      <c r="BD125" s="934">
        <f t="shared" si="93"/>
        <v>0</v>
      </c>
      <c r="BE125" s="934"/>
      <c r="BF125" s="934">
        <v>2</v>
      </c>
      <c r="BG125" s="1085">
        <f t="shared" si="86"/>
        <v>0</v>
      </c>
      <c r="BH125" s="1085">
        <f t="shared" si="87"/>
        <v>1</v>
      </c>
      <c r="BI125" s="1085">
        <f t="shared" si="88"/>
        <v>0</v>
      </c>
      <c r="BJ125" s="934"/>
      <c r="BK125" s="934"/>
      <c r="BL125" s="1085">
        <f t="shared" si="89"/>
        <v>2</v>
      </c>
      <c r="BM125" s="934"/>
      <c r="BN125" s="934"/>
      <c r="BO125" s="1048"/>
      <c r="BP125" s="1048"/>
      <c r="BQ125" s="1048"/>
      <c r="BR125" s="1048"/>
      <c r="BS125" s="1048"/>
      <c r="BT125" s="934"/>
      <c r="BU125" s="934"/>
      <c r="BV125" s="934"/>
      <c r="BW125" s="934"/>
      <c r="BX125" s="934"/>
      <c r="BY125" s="1076"/>
      <c r="BZ125" s="1077"/>
      <c r="CA125" s="1072"/>
    </row>
    <row r="126" spans="5:79" s="977" customFormat="1" ht="21.6">
      <c r="E126" s="1056" t="s">
        <v>663</v>
      </c>
      <c r="F126" s="1073" t="s">
        <v>744</v>
      </c>
      <c r="G126" s="1073" t="s">
        <v>374</v>
      </c>
      <c r="H126" s="1066">
        <v>61.2</v>
      </c>
      <c r="I126" s="1066">
        <f t="shared" si="90"/>
        <v>61.2</v>
      </c>
      <c r="J126" s="1066">
        <f t="shared" si="81"/>
        <v>61.2</v>
      </c>
      <c r="K126" s="1066"/>
      <c r="L126" s="1066">
        <f t="shared" si="82"/>
        <v>61.2</v>
      </c>
      <c r="M126" s="1178"/>
      <c r="N126" s="1057"/>
      <c r="O126" s="1058">
        <f t="shared" si="83"/>
        <v>0</v>
      </c>
      <c r="P126" s="934"/>
      <c r="Q126" s="934">
        <v>1</v>
      </c>
      <c r="R126" s="934"/>
      <c r="S126" s="934"/>
      <c r="T126" s="934"/>
      <c r="U126" s="934"/>
      <c r="V126" s="934"/>
      <c r="W126" s="934"/>
      <c r="X126" s="934"/>
      <c r="Y126" s="934"/>
      <c r="Z126" s="934">
        <v>1</v>
      </c>
      <c r="AA126" s="934"/>
      <c r="AB126" s="934"/>
      <c r="AC126" s="934"/>
      <c r="AD126" s="1048"/>
      <c r="AE126" s="1048"/>
      <c r="AF126" s="1048">
        <f t="shared" si="91"/>
        <v>0</v>
      </c>
      <c r="AG126" s="1048"/>
      <c r="AH126" s="934"/>
      <c r="AI126" s="934"/>
      <c r="AJ126" s="1074"/>
      <c r="AK126" s="1074"/>
      <c r="AL126" s="1074"/>
      <c r="AM126" s="1074"/>
      <c r="AN126" s="1049">
        <f t="shared" si="92"/>
        <v>0</v>
      </c>
      <c r="AO126" s="1049"/>
      <c r="AP126" s="1049"/>
      <c r="AQ126" s="1049"/>
      <c r="AR126" s="1049"/>
      <c r="AS126" s="934"/>
      <c r="AT126" s="934"/>
      <c r="AU126" s="934"/>
      <c r="AV126" s="934"/>
      <c r="AW126" s="934"/>
      <c r="AX126" s="934"/>
      <c r="AY126" s="934">
        <v>2</v>
      </c>
      <c r="AZ126" s="934"/>
      <c r="BA126" s="934">
        <f t="shared" si="84"/>
        <v>0</v>
      </c>
      <c r="BB126" s="1061">
        <f t="shared" si="85"/>
        <v>61.2</v>
      </c>
      <c r="BC126" s="934"/>
      <c r="BD126" s="934">
        <f t="shared" si="93"/>
        <v>0</v>
      </c>
      <c r="BE126" s="934"/>
      <c r="BF126" s="934"/>
      <c r="BG126" s="1085">
        <f t="shared" si="86"/>
        <v>0</v>
      </c>
      <c r="BH126" s="1085">
        <f t="shared" si="87"/>
        <v>1</v>
      </c>
      <c r="BI126" s="1085">
        <f t="shared" si="88"/>
        <v>0</v>
      </c>
      <c r="BJ126" s="934"/>
      <c r="BK126" s="934"/>
      <c r="BL126" s="1085">
        <f t="shared" si="89"/>
        <v>0</v>
      </c>
      <c r="BM126" s="934"/>
      <c r="BN126" s="934"/>
      <c r="BO126" s="1048"/>
      <c r="BP126" s="1048"/>
      <c r="BQ126" s="1048"/>
      <c r="BR126" s="1048"/>
      <c r="BS126" s="1048"/>
      <c r="BT126" s="934"/>
      <c r="BU126" s="934"/>
      <c r="BV126" s="934"/>
      <c r="BW126" s="934"/>
      <c r="BX126" s="934"/>
      <c r="BY126" s="1076"/>
      <c r="BZ126" s="1077"/>
      <c r="CA126" s="1072"/>
    </row>
    <row r="127" spans="5:79" s="977" customFormat="1" ht="21.6">
      <c r="E127" s="1056" t="s">
        <v>664</v>
      </c>
      <c r="F127" s="1073" t="s">
        <v>80</v>
      </c>
      <c r="G127" s="1073" t="s">
        <v>80</v>
      </c>
      <c r="H127" s="1066">
        <v>60.9</v>
      </c>
      <c r="I127" s="1066">
        <f t="shared" si="90"/>
        <v>60.9</v>
      </c>
      <c r="J127" s="1066">
        <f t="shared" si="81"/>
        <v>60.9</v>
      </c>
      <c r="K127" s="1066"/>
      <c r="L127" s="1066">
        <f t="shared" si="82"/>
        <v>60.9</v>
      </c>
      <c r="M127" s="1178"/>
      <c r="N127" s="1057"/>
      <c r="O127" s="1058">
        <f t="shared" si="83"/>
        <v>0</v>
      </c>
      <c r="P127" s="934"/>
      <c r="Q127" s="934"/>
      <c r="R127" s="934"/>
      <c r="S127" s="934"/>
      <c r="T127" s="934"/>
      <c r="U127" s="934">
        <v>1</v>
      </c>
      <c r="V127" s="934">
        <v>1</v>
      </c>
      <c r="W127" s="934">
        <v>1</v>
      </c>
      <c r="X127" s="934"/>
      <c r="Y127" s="934"/>
      <c r="Z127" s="934"/>
      <c r="AA127" s="934"/>
      <c r="AB127" s="934"/>
      <c r="AC127" s="934"/>
      <c r="AD127" s="1048"/>
      <c r="AE127" s="1048"/>
      <c r="AF127" s="1048">
        <f t="shared" si="91"/>
        <v>0</v>
      </c>
      <c r="AG127" s="1048"/>
      <c r="AH127" s="934"/>
      <c r="AI127" s="934"/>
      <c r="AJ127" s="1074"/>
      <c r="AK127" s="1074"/>
      <c r="AL127" s="1074"/>
      <c r="AM127" s="1074"/>
      <c r="AN127" s="1049">
        <f t="shared" si="92"/>
        <v>0</v>
      </c>
      <c r="AO127" s="1049"/>
      <c r="AP127" s="1049"/>
      <c r="AQ127" s="1049"/>
      <c r="AR127" s="1049"/>
      <c r="AS127" s="934"/>
      <c r="AT127" s="934"/>
      <c r="AU127" s="934"/>
      <c r="AV127" s="934"/>
      <c r="AW127" s="934"/>
      <c r="AX127" s="934">
        <v>1</v>
      </c>
      <c r="AY127" s="934"/>
      <c r="AZ127" s="934"/>
      <c r="BA127" s="934">
        <f t="shared" si="84"/>
        <v>0</v>
      </c>
      <c r="BB127" s="1061">
        <f t="shared" si="85"/>
        <v>60.9</v>
      </c>
      <c r="BC127" s="934"/>
      <c r="BD127" s="934">
        <f t="shared" si="93"/>
        <v>0</v>
      </c>
      <c r="BE127" s="934">
        <v>2</v>
      </c>
      <c r="BF127" s="934"/>
      <c r="BG127" s="1085">
        <f t="shared" si="86"/>
        <v>0</v>
      </c>
      <c r="BH127" s="1085">
        <f t="shared" si="87"/>
        <v>0</v>
      </c>
      <c r="BI127" s="1085">
        <f t="shared" si="88"/>
        <v>0</v>
      </c>
      <c r="BJ127" s="934"/>
      <c r="BK127" s="934"/>
      <c r="BL127" s="1085">
        <f t="shared" si="89"/>
        <v>1</v>
      </c>
      <c r="BM127" s="934"/>
      <c r="BN127" s="934"/>
      <c r="BO127" s="1048"/>
      <c r="BP127" s="1048"/>
      <c r="BQ127" s="1048"/>
      <c r="BR127" s="1048"/>
      <c r="BS127" s="1048"/>
      <c r="BT127" s="934"/>
      <c r="BU127" s="934"/>
      <c r="BV127" s="934"/>
      <c r="BW127" s="934"/>
      <c r="BX127" s="934"/>
      <c r="BY127" s="1076"/>
      <c r="BZ127" s="1077"/>
      <c r="CA127" s="1072"/>
    </row>
    <row r="128" spans="5:79" s="977" customFormat="1" ht="21.6">
      <c r="E128" s="1056" t="s">
        <v>665</v>
      </c>
      <c r="F128" s="1073" t="s">
        <v>374</v>
      </c>
      <c r="G128" s="1073" t="s">
        <v>374</v>
      </c>
      <c r="H128" s="1066">
        <v>60.2</v>
      </c>
      <c r="I128" s="1066">
        <f t="shared" si="90"/>
        <v>60.2</v>
      </c>
      <c r="J128" s="1066">
        <f t="shared" si="81"/>
        <v>60.2</v>
      </c>
      <c r="K128" s="1066"/>
      <c r="L128" s="1066">
        <f t="shared" si="82"/>
        <v>60.2</v>
      </c>
      <c r="M128" s="1178"/>
      <c r="N128" s="1057"/>
      <c r="O128" s="1058">
        <f t="shared" si="83"/>
        <v>0</v>
      </c>
      <c r="P128" s="934"/>
      <c r="Q128" s="934">
        <v>1</v>
      </c>
      <c r="R128" s="934"/>
      <c r="S128" s="934"/>
      <c r="T128" s="934"/>
      <c r="U128" s="934"/>
      <c r="V128" s="934"/>
      <c r="W128" s="934">
        <v>2</v>
      </c>
      <c r="X128" s="934"/>
      <c r="Y128" s="934"/>
      <c r="Z128" s="934"/>
      <c r="AA128" s="934">
        <v>1</v>
      </c>
      <c r="AB128" s="934"/>
      <c r="AC128" s="934"/>
      <c r="AD128" s="1048"/>
      <c r="AE128" s="1048"/>
      <c r="AF128" s="1048">
        <f t="shared" si="91"/>
        <v>0</v>
      </c>
      <c r="AG128" s="1048"/>
      <c r="AH128" s="934"/>
      <c r="AI128" s="934"/>
      <c r="AJ128" s="1074"/>
      <c r="AK128" s="1074"/>
      <c r="AL128" s="1074"/>
      <c r="AM128" s="1074"/>
      <c r="AN128" s="1049">
        <f t="shared" si="92"/>
        <v>0</v>
      </c>
      <c r="AO128" s="1049"/>
      <c r="AP128" s="1049"/>
      <c r="AQ128" s="1049"/>
      <c r="AR128" s="1049"/>
      <c r="AS128" s="934"/>
      <c r="AT128" s="934"/>
      <c r="AU128" s="934"/>
      <c r="AV128" s="934"/>
      <c r="AW128" s="934"/>
      <c r="AX128" s="934"/>
      <c r="AY128" s="934">
        <v>2</v>
      </c>
      <c r="AZ128" s="934"/>
      <c r="BA128" s="934">
        <f t="shared" si="84"/>
        <v>0</v>
      </c>
      <c r="BB128" s="1061">
        <f t="shared" si="85"/>
        <v>60.2</v>
      </c>
      <c r="BC128" s="934"/>
      <c r="BD128" s="934">
        <f t="shared" si="93"/>
        <v>0</v>
      </c>
      <c r="BE128" s="934"/>
      <c r="BF128" s="934">
        <v>2</v>
      </c>
      <c r="BG128" s="1085">
        <f t="shared" si="86"/>
        <v>0</v>
      </c>
      <c r="BH128" s="1085">
        <f t="shared" si="87"/>
        <v>1</v>
      </c>
      <c r="BI128" s="1085">
        <f t="shared" si="88"/>
        <v>0</v>
      </c>
      <c r="BJ128" s="934"/>
      <c r="BK128" s="934"/>
      <c r="BL128" s="1085">
        <f t="shared" si="89"/>
        <v>2</v>
      </c>
      <c r="BM128" s="934"/>
      <c r="BN128" s="934"/>
      <c r="BO128" s="1048"/>
      <c r="BP128" s="1048"/>
      <c r="BQ128" s="1048"/>
      <c r="BR128" s="1048"/>
      <c r="BS128" s="1048"/>
      <c r="BT128" s="934"/>
      <c r="BU128" s="934"/>
      <c r="BV128" s="934"/>
      <c r="BW128" s="934"/>
      <c r="BX128" s="934"/>
      <c r="BY128" s="1076"/>
      <c r="BZ128" s="1077"/>
      <c r="CA128" s="1072"/>
    </row>
    <row r="129" spans="4:79" s="977" customFormat="1" ht="21.6">
      <c r="E129" s="1056" t="s">
        <v>666</v>
      </c>
      <c r="F129" s="1073" t="s">
        <v>374</v>
      </c>
      <c r="G129" s="1073" t="s">
        <v>374</v>
      </c>
      <c r="H129" s="1066">
        <v>60.3</v>
      </c>
      <c r="I129" s="1066">
        <f t="shared" si="90"/>
        <v>60.3</v>
      </c>
      <c r="J129" s="1066">
        <f t="shared" si="81"/>
        <v>60.3</v>
      </c>
      <c r="K129" s="1066"/>
      <c r="L129" s="1066">
        <f t="shared" si="82"/>
        <v>60.3</v>
      </c>
      <c r="M129" s="1178"/>
      <c r="N129" s="1057"/>
      <c r="O129" s="1058">
        <f t="shared" si="83"/>
        <v>0</v>
      </c>
      <c r="P129" s="934"/>
      <c r="Q129" s="934"/>
      <c r="R129" s="934">
        <v>1</v>
      </c>
      <c r="S129" s="934"/>
      <c r="T129" s="934"/>
      <c r="U129" s="934"/>
      <c r="V129" s="934"/>
      <c r="W129" s="934">
        <v>2</v>
      </c>
      <c r="X129" s="934"/>
      <c r="Y129" s="934"/>
      <c r="Z129" s="934"/>
      <c r="AA129" s="934">
        <v>1</v>
      </c>
      <c r="AB129" s="934"/>
      <c r="AC129" s="934"/>
      <c r="AD129" s="1048"/>
      <c r="AE129" s="1048"/>
      <c r="AF129" s="1048">
        <f t="shared" si="91"/>
        <v>0</v>
      </c>
      <c r="AG129" s="1048"/>
      <c r="AH129" s="934"/>
      <c r="AI129" s="934"/>
      <c r="AJ129" s="1074"/>
      <c r="AK129" s="1074"/>
      <c r="AL129" s="1074"/>
      <c r="AM129" s="1074"/>
      <c r="AN129" s="1049">
        <f t="shared" si="92"/>
        <v>0</v>
      </c>
      <c r="AO129" s="1049"/>
      <c r="AP129" s="1049"/>
      <c r="AQ129" s="1049"/>
      <c r="AR129" s="1049"/>
      <c r="AS129" s="934"/>
      <c r="AT129" s="934"/>
      <c r="AU129" s="934"/>
      <c r="AV129" s="934"/>
      <c r="AW129" s="934"/>
      <c r="AX129" s="934"/>
      <c r="AY129" s="934">
        <v>2</v>
      </c>
      <c r="AZ129" s="934"/>
      <c r="BA129" s="934">
        <f t="shared" si="84"/>
        <v>0</v>
      </c>
      <c r="BB129" s="1061">
        <f t="shared" si="85"/>
        <v>60.3</v>
      </c>
      <c r="BC129" s="934"/>
      <c r="BD129" s="934">
        <f t="shared" si="93"/>
        <v>0</v>
      </c>
      <c r="BE129" s="934"/>
      <c r="BF129" s="934">
        <v>2</v>
      </c>
      <c r="BG129" s="1085">
        <f t="shared" si="86"/>
        <v>0</v>
      </c>
      <c r="BH129" s="1085">
        <f t="shared" si="87"/>
        <v>0</v>
      </c>
      <c r="BI129" s="1085">
        <f t="shared" si="88"/>
        <v>1</v>
      </c>
      <c r="BJ129" s="934"/>
      <c r="BK129" s="934"/>
      <c r="BL129" s="1085">
        <f t="shared" si="89"/>
        <v>2</v>
      </c>
      <c r="BM129" s="934"/>
      <c r="BN129" s="934"/>
      <c r="BO129" s="1048"/>
      <c r="BP129" s="1048"/>
      <c r="BQ129" s="1048"/>
      <c r="BR129" s="1048"/>
      <c r="BS129" s="1048"/>
      <c r="BT129" s="934"/>
      <c r="BU129" s="934"/>
      <c r="BV129" s="934"/>
      <c r="BW129" s="934"/>
      <c r="BX129" s="934"/>
      <c r="BY129" s="1076"/>
      <c r="BZ129" s="1077"/>
      <c r="CA129" s="1072"/>
    </row>
    <row r="130" spans="4:79" s="977" customFormat="1" ht="21.6">
      <c r="E130" s="1056" t="s">
        <v>667</v>
      </c>
      <c r="F130" s="1073" t="s">
        <v>374</v>
      </c>
      <c r="G130" s="1073" t="s">
        <v>374</v>
      </c>
      <c r="H130" s="1066">
        <v>54.4</v>
      </c>
      <c r="I130" s="1066">
        <f t="shared" si="90"/>
        <v>54.4</v>
      </c>
      <c r="J130" s="1066">
        <f t="shared" si="81"/>
        <v>54.4</v>
      </c>
      <c r="K130" s="1066"/>
      <c r="L130" s="1066">
        <f t="shared" si="82"/>
        <v>54.4</v>
      </c>
      <c r="M130" s="1178"/>
      <c r="N130" s="1057"/>
      <c r="O130" s="1058">
        <f t="shared" si="83"/>
        <v>0</v>
      </c>
      <c r="P130" s="934"/>
      <c r="Q130" s="934">
        <v>1</v>
      </c>
      <c r="R130" s="934"/>
      <c r="S130" s="934"/>
      <c r="T130" s="934"/>
      <c r="U130" s="934"/>
      <c r="V130" s="934"/>
      <c r="W130" s="934">
        <v>2</v>
      </c>
      <c r="X130" s="934"/>
      <c r="Y130" s="934"/>
      <c r="Z130" s="934"/>
      <c r="AA130" s="934">
        <v>1</v>
      </c>
      <c r="AB130" s="934"/>
      <c r="AC130" s="934"/>
      <c r="AD130" s="1048"/>
      <c r="AE130" s="1048"/>
      <c r="AF130" s="1048">
        <f t="shared" si="91"/>
        <v>0</v>
      </c>
      <c r="AG130" s="1048"/>
      <c r="AH130" s="934"/>
      <c r="AI130" s="934"/>
      <c r="AJ130" s="1074"/>
      <c r="AK130" s="1074"/>
      <c r="AL130" s="1074"/>
      <c r="AM130" s="1074"/>
      <c r="AN130" s="1049">
        <f t="shared" si="92"/>
        <v>0</v>
      </c>
      <c r="AO130" s="1049"/>
      <c r="AP130" s="1049"/>
      <c r="AQ130" s="1049"/>
      <c r="AR130" s="1049"/>
      <c r="AS130" s="934"/>
      <c r="AT130" s="934"/>
      <c r="AU130" s="934"/>
      <c r="AV130" s="934"/>
      <c r="AW130" s="934"/>
      <c r="AX130" s="934"/>
      <c r="AY130" s="934">
        <v>2</v>
      </c>
      <c r="AZ130" s="934"/>
      <c r="BA130" s="934">
        <f t="shared" si="84"/>
        <v>0</v>
      </c>
      <c r="BB130" s="1061">
        <f t="shared" si="85"/>
        <v>54.4</v>
      </c>
      <c r="BC130" s="934"/>
      <c r="BD130" s="934">
        <f t="shared" si="93"/>
        <v>0</v>
      </c>
      <c r="BE130" s="934"/>
      <c r="BF130" s="934">
        <v>2</v>
      </c>
      <c r="BG130" s="1085">
        <f t="shared" si="86"/>
        <v>0</v>
      </c>
      <c r="BH130" s="1085">
        <f t="shared" si="87"/>
        <v>1</v>
      </c>
      <c r="BI130" s="1085">
        <f t="shared" si="88"/>
        <v>0</v>
      </c>
      <c r="BJ130" s="934"/>
      <c r="BK130" s="934"/>
      <c r="BL130" s="1085">
        <f t="shared" si="89"/>
        <v>2</v>
      </c>
      <c r="BM130" s="934"/>
      <c r="BN130" s="934"/>
      <c r="BO130" s="1048"/>
      <c r="BP130" s="1048"/>
      <c r="BQ130" s="1048"/>
      <c r="BR130" s="1048"/>
      <c r="BS130" s="1048"/>
      <c r="BT130" s="934"/>
      <c r="BU130" s="934"/>
      <c r="BV130" s="934"/>
      <c r="BW130" s="934"/>
      <c r="BX130" s="934"/>
      <c r="BY130" s="1076"/>
      <c r="BZ130" s="1077"/>
      <c r="CA130" s="1072"/>
    </row>
    <row r="131" spans="4:79" s="977" customFormat="1" ht="21.6">
      <c r="E131" s="1056" t="s">
        <v>668</v>
      </c>
      <c r="F131" s="1073" t="s">
        <v>374</v>
      </c>
      <c r="G131" s="1073" t="s">
        <v>374</v>
      </c>
      <c r="H131" s="1066">
        <v>59.6</v>
      </c>
      <c r="I131" s="1066">
        <f t="shared" si="90"/>
        <v>59.6</v>
      </c>
      <c r="J131" s="1066">
        <f t="shared" si="81"/>
        <v>59.6</v>
      </c>
      <c r="K131" s="1066"/>
      <c r="L131" s="1066">
        <f t="shared" si="82"/>
        <v>59.6</v>
      </c>
      <c r="M131" s="1178"/>
      <c r="N131" s="1057"/>
      <c r="O131" s="1058">
        <f t="shared" si="83"/>
        <v>0</v>
      </c>
      <c r="P131" s="934"/>
      <c r="Q131" s="934">
        <v>1</v>
      </c>
      <c r="R131" s="934"/>
      <c r="S131" s="934"/>
      <c r="T131" s="934"/>
      <c r="U131" s="934"/>
      <c r="V131" s="934"/>
      <c r="W131" s="934">
        <v>2</v>
      </c>
      <c r="X131" s="934"/>
      <c r="Y131" s="934"/>
      <c r="Z131" s="934"/>
      <c r="AA131" s="934">
        <v>1</v>
      </c>
      <c r="AB131" s="934"/>
      <c r="AC131" s="934"/>
      <c r="AD131" s="1048"/>
      <c r="AE131" s="1048"/>
      <c r="AF131" s="1048">
        <f t="shared" si="91"/>
        <v>0</v>
      </c>
      <c r="AG131" s="1048"/>
      <c r="AH131" s="934"/>
      <c r="AI131" s="934"/>
      <c r="AJ131" s="1074"/>
      <c r="AK131" s="1074"/>
      <c r="AL131" s="1074"/>
      <c r="AM131" s="1074"/>
      <c r="AN131" s="1049">
        <f t="shared" si="92"/>
        <v>0</v>
      </c>
      <c r="AO131" s="1049"/>
      <c r="AP131" s="1049"/>
      <c r="AQ131" s="1049"/>
      <c r="AR131" s="1049"/>
      <c r="AS131" s="934"/>
      <c r="AT131" s="934"/>
      <c r="AU131" s="934"/>
      <c r="AV131" s="934"/>
      <c r="AW131" s="934"/>
      <c r="AX131" s="934"/>
      <c r="AY131" s="934">
        <v>2</v>
      </c>
      <c r="AZ131" s="934"/>
      <c r="BA131" s="934">
        <f t="shared" si="84"/>
        <v>0</v>
      </c>
      <c r="BB131" s="1061">
        <f t="shared" si="85"/>
        <v>59.6</v>
      </c>
      <c r="BC131" s="934"/>
      <c r="BD131" s="934">
        <f t="shared" si="93"/>
        <v>0</v>
      </c>
      <c r="BE131" s="934"/>
      <c r="BF131" s="934">
        <v>2</v>
      </c>
      <c r="BG131" s="1085">
        <f t="shared" si="86"/>
        <v>0</v>
      </c>
      <c r="BH131" s="1085">
        <f t="shared" si="87"/>
        <v>1</v>
      </c>
      <c r="BI131" s="1085">
        <f t="shared" si="88"/>
        <v>0</v>
      </c>
      <c r="BJ131" s="934"/>
      <c r="BK131" s="934"/>
      <c r="BL131" s="1085">
        <f t="shared" si="89"/>
        <v>2</v>
      </c>
      <c r="BM131" s="934"/>
      <c r="BN131" s="934"/>
      <c r="BO131" s="1048"/>
      <c r="BP131" s="1048"/>
      <c r="BQ131" s="1048"/>
      <c r="BR131" s="1048"/>
      <c r="BS131" s="1048"/>
      <c r="BT131" s="934"/>
      <c r="BU131" s="934"/>
      <c r="BV131" s="934"/>
      <c r="BW131" s="934"/>
      <c r="BX131" s="934"/>
      <c r="BY131" s="1076"/>
      <c r="BZ131" s="1077"/>
      <c r="CA131" s="1072"/>
    </row>
    <row r="132" spans="4:79" s="977" customFormat="1" ht="21.6">
      <c r="E132" s="1056" t="s">
        <v>669</v>
      </c>
      <c r="F132" s="1073" t="s">
        <v>80</v>
      </c>
      <c r="G132" s="1073" t="s">
        <v>80</v>
      </c>
      <c r="H132" s="1066">
        <v>56.7</v>
      </c>
      <c r="I132" s="1066">
        <f t="shared" si="90"/>
        <v>56.7</v>
      </c>
      <c r="J132" s="1066">
        <f t="shared" si="81"/>
        <v>56.7</v>
      </c>
      <c r="K132" s="1066"/>
      <c r="L132" s="1066">
        <f t="shared" si="82"/>
        <v>56.7</v>
      </c>
      <c r="M132" s="1178"/>
      <c r="N132" s="1057"/>
      <c r="O132" s="1058">
        <f t="shared" si="83"/>
        <v>0</v>
      </c>
      <c r="P132" s="934"/>
      <c r="Q132" s="934"/>
      <c r="R132" s="934"/>
      <c r="S132" s="934"/>
      <c r="T132" s="934"/>
      <c r="U132" s="934"/>
      <c r="V132" s="934">
        <v>1</v>
      </c>
      <c r="W132" s="934">
        <v>1</v>
      </c>
      <c r="X132" s="934"/>
      <c r="Y132" s="934"/>
      <c r="Z132" s="934"/>
      <c r="AA132" s="934"/>
      <c r="AB132" s="934"/>
      <c r="AC132" s="934"/>
      <c r="AD132" s="1048"/>
      <c r="AE132" s="1048"/>
      <c r="AF132" s="1048">
        <f t="shared" si="91"/>
        <v>0</v>
      </c>
      <c r="AG132" s="1048"/>
      <c r="AH132" s="934"/>
      <c r="AI132" s="934"/>
      <c r="AJ132" s="1074"/>
      <c r="AK132" s="1074"/>
      <c r="AL132" s="1074"/>
      <c r="AM132" s="1074"/>
      <c r="AN132" s="1049">
        <f t="shared" si="92"/>
        <v>0</v>
      </c>
      <c r="AO132" s="1049"/>
      <c r="AP132" s="1049"/>
      <c r="AQ132" s="1049"/>
      <c r="AR132" s="1049"/>
      <c r="AS132" s="934"/>
      <c r="AT132" s="934"/>
      <c r="AU132" s="934"/>
      <c r="AV132" s="934"/>
      <c r="AW132" s="934"/>
      <c r="AX132" s="934">
        <v>1</v>
      </c>
      <c r="AY132" s="934"/>
      <c r="AZ132" s="934"/>
      <c r="BA132" s="934">
        <f t="shared" si="84"/>
        <v>0</v>
      </c>
      <c r="BB132" s="1061">
        <f t="shared" si="85"/>
        <v>56.7</v>
      </c>
      <c r="BC132" s="934"/>
      <c r="BD132" s="934">
        <f t="shared" si="93"/>
        <v>0</v>
      </c>
      <c r="BE132" s="934">
        <v>2</v>
      </c>
      <c r="BF132" s="934"/>
      <c r="BG132" s="1085">
        <f t="shared" si="86"/>
        <v>0</v>
      </c>
      <c r="BH132" s="1085">
        <f t="shared" si="87"/>
        <v>0</v>
      </c>
      <c r="BI132" s="1085">
        <f t="shared" si="88"/>
        <v>0</v>
      </c>
      <c r="BJ132" s="934"/>
      <c r="BK132" s="934"/>
      <c r="BL132" s="1085">
        <f t="shared" si="89"/>
        <v>1</v>
      </c>
      <c r="BM132" s="934"/>
      <c r="BN132" s="934"/>
      <c r="BO132" s="1048"/>
      <c r="BP132" s="1048"/>
      <c r="BQ132" s="1048"/>
      <c r="BR132" s="1048"/>
      <c r="BS132" s="1048"/>
      <c r="BT132" s="934"/>
      <c r="BU132" s="934"/>
      <c r="BV132" s="934"/>
      <c r="BW132" s="934"/>
      <c r="BX132" s="934"/>
      <c r="BY132" s="1076"/>
      <c r="BZ132" s="1077"/>
      <c r="CA132" s="1072"/>
    </row>
    <row r="133" spans="4:79" s="977" customFormat="1" ht="21.6">
      <c r="E133" s="1056" t="s">
        <v>674</v>
      </c>
      <c r="F133" s="1073" t="s">
        <v>374</v>
      </c>
      <c r="G133" s="1073" t="s">
        <v>374</v>
      </c>
      <c r="H133" s="1066">
        <v>62.6</v>
      </c>
      <c r="I133" s="1066">
        <f t="shared" si="90"/>
        <v>62.6</v>
      </c>
      <c r="J133" s="1066">
        <f t="shared" si="81"/>
        <v>62.6</v>
      </c>
      <c r="K133" s="1066"/>
      <c r="L133" s="1066">
        <f t="shared" si="82"/>
        <v>62.6</v>
      </c>
      <c r="M133" s="1178"/>
      <c r="N133" s="1057"/>
      <c r="O133" s="1058">
        <f t="shared" si="83"/>
        <v>0</v>
      </c>
      <c r="P133" s="934"/>
      <c r="Q133" s="934">
        <v>1</v>
      </c>
      <c r="R133" s="934"/>
      <c r="S133" s="934"/>
      <c r="T133" s="934"/>
      <c r="U133" s="934">
        <v>1</v>
      </c>
      <c r="V133" s="934"/>
      <c r="W133" s="934">
        <v>2</v>
      </c>
      <c r="X133" s="934"/>
      <c r="Y133" s="934"/>
      <c r="Z133" s="934"/>
      <c r="AA133" s="934">
        <v>1</v>
      </c>
      <c r="AB133" s="934"/>
      <c r="AC133" s="934"/>
      <c r="AD133" s="1048"/>
      <c r="AE133" s="1048"/>
      <c r="AF133" s="1048">
        <f t="shared" si="91"/>
        <v>0</v>
      </c>
      <c r="AG133" s="1048"/>
      <c r="AH133" s="934"/>
      <c r="AI133" s="934"/>
      <c r="AJ133" s="1074"/>
      <c r="AK133" s="1074"/>
      <c r="AL133" s="1074"/>
      <c r="AM133" s="1074"/>
      <c r="AN133" s="1049">
        <f t="shared" si="92"/>
        <v>0</v>
      </c>
      <c r="AO133" s="1049"/>
      <c r="AP133" s="1049"/>
      <c r="AQ133" s="1049"/>
      <c r="AR133" s="1049"/>
      <c r="AS133" s="934"/>
      <c r="AT133" s="934"/>
      <c r="AU133" s="934"/>
      <c r="AV133" s="934"/>
      <c r="AW133" s="934"/>
      <c r="AX133" s="934"/>
      <c r="AY133" s="934">
        <v>2</v>
      </c>
      <c r="AZ133" s="934"/>
      <c r="BA133" s="934">
        <f t="shared" si="84"/>
        <v>0</v>
      </c>
      <c r="BB133" s="1061">
        <f t="shared" si="85"/>
        <v>62.6</v>
      </c>
      <c r="BC133" s="934"/>
      <c r="BD133" s="934">
        <f t="shared" si="93"/>
        <v>0</v>
      </c>
      <c r="BE133" s="934"/>
      <c r="BF133" s="934">
        <v>2</v>
      </c>
      <c r="BG133" s="1085">
        <f t="shared" si="86"/>
        <v>0</v>
      </c>
      <c r="BH133" s="1085">
        <f t="shared" si="87"/>
        <v>1</v>
      </c>
      <c r="BI133" s="1085">
        <f t="shared" si="88"/>
        <v>0</v>
      </c>
      <c r="BJ133" s="934"/>
      <c r="BK133" s="934"/>
      <c r="BL133" s="1085">
        <f t="shared" si="89"/>
        <v>2</v>
      </c>
      <c r="BM133" s="934"/>
      <c r="BN133" s="934"/>
      <c r="BO133" s="1048"/>
      <c r="BP133" s="1048"/>
      <c r="BQ133" s="1048"/>
      <c r="BR133" s="1048"/>
      <c r="BS133" s="1048"/>
      <c r="BT133" s="934"/>
      <c r="BU133" s="934"/>
      <c r="BV133" s="934"/>
      <c r="BW133" s="934"/>
      <c r="BX133" s="934"/>
      <c r="BY133" s="1076"/>
      <c r="BZ133" s="1077"/>
      <c r="CA133" s="1072"/>
    </row>
    <row r="134" spans="4:79" s="977" customFormat="1" ht="21.6">
      <c r="E134" s="1056" t="s">
        <v>675</v>
      </c>
      <c r="F134" s="1073" t="s">
        <v>374</v>
      </c>
      <c r="G134" s="1073" t="s">
        <v>374</v>
      </c>
      <c r="H134" s="1066">
        <v>60.7</v>
      </c>
      <c r="I134" s="1066">
        <f t="shared" si="90"/>
        <v>60.7</v>
      </c>
      <c r="J134" s="1066">
        <f t="shared" si="81"/>
        <v>60.7</v>
      </c>
      <c r="K134" s="1066"/>
      <c r="L134" s="1066">
        <f t="shared" si="82"/>
        <v>60.7</v>
      </c>
      <c r="M134" s="1178"/>
      <c r="N134" s="1057"/>
      <c r="O134" s="1058">
        <f t="shared" si="83"/>
        <v>0</v>
      </c>
      <c r="P134" s="934"/>
      <c r="Q134" s="934">
        <v>1</v>
      </c>
      <c r="R134" s="934"/>
      <c r="S134" s="934"/>
      <c r="T134" s="934"/>
      <c r="U134" s="934"/>
      <c r="V134" s="934"/>
      <c r="W134" s="934">
        <v>2</v>
      </c>
      <c r="X134" s="934"/>
      <c r="Y134" s="934"/>
      <c r="Z134" s="934"/>
      <c r="AA134" s="934">
        <v>1</v>
      </c>
      <c r="AB134" s="934"/>
      <c r="AC134" s="934"/>
      <c r="AD134" s="1048"/>
      <c r="AE134" s="1048"/>
      <c r="AF134" s="1048">
        <f t="shared" si="91"/>
        <v>0</v>
      </c>
      <c r="AG134" s="1048"/>
      <c r="AH134" s="934"/>
      <c r="AI134" s="934"/>
      <c r="AJ134" s="1074"/>
      <c r="AK134" s="1074"/>
      <c r="AL134" s="1074"/>
      <c r="AM134" s="1074"/>
      <c r="AN134" s="1049">
        <f t="shared" si="92"/>
        <v>0</v>
      </c>
      <c r="AO134" s="1049"/>
      <c r="AP134" s="1049"/>
      <c r="AQ134" s="1049"/>
      <c r="AR134" s="1049"/>
      <c r="AS134" s="934"/>
      <c r="AT134" s="934"/>
      <c r="AU134" s="934"/>
      <c r="AV134" s="934"/>
      <c r="AW134" s="934"/>
      <c r="AX134" s="934"/>
      <c r="AY134" s="934">
        <v>2</v>
      </c>
      <c r="AZ134" s="934"/>
      <c r="BA134" s="934">
        <f t="shared" si="84"/>
        <v>0</v>
      </c>
      <c r="BB134" s="1061">
        <f t="shared" si="85"/>
        <v>60.7</v>
      </c>
      <c r="BC134" s="934"/>
      <c r="BD134" s="934">
        <f t="shared" si="93"/>
        <v>0</v>
      </c>
      <c r="BE134" s="934"/>
      <c r="BF134" s="934">
        <v>2</v>
      </c>
      <c r="BG134" s="1085">
        <f t="shared" si="86"/>
        <v>0</v>
      </c>
      <c r="BH134" s="1085">
        <f t="shared" si="87"/>
        <v>1</v>
      </c>
      <c r="BI134" s="1085">
        <f t="shared" si="88"/>
        <v>0</v>
      </c>
      <c r="BJ134" s="934"/>
      <c r="BK134" s="934"/>
      <c r="BL134" s="1085">
        <f t="shared" si="89"/>
        <v>2</v>
      </c>
      <c r="BM134" s="934"/>
      <c r="BN134" s="934"/>
      <c r="BO134" s="1048"/>
      <c r="BP134" s="1048"/>
      <c r="BQ134" s="1048"/>
      <c r="BR134" s="1048"/>
      <c r="BS134" s="1048"/>
      <c r="BT134" s="934"/>
      <c r="BU134" s="934"/>
      <c r="BV134" s="934"/>
      <c r="BW134" s="934"/>
      <c r="BX134" s="934"/>
      <c r="BY134" s="1076"/>
      <c r="BZ134" s="1077"/>
      <c r="CA134" s="1072"/>
    </row>
    <row r="135" spans="4:79" s="977" customFormat="1" ht="21.6">
      <c r="E135" s="1056" t="s">
        <v>676</v>
      </c>
      <c r="F135" s="1073" t="s">
        <v>374</v>
      </c>
      <c r="G135" s="1073" t="s">
        <v>374</v>
      </c>
      <c r="H135" s="1066">
        <v>59.8</v>
      </c>
      <c r="I135" s="1066">
        <f t="shared" si="90"/>
        <v>59.8</v>
      </c>
      <c r="J135" s="1066">
        <f t="shared" si="81"/>
        <v>59.8</v>
      </c>
      <c r="K135" s="1066"/>
      <c r="L135" s="1066">
        <f t="shared" si="82"/>
        <v>59.8</v>
      </c>
      <c r="M135" s="1178"/>
      <c r="N135" s="1057"/>
      <c r="O135" s="1058">
        <f t="shared" si="83"/>
        <v>0</v>
      </c>
      <c r="P135" s="934"/>
      <c r="Q135" s="934">
        <v>1</v>
      </c>
      <c r="R135" s="934"/>
      <c r="S135" s="934"/>
      <c r="T135" s="934"/>
      <c r="U135" s="934"/>
      <c r="V135" s="934"/>
      <c r="W135" s="934">
        <v>2</v>
      </c>
      <c r="X135" s="934"/>
      <c r="Y135" s="934"/>
      <c r="Z135" s="934"/>
      <c r="AA135" s="934">
        <v>1</v>
      </c>
      <c r="AB135" s="934"/>
      <c r="AC135" s="934"/>
      <c r="AD135" s="1048"/>
      <c r="AE135" s="1048"/>
      <c r="AF135" s="1048">
        <f t="shared" si="91"/>
        <v>0</v>
      </c>
      <c r="AG135" s="1048"/>
      <c r="AH135" s="934"/>
      <c r="AI135" s="934"/>
      <c r="AJ135" s="1074"/>
      <c r="AK135" s="1074"/>
      <c r="AL135" s="1074"/>
      <c r="AM135" s="1074"/>
      <c r="AN135" s="1049">
        <f t="shared" si="92"/>
        <v>0</v>
      </c>
      <c r="AO135" s="1049"/>
      <c r="AP135" s="1049"/>
      <c r="AQ135" s="1049"/>
      <c r="AR135" s="1049"/>
      <c r="AS135" s="934"/>
      <c r="AT135" s="934"/>
      <c r="AU135" s="934"/>
      <c r="AV135" s="934"/>
      <c r="AW135" s="934"/>
      <c r="AX135" s="934"/>
      <c r="AY135" s="934">
        <v>2</v>
      </c>
      <c r="AZ135" s="934"/>
      <c r="BA135" s="934">
        <f t="shared" si="84"/>
        <v>0</v>
      </c>
      <c r="BB135" s="1061">
        <f t="shared" si="85"/>
        <v>59.8</v>
      </c>
      <c r="BC135" s="934"/>
      <c r="BD135" s="934">
        <f t="shared" si="93"/>
        <v>0</v>
      </c>
      <c r="BE135" s="934"/>
      <c r="BF135" s="934">
        <v>2</v>
      </c>
      <c r="BG135" s="1085">
        <f t="shared" si="86"/>
        <v>0</v>
      </c>
      <c r="BH135" s="1085">
        <f t="shared" si="87"/>
        <v>1</v>
      </c>
      <c r="BI135" s="1085">
        <f t="shared" si="88"/>
        <v>0</v>
      </c>
      <c r="BJ135" s="934"/>
      <c r="BK135" s="934"/>
      <c r="BL135" s="1085">
        <f t="shared" si="89"/>
        <v>2</v>
      </c>
      <c r="BM135" s="934"/>
      <c r="BN135" s="934"/>
      <c r="BO135" s="1048"/>
      <c r="BP135" s="1048"/>
      <c r="BQ135" s="1048"/>
      <c r="BR135" s="1048"/>
      <c r="BS135" s="1048"/>
      <c r="BT135" s="934"/>
      <c r="BU135" s="934"/>
      <c r="BV135" s="934"/>
      <c r="BW135" s="934"/>
      <c r="BX135" s="934"/>
      <c r="BY135" s="1076"/>
      <c r="BZ135" s="1077"/>
      <c r="CA135" s="1072"/>
    </row>
    <row r="136" spans="4:79" s="977" customFormat="1" ht="21.6">
      <c r="E136" s="1056" t="s">
        <v>677</v>
      </c>
      <c r="F136" s="1073" t="s">
        <v>374</v>
      </c>
      <c r="G136" s="1073" t="s">
        <v>374</v>
      </c>
      <c r="H136" s="1066">
        <v>59.1</v>
      </c>
      <c r="I136" s="1066">
        <f t="shared" si="90"/>
        <v>59.1</v>
      </c>
      <c r="J136" s="1066">
        <f t="shared" si="81"/>
        <v>59.1</v>
      </c>
      <c r="K136" s="1066"/>
      <c r="L136" s="1066">
        <f t="shared" si="82"/>
        <v>59.1</v>
      </c>
      <c r="M136" s="1178"/>
      <c r="N136" s="1057"/>
      <c r="O136" s="1058">
        <f t="shared" si="83"/>
        <v>0</v>
      </c>
      <c r="P136" s="934"/>
      <c r="Q136" s="934"/>
      <c r="R136" s="934">
        <v>1</v>
      </c>
      <c r="S136" s="934"/>
      <c r="T136" s="934"/>
      <c r="U136" s="934"/>
      <c r="V136" s="934"/>
      <c r="W136" s="934">
        <v>2</v>
      </c>
      <c r="X136" s="934"/>
      <c r="Y136" s="934"/>
      <c r="Z136" s="934"/>
      <c r="AA136" s="934">
        <v>1</v>
      </c>
      <c r="AB136" s="934"/>
      <c r="AC136" s="934"/>
      <c r="AD136" s="1048"/>
      <c r="AE136" s="1048"/>
      <c r="AF136" s="1048">
        <f t="shared" si="91"/>
        <v>0</v>
      </c>
      <c r="AG136" s="1048"/>
      <c r="AH136" s="934"/>
      <c r="AI136" s="934"/>
      <c r="AJ136" s="1074"/>
      <c r="AK136" s="1074"/>
      <c r="AL136" s="1074"/>
      <c r="AM136" s="1074"/>
      <c r="AN136" s="1049">
        <f t="shared" si="92"/>
        <v>0</v>
      </c>
      <c r="AO136" s="1049"/>
      <c r="AP136" s="1049"/>
      <c r="AQ136" s="1049"/>
      <c r="AR136" s="1049"/>
      <c r="AS136" s="934"/>
      <c r="AT136" s="934"/>
      <c r="AU136" s="934"/>
      <c r="AV136" s="934"/>
      <c r="AW136" s="934"/>
      <c r="AX136" s="934"/>
      <c r="AY136" s="934">
        <v>2</v>
      </c>
      <c r="AZ136" s="934"/>
      <c r="BA136" s="934">
        <f t="shared" si="84"/>
        <v>0</v>
      </c>
      <c r="BB136" s="1061">
        <f t="shared" si="85"/>
        <v>59.1</v>
      </c>
      <c r="BC136" s="934"/>
      <c r="BD136" s="934">
        <f t="shared" si="93"/>
        <v>0</v>
      </c>
      <c r="BE136" s="934"/>
      <c r="BF136" s="934">
        <v>2</v>
      </c>
      <c r="BG136" s="1085">
        <f t="shared" si="86"/>
        <v>0</v>
      </c>
      <c r="BH136" s="1085">
        <f t="shared" si="87"/>
        <v>0</v>
      </c>
      <c r="BI136" s="1085">
        <f t="shared" si="88"/>
        <v>1</v>
      </c>
      <c r="BJ136" s="934"/>
      <c r="BK136" s="934"/>
      <c r="BL136" s="1085">
        <f t="shared" si="89"/>
        <v>2</v>
      </c>
      <c r="BM136" s="934"/>
      <c r="BN136" s="934"/>
      <c r="BO136" s="1048"/>
      <c r="BP136" s="1048"/>
      <c r="BQ136" s="1048"/>
      <c r="BR136" s="1048"/>
      <c r="BS136" s="1048"/>
      <c r="BT136" s="934"/>
      <c r="BU136" s="934"/>
      <c r="BV136" s="934"/>
      <c r="BW136" s="934"/>
      <c r="BX136" s="934"/>
      <c r="BY136" s="1076"/>
      <c r="BZ136" s="1077"/>
      <c r="CA136" s="1072"/>
    </row>
    <row r="137" spans="4:79" s="977" customFormat="1" ht="21.6">
      <c r="E137" s="1056" t="s">
        <v>678</v>
      </c>
      <c r="F137" s="1073" t="s">
        <v>374</v>
      </c>
      <c r="G137" s="1073" t="s">
        <v>374</v>
      </c>
      <c r="H137" s="1066">
        <v>53.5</v>
      </c>
      <c r="I137" s="1066">
        <f t="shared" si="90"/>
        <v>53.5</v>
      </c>
      <c r="J137" s="1066">
        <f t="shared" si="81"/>
        <v>53.5</v>
      </c>
      <c r="K137" s="1066"/>
      <c r="L137" s="1066">
        <f t="shared" si="82"/>
        <v>53.5</v>
      </c>
      <c r="M137" s="1178"/>
      <c r="N137" s="1057"/>
      <c r="O137" s="1058">
        <f t="shared" si="83"/>
        <v>0</v>
      </c>
      <c r="P137" s="934"/>
      <c r="Q137" s="934">
        <v>1</v>
      </c>
      <c r="R137" s="934"/>
      <c r="S137" s="934"/>
      <c r="T137" s="934"/>
      <c r="U137" s="934"/>
      <c r="V137" s="934"/>
      <c r="W137" s="934">
        <v>2</v>
      </c>
      <c r="X137" s="934"/>
      <c r="Y137" s="934"/>
      <c r="Z137" s="934"/>
      <c r="AA137" s="934">
        <v>1</v>
      </c>
      <c r="AB137" s="934"/>
      <c r="AC137" s="934"/>
      <c r="AD137" s="1048"/>
      <c r="AE137" s="1048"/>
      <c r="AF137" s="1048">
        <f t="shared" si="91"/>
        <v>0</v>
      </c>
      <c r="AG137" s="1048"/>
      <c r="AH137" s="934"/>
      <c r="AI137" s="934"/>
      <c r="AJ137" s="1074"/>
      <c r="AK137" s="1074"/>
      <c r="AL137" s="1074"/>
      <c r="AM137" s="1074"/>
      <c r="AN137" s="1049">
        <f t="shared" si="92"/>
        <v>0</v>
      </c>
      <c r="AO137" s="1049"/>
      <c r="AP137" s="1049"/>
      <c r="AQ137" s="1049"/>
      <c r="AR137" s="1049"/>
      <c r="AS137" s="934"/>
      <c r="AT137" s="934"/>
      <c r="AU137" s="934"/>
      <c r="AV137" s="934"/>
      <c r="AW137" s="934"/>
      <c r="AX137" s="934"/>
      <c r="AY137" s="934">
        <v>2</v>
      </c>
      <c r="AZ137" s="934"/>
      <c r="BA137" s="934">
        <f t="shared" si="84"/>
        <v>0</v>
      </c>
      <c r="BB137" s="1061">
        <f t="shared" si="85"/>
        <v>53.5</v>
      </c>
      <c r="BC137" s="934"/>
      <c r="BD137" s="934">
        <f t="shared" si="93"/>
        <v>0</v>
      </c>
      <c r="BE137" s="934"/>
      <c r="BF137" s="934">
        <v>2</v>
      </c>
      <c r="BG137" s="1085">
        <f t="shared" si="86"/>
        <v>0</v>
      </c>
      <c r="BH137" s="1085">
        <f t="shared" si="87"/>
        <v>1</v>
      </c>
      <c r="BI137" s="1085">
        <f t="shared" si="88"/>
        <v>0</v>
      </c>
      <c r="BJ137" s="934"/>
      <c r="BK137" s="934"/>
      <c r="BL137" s="1085">
        <f t="shared" si="89"/>
        <v>2</v>
      </c>
      <c r="BM137" s="934"/>
      <c r="BN137" s="934"/>
      <c r="BO137" s="1048"/>
      <c r="BP137" s="1048"/>
      <c r="BQ137" s="1048"/>
      <c r="BR137" s="1048"/>
      <c r="BS137" s="1048"/>
      <c r="BT137" s="934"/>
      <c r="BU137" s="934"/>
      <c r="BV137" s="934"/>
      <c r="BW137" s="934"/>
      <c r="BX137" s="934"/>
      <c r="BY137" s="1076"/>
      <c r="BZ137" s="1077"/>
      <c r="CA137" s="1072"/>
    </row>
    <row r="138" spans="4:79" s="977" customFormat="1" ht="21.6">
      <c r="E138" s="1056" t="s">
        <v>679</v>
      </c>
      <c r="F138" s="1073" t="s">
        <v>80</v>
      </c>
      <c r="G138" s="1073" t="s">
        <v>80</v>
      </c>
      <c r="H138" s="1066">
        <v>52.8</v>
      </c>
      <c r="I138" s="1066">
        <f t="shared" si="90"/>
        <v>52.8</v>
      </c>
      <c r="J138" s="1066">
        <f t="shared" si="81"/>
        <v>52.8</v>
      </c>
      <c r="K138" s="1066"/>
      <c r="L138" s="1066">
        <f t="shared" si="82"/>
        <v>52.8</v>
      </c>
      <c r="M138" s="1178"/>
      <c r="N138" s="1057"/>
      <c r="O138" s="1058"/>
      <c r="P138" s="934"/>
      <c r="Q138" s="934"/>
      <c r="R138" s="934"/>
      <c r="S138" s="934"/>
      <c r="T138" s="934"/>
      <c r="U138" s="934"/>
      <c r="V138" s="934">
        <v>1</v>
      </c>
      <c r="W138" s="934">
        <v>1</v>
      </c>
      <c r="X138" s="934"/>
      <c r="Y138" s="934"/>
      <c r="Z138" s="934"/>
      <c r="AA138" s="934"/>
      <c r="AB138" s="934"/>
      <c r="AC138" s="934"/>
      <c r="AD138" s="1048"/>
      <c r="AE138" s="1048"/>
      <c r="AF138" s="1048">
        <f t="shared" si="91"/>
        <v>0</v>
      </c>
      <c r="AG138" s="1048"/>
      <c r="AH138" s="934"/>
      <c r="AI138" s="934"/>
      <c r="AJ138" s="1074"/>
      <c r="AK138" s="1074"/>
      <c r="AL138" s="1074"/>
      <c r="AM138" s="1074"/>
      <c r="AN138" s="1049">
        <f t="shared" si="92"/>
        <v>0</v>
      </c>
      <c r="AO138" s="1049"/>
      <c r="AP138" s="1049"/>
      <c r="AQ138" s="1049"/>
      <c r="AR138" s="1049"/>
      <c r="AS138" s="934"/>
      <c r="AT138" s="934"/>
      <c r="AU138" s="934"/>
      <c r="AV138" s="934"/>
      <c r="AW138" s="934"/>
      <c r="AX138" s="934">
        <v>1</v>
      </c>
      <c r="AY138" s="934"/>
      <c r="AZ138" s="934"/>
      <c r="BA138" s="934">
        <f t="shared" si="84"/>
        <v>0</v>
      </c>
      <c r="BB138" s="1061">
        <f t="shared" si="85"/>
        <v>52.8</v>
      </c>
      <c r="BC138" s="934"/>
      <c r="BD138" s="934">
        <f t="shared" si="93"/>
        <v>0</v>
      </c>
      <c r="BE138" s="934">
        <v>2</v>
      </c>
      <c r="BF138" s="934"/>
      <c r="BG138" s="1085">
        <f t="shared" si="86"/>
        <v>0</v>
      </c>
      <c r="BH138" s="1085">
        <f t="shared" si="87"/>
        <v>0</v>
      </c>
      <c r="BI138" s="1085">
        <f t="shared" si="88"/>
        <v>0</v>
      </c>
      <c r="BJ138" s="934"/>
      <c r="BK138" s="934"/>
      <c r="BL138" s="1085">
        <f t="shared" si="89"/>
        <v>1</v>
      </c>
      <c r="BM138" s="934"/>
      <c r="BN138" s="934"/>
      <c r="BO138" s="1048"/>
      <c r="BP138" s="1048"/>
      <c r="BQ138" s="1048"/>
      <c r="BR138" s="1048"/>
      <c r="BS138" s="1048"/>
      <c r="BT138" s="934"/>
      <c r="BU138" s="934"/>
      <c r="BV138" s="934"/>
      <c r="BW138" s="934"/>
      <c r="BX138" s="934"/>
      <c r="BY138" s="1076"/>
      <c r="BZ138" s="1077"/>
      <c r="CA138" s="1072"/>
    </row>
    <row r="139" spans="4:79" s="977" customFormat="1" ht="21.6">
      <c r="E139" s="1056" t="s">
        <v>680</v>
      </c>
      <c r="F139" s="1073" t="s">
        <v>377</v>
      </c>
      <c r="G139" s="1073" t="s">
        <v>377</v>
      </c>
      <c r="H139" s="1066">
        <v>51.8</v>
      </c>
      <c r="I139" s="1066">
        <f t="shared" si="90"/>
        <v>51.8</v>
      </c>
      <c r="J139" s="1066">
        <f t="shared" si="81"/>
        <v>51.8</v>
      </c>
      <c r="K139" s="1066"/>
      <c r="L139" s="1066">
        <f t="shared" si="82"/>
        <v>51.8</v>
      </c>
      <c r="M139" s="1178"/>
      <c r="N139" s="1057"/>
      <c r="O139" s="1058">
        <f>N139+M139</f>
        <v>0</v>
      </c>
      <c r="P139" s="934"/>
      <c r="Q139" s="934">
        <v>1</v>
      </c>
      <c r="R139" s="934"/>
      <c r="S139" s="934"/>
      <c r="T139" s="934"/>
      <c r="U139" s="934"/>
      <c r="V139" s="934"/>
      <c r="W139" s="934"/>
      <c r="X139" s="934"/>
      <c r="Y139" s="934"/>
      <c r="Z139" s="934"/>
      <c r="AA139" s="934"/>
      <c r="AB139" s="934"/>
      <c r="AC139" s="934">
        <v>1</v>
      </c>
      <c r="AD139" s="1048">
        <v>1</v>
      </c>
      <c r="AE139" s="1048"/>
      <c r="AF139" s="1048">
        <f t="shared" si="91"/>
        <v>1</v>
      </c>
      <c r="AG139" s="1048"/>
      <c r="AH139" s="934"/>
      <c r="AI139" s="934"/>
      <c r="AJ139" s="1074">
        <v>1</v>
      </c>
      <c r="AK139" s="1074">
        <v>1</v>
      </c>
      <c r="AL139" s="1074"/>
      <c r="AM139" s="1074"/>
      <c r="AN139" s="1049">
        <f t="shared" si="92"/>
        <v>1</v>
      </c>
      <c r="AO139" s="1049"/>
      <c r="AP139" s="1049"/>
      <c r="AQ139" s="1049"/>
      <c r="AR139" s="1049"/>
      <c r="AS139" s="934"/>
      <c r="AT139" s="934"/>
      <c r="AU139" s="934"/>
      <c r="AV139" s="934"/>
      <c r="AW139" s="934"/>
      <c r="AX139" s="934"/>
      <c r="AY139" s="934"/>
      <c r="AZ139" s="934"/>
      <c r="BA139" s="934">
        <f t="shared" si="84"/>
        <v>1</v>
      </c>
      <c r="BB139" s="1061">
        <f t="shared" si="85"/>
        <v>51.8</v>
      </c>
      <c r="BC139" s="934"/>
      <c r="BD139" s="934">
        <f t="shared" si="93"/>
        <v>0</v>
      </c>
      <c r="BE139" s="934"/>
      <c r="BF139" s="934"/>
      <c r="BG139" s="1085">
        <f t="shared" si="86"/>
        <v>0</v>
      </c>
      <c r="BH139" s="1085">
        <f t="shared" si="87"/>
        <v>1</v>
      </c>
      <c r="BI139" s="1085">
        <f t="shared" si="88"/>
        <v>0</v>
      </c>
      <c r="BJ139" s="934"/>
      <c r="BK139" s="934">
        <v>1</v>
      </c>
      <c r="BL139" s="1085">
        <f t="shared" si="89"/>
        <v>0</v>
      </c>
      <c r="BM139" s="934"/>
      <c r="BN139" s="934"/>
      <c r="BO139" s="1048"/>
      <c r="BP139" s="1048"/>
      <c r="BQ139" s="1048"/>
      <c r="BR139" s="1048"/>
      <c r="BS139" s="1048"/>
      <c r="BT139" s="934">
        <v>1</v>
      </c>
      <c r="BU139" s="934"/>
      <c r="BV139" s="934"/>
      <c r="BW139" s="934"/>
      <c r="BX139" s="934"/>
      <c r="BY139" s="1076" t="s">
        <v>879</v>
      </c>
      <c r="BZ139" s="1077"/>
      <c r="CA139" s="1072"/>
    </row>
    <row r="140" spans="4:79" s="940" customFormat="1" ht="21.6">
      <c r="D140" s="1373" t="s">
        <v>935</v>
      </c>
      <c r="E140" s="1129" t="s">
        <v>804</v>
      </c>
      <c r="F140" s="1130"/>
      <c r="G140" s="1130"/>
      <c r="H140" s="1100">
        <f t="shared" ref="H140:BS140" si="94">SUM(H100:H139)</f>
        <v>2059.5</v>
      </c>
      <c r="I140" s="1100">
        <f t="shared" si="94"/>
        <v>2059.5</v>
      </c>
      <c r="J140" s="1100">
        <f t="shared" si="94"/>
        <v>2059.5</v>
      </c>
      <c r="K140" s="1100">
        <f t="shared" si="94"/>
        <v>0</v>
      </c>
      <c r="L140" s="1100">
        <f t="shared" si="94"/>
        <v>2059.5</v>
      </c>
      <c r="M140" s="1100">
        <f t="shared" si="94"/>
        <v>5</v>
      </c>
      <c r="N140" s="1100">
        <f t="shared" si="94"/>
        <v>0</v>
      </c>
      <c r="O140" s="1100">
        <f t="shared" si="94"/>
        <v>5</v>
      </c>
      <c r="P140" s="1100">
        <f t="shared" si="94"/>
        <v>0</v>
      </c>
      <c r="Q140" s="1100">
        <f t="shared" si="94"/>
        <v>24</v>
      </c>
      <c r="R140" s="1100">
        <f t="shared" si="94"/>
        <v>5</v>
      </c>
      <c r="S140" s="1100">
        <f t="shared" si="94"/>
        <v>0</v>
      </c>
      <c r="T140" s="1100">
        <f t="shared" si="94"/>
        <v>0</v>
      </c>
      <c r="U140" s="1100">
        <f t="shared" si="94"/>
        <v>6</v>
      </c>
      <c r="V140" s="1100">
        <f t="shared" si="94"/>
        <v>8</v>
      </c>
      <c r="W140" s="1100">
        <f t="shared" si="94"/>
        <v>50</v>
      </c>
      <c r="X140" s="1100">
        <f t="shared" si="94"/>
        <v>7</v>
      </c>
      <c r="Y140" s="1100">
        <f t="shared" si="94"/>
        <v>0</v>
      </c>
      <c r="Z140" s="1100">
        <f t="shared" si="94"/>
        <v>1</v>
      </c>
      <c r="AA140" s="1100">
        <f t="shared" si="94"/>
        <v>21</v>
      </c>
      <c r="AB140" s="1100">
        <f t="shared" si="94"/>
        <v>5</v>
      </c>
      <c r="AC140" s="1100">
        <f t="shared" si="94"/>
        <v>8</v>
      </c>
      <c r="AD140" s="1100">
        <f t="shared" si="94"/>
        <v>8</v>
      </c>
      <c r="AE140" s="1100">
        <f t="shared" si="94"/>
        <v>0</v>
      </c>
      <c r="AF140" s="1100">
        <f t="shared" si="94"/>
        <v>8</v>
      </c>
      <c r="AG140" s="1100">
        <f t="shared" si="94"/>
        <v>0</v>
      </c>
      <c r="AH140" s="1100">
        <f t="shared" si="94"/>
        <v>0</v>
      </c>
      <c r="AI140" s="1100">
        <f t="shared" si="94"/>
        <v>0</v>
      </c>
      <c r="AJ140" s="1100">
        <f t="shared" si="94"/>
        <v>4</v>
      </c>
      <c r="AK140" s="1100">
        <f t="shared" si="94"/>
        <v>3</v>
      </c>
      <c r="AL140" s="1100">
        <f t="shared" si="94"/>
        <v>1</v>
      </c>
      <c r="AM140" s="1100">
        <f t="shared" si="94"/>
        <v>1</v>
      </c>
      <c r="AN140" s="1100">
        <f t="shared" si="94"/>
        <v>5</v>
      </c>
      <c r="AO140" s="1100">
        <f t="shared" si="94"/>
        <v>1</v>
      </c>
      <c r="AP140" s="1100">
        <f t="shared" si="94"/>
        <v>0</v>
      </c>
      <c r="AQ140" s="1100">
        <f t="shared" si="94"/>
        <v>0</v>
      </c>
      <c r="AR140" s="1100">
        <f t="shared" si="94"/>
        <v>1</v>
      </c>
      <c r="AS140" s="1100">
        <f t="shared" si="94"/>
        <v>3.5</v>
      </c>
      <c r="AT140" s="1100">
        <f t="shared" si="94"/>
        <v>0</v>
      </c>
      <c r="AU140" s="1100">
        <f t="shared" si="94"/>
        <v>3.5</v>
      </c>
      <c r="AV140" s="1100">
        <f t="shared" si="94"/>
        <v>4</v>
      </c>
      <c r="AW140" s="1100">
        <f t="shared" si="94"/>
        <v>3</v>
      </c>
      <c r="AX140" s="1100">
        <f t="shared" si="94"/>
        <v>15</v>
      </c>
      <c r="AY140" s="1100">
        <f t="shared" si="94"/>
        <v>44</v>
      </c>
      <c r="AZ140" s="1100">
        <f t="shared" si="94"/>
        <v>1</v>
      </c>
      <c r="BA140" s="1100">
        <f t="shared" si="94"/>
        <v>8</v>
      </c>
      <c r="BB140" s="1100">
        <f t="shared" si="94"/>
        <v>2059.5</v>
      </c>
      <c r="BC140" s="1100">
        <f t="shared" si="94"/>
        <v>1</v>
      </c>
      <c r="BD140" s="1100">
        <f t="shared" si="94"/>
        <v>1</v>
      </c>
      <c r="BE140" s="1100">
        <f t="shared" si="94"/>
        <v>16</v>
      </c>
      <c r="BF140" s="1100">
        <f t="shared" si="94"/>
        <v>42</v>
      </c>
      <c r="BG140" s="1100">
        <f t="shared" si="94"/>
        <v>0</v>
      </c>
      <c r="BH140" s="1100">
        <f t="shared" si="94"/>
        <v>24</v>
      </c>
      <c r="BI140" s="1100">
        <f t="shared" si="94"/>
        <v>5</v>
      </c>
      <c r="BJ140" s="1100">
        <f t="shared" si="94"/>
        <v>0</v>
      </c>
      <c r="BK140" s="1100">
        <f t="shared" si="94"/>
        <v>8</v>
      </c>
      <c r="BL140" s="1100">
        <f t="shared" si="94"/>
        <v>50</v>
      </c>
      <c r="BM140" s="1100">
        <f t="shared" si="94"/>
        <v>0</v>
      </c>
      <c r="BN140" s="1100">
        <f t="shared" si="94"/>
        <v>0</v>
      </c>
      <c r="BO140" s="1100">
        <f t="shared" si="94"/>
        <v>3</v>
      </c>
      <c r="BP140" s="1100">
        <f t="shared" si="94"/>
        <v>0</v>
      </c>
      <c r="BQ140" s="1100">
        <f t="shared" si="94"/>
        <v>0</v>
      </c>
      <c r="BR140" s="1100">
        <f t="shared" si="94"/>
        <v>0</v>
      </c>
      <c r="BS140" s="1100">
        <f t="shared" si="94"/>
        <v>5</v>
      </c>
      <c r="BT140" s="1100">
        <f t="shared" ref="BT140:BW140" si="95">SUM(BT100:BT139)</f>
        <v>7</v>
      </c>
      <c r="BU140" s="1100">
        <f t="shared" si="95"/>
        <v>0</v>
      </c>
      <c r="BV140" s="1100">
        <f t="shared" si="95"/>
        <v>0</v>
      </c>
      <c r="BW140" s="1100">
        <f t="shared" si="95"/>
        <v>1</v>
      </c>
      <c r="BX140" s="1132"/>
      <c r="BY140" s="1133"/>
      <c r="BZ140" s="1090"/>
      <c r="CA140" s="1091"/>
    </row>
    <row r="141" spans="4:79" s="1078" customFormat="1" ht="21.6">
      <c r="D141" s="1372" t="s">
        <v>935</v>
      </c>
      <c r="E141" s="1103" t="s">
        <v>805</v>
      </c>
      <c r="F141" s="1111"/>
      <c r="G141" s="1111"/>
      <c r="H141" s="1112"/>
      <c r="I141" s="1112"/>
      <c r="J141" s="1112"/>
      <c r="K141" s="1112"/>
      <c r="L141" s="1112"/>
      <c r="M141" s="1181"/>
      <c r="N141" s="1113"/>
      <c r="O141" s="1113"/>
      <c r="P141" s="1113"/>
      <c r="Q141" s="1113"/>
      <c r="R141" s="1113"/>
      <c r="S141" s="1113"/>
      <c r="T141" s="1113"/>
      <c r="U141" s="1113"/>
      <c r="V141" s="1113"/>
      <c r="W141" s="1113"/>
      <c r="X141" s="1113"/>
      <c r="Y141" s="1113"/>
      <c r="Z141" s="1113"/>
      <c r="AA141" s="1113"/>
      <c r="AB141" s="1113"/>
      <c r="AC141" s="1113"/>
      <c r="AD141" s="1113"/>
      <c r="AE141" s="1113"/>
      <c r="AF141" s="1113"/>
      <c r="AG141" s="1113"/>
      <c r="AH141" s="1113"/>
      <c r="AI141" s="1113"/>
      <c r="AJ141" s="1113"/>
      <c r="AK141" s="1113"/>
      <c r="AL141" s="1113"/>
      <c r="AM141" s="1113"/>
      <c r="AN141" s="1113"/>
      <c r="AO141" s="1113"/>
      <c r="AP141" s="1113"/>
      <c r="AQ141" s="1113"/>
      <c r="AR141" s="1113"/>
      <c r="AS141" s="1112"/>
      <c r="AT141" s="1112"/>
      <c r="AU141" s="1112"/>
      <c r="AV141" s="1112"/>
      <c r="AW141" s="1112"/>
      <c r="AX141" s="1112"/>
      <c r="AY141" s="1112"/>
      <c r="AZ141" s="1112"/>
      <c r="BA141" s="1113"/>
      <c r="BB141" s="1112"/>
      <c r="BC141" s="1113"/>
      <c r="BD141" s="1113"/>
      <c r="BE141" s="1113"/>
      <c r="BF141" s="1113"/>
      <c r="BG141" s="1113"/>
      <c r="BH141" s="1113"/>
      <c r="BI141" s="1113"/>
      <c r="BJ141" s="1113"/>
      <c r="BK141" s="1113"/>
      <c r="BL141" s="1113"/>
      <c r="BM141" s="1113"/>
      <c r="BN141" s="1113"/>
      <c r="BO141" s="1113"/>
      <c r="BP141" s="1113"/>
      <c r="BQ141" s="1113"/>
      <c r="BR141" s="1113"/>
      <c r="BS141" s="1112"/>
      <c r="BT141" s="1113"/>
      <c r="BU141" s="1113"/>
      <c r="BV141" s="1113"/>
      <c r="BW141" s="1113"/>
      <c r="BX141" s="1113"/>
      <c r="BY141" s="1114"/>
      <c r="CA141" s="1079"/>
    </row>
    <row r="142" spans="4:79" s="977" customFormat="1" ht="21.6">
      <c r="E142" s="1080" t="s">
        <v>790</v>
      </c>
      <c r="F142" s="1081" t="s">
        <v>377</v>
      </c>
      <c r="G142" s="1081" t="s">
        <v>377</v>
      </c>
      <c r="H142" s="1082"/>
      <c r="I142" s="1082">
        <f>H142</f>
        <v>0</v>
      </c>
      <c r="J142" s="1082">
        <f t="shared" ref="J142:J153" si="96">H142</f>
        <v>0</v>
      </c>
      <c r="K142" s="1082"/>
      <c r="L142" s="1082">
        <f t="shared" ref="L142:L153" si="97">I142</f>
        <v>0</v>
      </c>
      <c r="M142" s="1182"/>
      <c r="N142" s="1083"/>
      <c r="O142" s="1084">
        <f>N142+M142</f>
        <v>0</v>
      </c>
      <c r="P142" s="1085"/>
      <c r="Q142" s="1085"/>
      <c r="R142" s="1085"/>
      <c r="S142" s="1085"/>
      <c r="T142" s="1085">
        <f t="shared" ref="T142" si="98">R142</f>
        <v>0</v>
      </c>
      <c r="U142" s="1085"/>
      <c r="V142" s="1085"/>
      <c r="W142" s="1085"/>
      <c r="X142" s="1085"/>
      <c r="Y142" s="1085"/>
      <c r="Z142" s="1085"/>
      <c r="AA142" s="1085"/>
      <c r="AB142" s="1085"/>
      <c r="AC142" s="1085">
        <v>1</v>
      </c>
      <c r="AD142" s="1086">
        <v>1</v>
      </c>
      <c r="AE142" s="1086"/>
      <c r="AF142" s="1086">
        <f>AE142+AD142</f>
        <v>1</v>
      </c>
      <c r="AG142" s="1086"/>
      <c r="AH142" s="1085"/>
      <c r="AI142" s="1085"/>
      <c r="AJ142" s="1087">
        <v>1</v>
      </c>
      <c r="AK142" s="1087"/>
      <c r="AL142" s="1087">
        <v>1</v>
      </c>
      <c r="AM142" s="1087"/>
      <c r="AN142" s="1071">
        <f>AM142+AJ142</f>
        <v>1</v>
      </c>
      <c r="AO142" s="1071"/>
      <c r="AP142" s="1071"/>
      <c r="AQ142" s="1071"/>
      <c r="AR142" s="1071"/>
      <c r="AS142" s="1085">
        <v>0.5</v>
      </c>
      <c r="AT142" s="1085"/>
      <c r="AU142" s="1085">
        <f>AS142+AT142</f>
        <v>0.5</v>
      </c>
      <c r="AV142" s="1085"/>
      <c r="AW142" s="1085">
        <v>1</v>
      </c>
      <c r="AX142" s="1085"/>
      <c r="AY142" s="1085"/>
      <c r="AZ142" s="1085"/>
      <c r="BA142" s="934">
        <f t="shared" ref="BA142:BA153" si="99">IF(F142="2DT",2,IF(F142="DT",1,IF(F142="2DT-90",2,0)))</f>
        <v>1</v>
      </c>
      <c r="BB142" s="1089">
        <f t="shared" ref="BB142:BB153" si="100">H142</f>
        <v>0</v>
      </c>
      <c r="BC142" s="1085"/>
      <c r="BD142" s="1085"/>
      <c r="BE142" s="1085"/>
      <c r="BF142" s="1085"/>
      <c r="BG142" s="1085">
        <f t="shared" ref="BG142:BG153" si="101">P142</f>
        <v>0</v>
      </c>
      <c r="BH142" s="1085">
        <f t="shared" ref="BH142:BH153" si="102">Q142</f>
        <v>0</v>
      </c>
      <c r="BI142" s="1085">
        <f t="shared" ref="BI142:BI153" si="103">R142</f>
        <v>0</v>
      </c>
      <c r="BJ142" s="1085"/>
      <c r="BK142" s="1085">
        <v>1</v>
      </c>
      <c r="BL142" s="1085"/>
      <c r="BM142" s="1085"/>
      <c r="BN142" s="1085"/>
      <c r="BO142" s="1086">
        <v>1</v>
      </c>
      <c r="BP142" s="1086"/>
      <c r="BQ142" s="1086"/>
      <c r="BR142" s="1086"/>
      <c r="BS142" s="1086"/>
      <c r="BT142" s="1085">
        <v>1</v>
      </c>
      <c r="BU142" s="1085"/>
      <c r="BV142" s="1085"/>
      <c r="BW142" s="1085"/>
      <c r="BX142" s="1085"/>
      <c r="BY142" s="1085"/>
      <c r="CA142" s="1072"/>
    </row>
    <row r="143" spans="4:79" s="977" customFormat="1" ht="21.6">
      <c r="E143" s="1080" t="s">
        <v>614</v>
      </c>
      <c r="F143" s="1081" t="s">
        <v>148</v>
      </c>
      <c r="G143" s="1081" t="s">
        <v>148</v>
      </c>
      <c r="H143" s="1082">
        <v>28.3</v>
      </c>
      <c r="I143" s="1082">
        <f>H143</f>
        <v>28.3</v>
      </c>
      <c r="J143" s="1082">
        <f t="shared" si="96"/>
        <v>28.3</v>
      </c>
      <c r="K143" s="1082"/>
      <c r="L143" s="1082">
        <f t="shared" si="97"/>
        <v>28.3</v>
      </c>
      <c r="M143" s="1182"/>
      <c r="N143" s="1083"/>
      <c r="O143" s="1084"/>
      <c r="P143" s="1085"/>
      <c r="Q143" s="1085">
        <v>2</v>
      </c>
      <c r="R143" s="1085"/>
      <c r="S143" s="1085"/>
      <c r="T143" s="1085"/>
      <c r="U143" s="1085"/>
      <c r="V143" s="1085"/>
      <c r="W143" s="1085"/>
      <c r="X143" s="1085"/>
      <c r="Y143" s="1085"/>
      <c r="Z143" s="1085"/>
      <c r="AA143" s="1085"/>
      <c r="AB143" s="1085"/>
      <c r="AC143" s="1085">
        <v>2</v>
      </c>
      <c r="AD143" s="1086">
        <v>2</v>
      </c>
      <c r="AE143" s="1086"/>
      <c r="AF143" s="1086">
        <f>AE143+AD143</f>
        <v>2</v>
      </c>
      <c r="AG143" s="1086"/>
      <c r="AH143" s="1085"/>
      <c r="AI143" s="1085"/>
      <c r="AJ143" s="1087"/>
      <c r="AK143" s="1087"/>
      <c r="AL143" s="1087"/>
      <c r="AM143" s="1087"/>
      <c r="AN143" s="1071">
        <f>AM143+AJ143</f>
        <v>0</v>
      </c>
      <c r="AO143" s="1071">
        <v>1</v>
      </c>
      <c r="AP143" s="1071"/>
      <c r="AQ143" s="1071">
        <v>1</v>
      </c>
      <c r="AR143" s="1071"/>
      <c r="AS143" s="1085">
        <v>1</v>
      </c>
      <c r="AT143" s="1085"/>
      <c r="AU143" s="1085">
        <f>AT143+AS143</f>
        <v>1</v>
      </c>
      <c r="AV143" s="1085"/>
      <c r="AW143" s="1085">
        <v>2</v>
      </c>
      <c r="AX143" s="1085"/>
      <c r="AY143" s="1085"/>
      <c r="AZ143" s="1085">
        <v>1</v>
      </c>
      <c r="BA143" s="934">
        <f t="shared" si="99"/>
        <v>2</v>
      </c>
      <c r="BB143" s="1089">
        <f t="shared" si="100"/>
        <v>28.3</v>
      </c>
      <c r="BC143" s="1085"/>
      <c r="BD143" s="1085">
        <v>1</v>
      </c>
      <c r="BE143" s="1085"/>
      <c r="BF143" s="1085"/>
      <c r="BG143" s="1085">
        <f t="shared" si="101"/>
        <v>0</v>
      </c>
      <c r="BH143" s="1085">
        <f t="shared" si="102"/>
        <v>2</v>
      </c>
      <c r="BI143" s="1085">
        <f t="shared" si="103"/>
        <v>0</v>
      </c>
      <c r="BJ143" s="1085"/>
      <c r="BK143" s="1085">
        <v>2</v>
      </c>
      <c r="BL143" s="1085"/>
      <c r="BM143" s="1085"/>
      <c r="BN143" s="1085"/>
      <c r="BO143" s="1086">
        <v>2</v>
      </c>
      <c r="BP143" s="1086"/>
      <c r="BQ143" s="1086"/>
      <c r="BR143" s="1086"/>
      <c r="BS143" s="1086">
        <v>2</v>
      </c>
      <c r="BT143" s="1085">
        <v>2</v>
      </c>
      <c r="BU143" s="1085"/>
      <c r="BV143" s="1085">
        <v>1</v>
      </c>
      <c r="BW143" s="1085"/>
      <c r="BX143" s="1085"/>
      <c r="BY143" s="1085" t="s">
        <v>880</v>
      </c>
      <c r="CA143" s="1072"/>
    </row>
    <row r="144" spans="4:79" s="977" customFormat="1" ht="21.6">
      <c r="E144" s="1080" t="s">
        <v>615</v>
      </c>
      <c r="F144" s="1081" t="s">
        <v>374</v>
      </c>
      <c r="G144" s="1081" t="s">
        <v>374</v>
      </c>
      <c r="H144" s="1082">
        <v>67.099999999999994</v>
      </c>
      <c r="I144" s="1082">
        <f t="shared" ref="I144:I153" si="104">H144</f>
        <v>67.099999999999994</v>
      </c>
      <c r="J144" s="1082">
        <f t="shared" si="96"/>
        <v>67.099999999999994</v>
      </c>
      <c r="K144" s="1082"/>
      <c r="L144" s="1082">
        <f t="shared" si="97"/>
        <v>67.099999999999994</v>
      </c>
      <c r="M144" s="1182"/>
      <c r="N144" s="1083"/>
      <c r="O144" s="1084"/>
      <c r="P144" s="1085"/>
      <c r="Q144" s="1085"/>
      <c r="R144" s="1085">
        <v>1</v>
      </c>
      <c r="S144" s="1085"/>
      <c r="T144" s="1085"/>
      <c r="U144" s="1085"/>
      <c r="V144" s="1085"/>
      <c r="W144" s="1085">
        <v>2</v>
      </c>
      <c r="X144" s="1085"/>
      <c r="Y144" s="1085"/>
      <c r="Z144" s="1085"/>
      <c r="AA144" s="1085">
        <v>1</v>
      </c>
      <c r="AB144" s="1085"/>
      <c r="AC144" s="1085"/>
      <c r="AD144" s="1086"/>
      <c r="AE144" s="1086"/>
      <c r="AF144" s="1086">
        <f t="shared" ref="AF144:AF153" si="105">AE144+AD144</f>
        <v>0</v>
      </c>
      <c r="AG144" s="1086"/>
      <c r="AH144" s="1085"/>
      <c r="AI144" s="1085"/>
      <c r="AJ144" s="1087"/>
      <c r="AK144" s="1087"/>
      <c r="AL144" s="1087"/>
      <c r="AM144" s="1087">
        <v>1</v>
      </c>
      <c r="AN144" s="1071">
        <f t="shared" ref="AN144:AN153" si="106">AM144+AJ144</f>
        <v>1</v>
      </c>
      <c r="AO144" s="1071"/>
      <c r="AP144" s="1071"/>
      <c r="AQ144" s="1071"/>
      <c r="AR144" s="1071"/>
      <c r="AS144" s="1085"/>
      <c r="AT144" s="1085"/>
      <c r="AU144" s="1085">
        <f t="shared" ref="AU144:AU153" si="107">AT144+AS144</f>
        <v>0</v>
      </c>
      <c r="AV144" s="1085"/>
      <c r="AW144" s="1085"/>
      <c r="AX144" s="1085"/>
      <c r="AY144" s="1085">
        <v>2</v>
      </c>
      <c r="AZ144" s="1085"/>
      <c r="BA144" s="934">
        <f t="shared" si="99"/>
        <v>0</v>
      </c>
      <c r="BB144" s="1089">
        <f t="shared" si="100"/>
        <v>67.099999999999994</v>
      </c>
      <c r="BC144" s="1085"/>
      <c r="BD144" s="1085"/>
      <c r="BE144" s="1085"/>
      <c r="BF144" s="1085">
        <v>2</v>
      </c>
      <c r="BG144" s="1085">
        <f t="shared" si="101"/>
        <v>0</v>
      </c>
      <c r="BH144" s="1085">
        <f t="shared" si="102"/>
        <v>0</v>
      </c>
      <c r="BI144" s="1085">
        <f t="shared" si="103"/>
        <v>1</v>
      </c>
      <c r="BJ144" s="1085"/>
      <c r="BK144" s="1085"/>
      <c r="BL144" s="1085">
        <v>2</v>
      </c>
      <c r="BM144" s="1085"/>
      <c r="BN144" s="1085"/>
      <c r="BO144" s="1086"/>
      <c r="BP144" s="1086"/>
      <c r="BQ144" s="1086"/>
      <c r="BR144" s="1086"/>
      <c r="BS144" s="1086"/>
      <c r="BT144" s="1085"/>
      <c r="BU144" s="1085"/>
      <c r="BV144" s="1085"/>
      <c r="BW144" s="1085"/>
      <c r="BX144" s="1085"/>
      <c r="BY144" s="1085" t="s">
        <v>874</v>
      </c>
      <c r="CA144" s="1072"/>
    </row>
    <row r="145" spans="4:79" s="977" customFormat="1" ht="21.6">
      <c r="E145" s="1056" t="s">
        <v>616</v>
      </c>
      <c r="F145" s="1073" t="s">
        <v>374</v>
      </c>
      <c r="G145" s="1073" t="s">
        <v>374</v>
      </c>
      <c r="H145" s="1066">
        <v>50.7</v>
      </c>
      <c r="I145" s="1082">
        <f t="shared" si="104"/>
        <v>50.7</v>
      </c>
      <c r="J145" s="1082">
        <f t="shared" si="96"/>
        <v>50.7</v>
      </c>
      <c r="K145" s="1082"/>
      <c r="L145" s="1082">
        <f t="shared" si="97"/>
        <v>50.7</v>
      </c>
      <c r="M145" s="1178"/>
      <c r="N145" s="1057"/>
      <c r="O145" s="1058"/>
      <c r="P145" s="934"/>
      <c r="Q145" s="934">
        <v>1</v>
      </c>
      <c r="R145" s="934"/>
      <c r="S145" s="934"/>
      <c r="T145" s="934"/>
      <c r="U145" s="934">
        <v>1</v>
      </c>
      <c r="V145" s="934"/>
      <c r="W145" s="934">
        <v>2</v>
      </c>
      <c r="X145" s="934"/>
      <c r="Y145" s="934"/>
      <c r="Z145" s="934"/>
      <c r="AA145" s="934">
        <v>1</v>
      </c>
      <c r="AB145" s="934"/>
      <c r="AC145" s="934"/>
      <c r="AD145" s="1048"/>
      <c r="AE145" s="1048"/>
      <c r="AF145" s="1086">
        <f t="shared" si="105"/>
        <v>0</v>
      </c>
      <c r="AG145" s="1048"/>
      <c r="AH145" s="934"/>
      <c r="AI145" s="934"/>
      <c r="AJ145" s="1074"/>
      <c r="AK145" s="1074"/>
      <c r="AL145" s="1074"/>
      <c r="AM145" s="1074"/>
      <c r="AN145" s="1071">
        <f t="shared" si="106"/>
        <v>0</v>
      </c>
      <c r="AO145" s="1049"/>
      <c r="AP145" s="1049"/>
      <c r="AQ145" s="1049"/>
      <c r="AR145" s="1049"/>
      <c r="AS145" s="934"/>
      <c r="AT145" s="934"/>
      <c r="AU145" s="1085">
        <f t="shared" si="107"/>
        <v>0</v>
      </c>
      <c r="AV145" s="934"/>
      <c r="AW145" s="934"/>
      <c r="AX145" s="934"/>
      <c r="AY145" s="934">
        <v>2</v>
      </c>
      <c r="AZ145" s="934"/>
      <c r="BA145" s="934">
        <f t="shared" si="99"/>
        <v>0</v>
      </c>
      <c r="BB145" s="1089">
        <f t="shared" si="100"/>
        <v>50.7</v>
      </c>
      <c r="BC145" s="934"/>
      <c r="BD145" s="934"/>
      <c r="BE145" s="934"/>
      <c r="BF145" s="934">
        <v>2</v>
      </c>
      <c r="BG145" s="1085">
        <f t="shared" si="101"/>
        <v>0</v>
      </c>
      <c r="BH145" s="1085">
        <f t="shared" si="102"/>
        <v>1</v>
      </c>
      <c r="BI145" s="1085">
        <f t="shared" si="103"/>
        <v>0</v>
      </c>
      <c r="BJ145" s="934"/>
      <c r="BK145" s="934"/>
      <c r="BL145" s="934">
        <v>2</v>
      </c>
      <c r="BM145" s="934"/>
      <c r="BN145" s="934"/>
      <c r="BO145" s="1048"/>
      <c r="BP145" s="1048"/>
      <c r="BQ145" s="1048"/>
      <c r="BR145" s="1048"/>
      <c r="BS145" s="1048"/>
      <c r="BT145" s="934"/>
      <c r="BU145" s="934"/>
      <c r="BV145" s="934"/>
      <c r="BW145" s="934"/>
      <c r="BX145" s="934"/>
      <c r="BY145" s="934"/>
      <c r="CA145" s="1072"/>
    </row>
    <row r="146" spans="4:79" s="977" customFormat="1" ht="21.6">
      <c r="E146" s="1056" t="s">
        <v>617</v>
      </c>
      <c r="F146" s="1073" t="s">
        <v>374</v>
      </c>
      <c r="G146" s="1073" t="s">
        <v>374</v>
      </c>
      <c r="H146" s="1066">
        <v>57.5</v>
      </c>
      <c r="I146" s="1082">
        <f t="shared" si="104"/>
        <v>57.5</v>
      </c>
      <c r="J146" s="1082">
        <f t="shared" si="96"/>
        <v>57.5</v>
      </c>
      <c r="K146" s="1082"/>
      <c r="L146" s="1082">
        <f t="shared" si="97"/>
        <v>57.5</v>
      </c>
      <c r="M146" s="1178"/>
      <c r="N146" s="1057"/>
      <c r="O146" s="1058"/>
      <c r="P146" s="934"/>
      <c r="Q146" s="934">
        <v>1</v>
      </c>
      <c r="R146" s="934"/>
      <c r="S146" s="934"/>
      <c r="T146" s="934"/>
      <c r="U146" s="934"/>
      <c r="V146" s="934"/>
      <c r="W146" s="934">
        <v>2</v>
      </c>
      <c r="X146" s="934"/>
      <c r="Y146" s="934"/>
      <c r="Z146" s="934"/>
      <c r="AA146" s="934">
        <v>1</v>
      </c>
      <c r="AB146" s="934"/>
      <c r="AC146" s="934"/>
      <c r="AD146" s="1048"/>
      <c r="AE146" s="1048"/>
      <c r="AF146" s="1086">
        <f t="shared" si="105"/>
        <v>0</v>
      </c>
      <c r="AG146" s="1048"/>
      <c r="AH146" s="934"/>
      <c r="AI146" s="934"/>
      <c r="AJ146" s="1074"/>
      <c r="AK146" s="1074"/>
      <c r="AL146" s="1074"/>
      <c r="AM146" s="1074"/>
      <c r="AN146" s="1071">
        <f t="shared" si="106"/>
        <v>0</v>
      </c>
      <c r="AO146" s="1049"/>
      <c r="AP146" s="1049"/>
      <c r="AQ146" s="1049"/>
      <c r="AR146" s="1049"/>
      <c r="AS146" s="934"/>
      <c r="AT146" s="934"/>
      <c r="AU146" s="1085">
        <f t="shared" si="107"/>
        <v>0</v>
      </c>
      <c r="AV146" s="934"/>
      <c r="AW146" s="934"/>
      <c r="AX146" s="934"/>
      <c r="AY146" s="934">
        <v>2</v>
      </c>
      <c r="AZ146" s="934"/>
      <c r="BA146" s="934">
        <f t="shared" si="99"/>
        <v>0</v>
      </c>
      <c r="BB146" s="1089">
        <f t="shared" si="100"/>
        <v>57.5</v>
      </c>
      <c r="BC146" s="934"/>
      <c r="BD146" s="934"/>
      <c r="BE146" s="934"/>
      <c r="BF146" s="934">
        <v>2</v>
      </c>
      <c r="BG146" s="1085">
        <f t="shared" si="101"/>
        <v>0</v>
      </c>
      <c r="BH146" s="1085">
        <f t="shared" si="102"/>
        <v>1</v>
      </c>
      <c r="BI146" s="1085">
        <f t="shared" si="103"/>
        <v>0</v>
      </c>
      <c r="BJ146" s="934"/>
      <c r="BK146" s="934"/>
      <c r="BL146" s="934">
        <v>2</v>
      </c>
      <c r="BM146" s="934"/>
      <c r="BN146" s="934"/>
      <c r="BO146" s="1048"/>
      <c r="BP146" s="1048"/>
      <c r="BQ146" s="1048"/>
      <c r="BR146" s="1048"/>
      <c r="BS146" s="1048"/>
      <c r="BT146" s="934"/>
      <c r="BU146" s="934"/>
      <c r="BV146" s="934"/>
      <c r="BW146" s="934"/>
      <c r="BX146" s="934"/>
      <c r="BY146" s="934"/>
      <c r="CA146" s="1072"/>
    </row>
    <row r="147" spans="4:79" s="977" customFormat="1" ht="21.6">
      <c r="E147" s="1056" t="s">
        <v>618</v>
      </c>
      <c r="F147" s="1073" t="s">
        <v>374</v>
      </c>
      <c r="G147" s="1073" t="s">
        <v>374</v>
      </c>
      <c r="H147" s="1066">
        <v>58.3</v>
      </c>
      <c r="I147" s="1082">
        <f t="shared" si="104"/>
        <v>58.3</v>
      </c>
      <c r="J147" s="1082">
        <f t="shared" si="96"/>
        <v>58.3</v>
      </c>
      <c r="K147" s="1082"/>
      <c r="L147" s="1082">
        <f t="shared" si="97"/>
        <v>58.3</v>
      </c>
      <c r="M147" s="1178"/>
      <c r="N147" s="1057"/>
      <c r="O147" s="1058"/>
      <c r="P147" s="934"/>
      <c r="Q147" s="934"/>
      <c r="R147" s="934">
        <v>1</v>
      </c>
      <c r="S147" s="934"/>
      <c r="T147" s="934"/>
      <c r="U147" s="934"/>
      <c r="V147" s="934"/>
      <c r="W147" s="934">
        <v>2</v>
      </c>
      <c r="X147" s="934"/>
      <c r="Y147" s="934"/>
      <c r="Z147" s="934"/>
      <c r="AA147" s="934">
        <v>1</v>
      </c>
      <c r="AB147" s="934"/>
      <c r="AC147" s="934"/>
      <c r="AD147" s="1048"/>
      <c r="AE147" s="1048"/>
      <c r="AF147" s="1086">
        <f t="shared" si="105"/>
        <v>0</v>
      </c>
      <c r="AG147" s="1048"/>
      <c r="AH147" s="934"/>
      <c r="AI147" s="934"/>
      <c r="AJ147" s="1074"/>
      <c r="AK147" s="1074"/>
      <c r="AL147" s="1074"/>
      <c r="AM147" s="1074"/>
      <c r="AN147" s="1071">
        <f t="shared" si="106"/>
        <v>0</v>
      </c>
      <c r="AO147" s="1049"/>
      <c r="AP147" s="1049"/>
      <c r="AQ147" s="1049"/>
      <c r="AR147" s="1049"/>
      <c r="AS147" s="934"/>
      <c r="AT147" s="934"/>
      <c r="AU147" s="1085">
        <f t="shared" si="107"/>
        <v>0</v>
      </c>
      <c r="AV147" s="934"/>
      <c r="AW147" s="934"/>
      <c r="AX147" s="934"/>
      <c r="AY147" s="934">
        <v>2</v>
      </c>
      <c r="AZ147" s="934"/>
      <c r="BA147" s="934">
        <f t="shared" si="99"/>
        <v>0</v>
      </c>
      <c r="BB147" s="1089">
        <f t="shared" si="100"/>
        <v>58.3</v>
      </c>
      <c r="BC147" s="934"/>
      <c r="BD147" s="934"/>
      <c r="BE147" s="934"/>
      <c r="BF147" s="934">
        <v>2</v>
      </c>
      <c r="BG147" s="1085">
        <f t="shared" si="101"/>
        <v>0</v>
      </c>
      <c r="BH147" s="1085">
        <f t="shared" si="102"/>
        <v>0</v>
      </c>
      <c r="BI147" s="1085">
        <f t="shared" si="103"/>
        <v>1</v>
      </c>
      <c r="BJ147" s="934"/>
      <c r="BK147" s="934"/>
      <c r="BL147" s="934">
        <v>2</v>
      </c>
      <c r="BM147" s="934"/>
      <c r="BN147" s="934"/>
      <c r="BO147" s="1048"/>
      <c r="BP147" s="1048"/>
      <c r="BQ147" s="1048"/>
      <c r="BR147" s="1048"/>
      <c r="BS147" s="1048"/>
      <c r="BT147" s="934"/>
      <c r="BU147" s="934"/>
      <c r="BV147" s="934"/>
      <c r="BW147" s="934"/>
      <c r="BX147" s="934"/>
      <c r="BY147" s="934"/>
      <c r="CA147" s="1072"/>
    </row>
    <row r="148" spans="4:79" s="977" customFormat="1" ht="21.6">
      <c r="E148" s="1056" t="s">
        <v>619</v>
      </c>
      <c r="F148" s="1073" t="s">
        <v>80</v>
      </c>
      <c r="G148" s="1073" t="s">
        <v>80</v>
      </c>
      <c r="H148" s="1066">
        <v>60.7</v>
      </c>
      <c r="I148" s="1082">
        <f t="shared" si="104"/>
        <v>60.7</v>
      </c>
      <c r="J148" s="1082">
        <f t="shared" si="96"/>
        <v>60.7</v>
      </c>
      <c r="K148" s="1082"/>
      <c r="L148" s="1082">
        <f t="shared" si="97"/>
        <v>60.7</v>
      </c>
      <c r="M148" s="1178"/>
      <c r="N148" s="1057"/>
      <c r="O148" s="1058"/>
      <c r="P148" s="934"/>
      <c r="Q148" s="934"/>
      <c r="R148" s="934"/>
      <c r="S148" s="934"/>
      <c r="T148" s="934"/>
      <c r="U148" s="934"/>
      <c r="V148" s="934">
        <v>1</v>
      </c>
      <c r="W148" s="934">
        <v>1</v>
      </c>
      <c r="X148" s="934"/>
      <c r="Y148" s="934"/>
      <c r="Z148" s="934"/>
      <c r="AA148" s="934"/>
      <c r="AB148" s="934"/>
      <c r="AC148" s="934"/>
      <c r="AD148" s="1048"/>
      <c r="AE148" s="1048"/>
      <c r="AF148" s="1086">
        <f t="shared" si="105"/>
        <v>0</v>
      </c>
      <c r="AG148" s="1048"/>
      <c r="AH148" s="934"/>
      <c r="AI148" s="934"/>
      <c r="AJ148" s="1074"/>
      <c r="AK148" s="1074"/>
      <c r="AL148" s="1074"/>
      <c r="AM148" s="1074"/>
      <c r="AN148" s="1071">
        <f t="shared" si="106"/>
        <v>0</v>
      </c>
      <c r="AO148" s="1049"/>
      <c r="AP148" s="1049"/>
      <c r="AQ148" s="1049"/>
      <c r="AR148" s="1049"/>
      <c r="AS148" s="934"/>
      <c r="AT148" s="934"/>
      <c r="AU148" s="1085">
        <f t="shared" si="107"/>
        <v>0</v>
      </c>
      <c r="AV148" s="934"/>
      <c r="AW148" s="934"/>
      <c r="AX148" s="934">
        <v>1</v>
      </c>
      <c r="AY148" s="934"/>
      <c r="AZ148" s="934"/>
      <c r="BA148" s="934">
        <f t="shared" si="99"/>
        <v>0</v>
      </c>
      <c r="BB148" s="1089">
        <f t="shared" si="100"/>
        <v>60.7</v>
      </c>
      <c r="BC148" s="934"/>
      <c r="BD148" s="934"/>
      <c r="BE148" s="934">
        <v>2</v>
      </c>
      <c r="BF148" s="934"/>
      <c r="BG148" s="1085">
        <f t="shared" si="101"/>
        <v>0</v>
      </c>
      <c r="BH148" s="1085">
        <f t="shared" si="102"/>
        <v>0</v>
      </c>
      <c r="BI148" s="1085">
        <f t="shared" si="103"/>
        <v>0</v>
      </c>
      <c r="BJ148" s="934"/>
      <c r="BK148" s="934"/>
      <c r="BL148" s="934">
        <v>1</v>
      </c>
      <c r="BM148" s="934"/>
      <c r="BN148" s="934"/>
      <c r="BO148" s="1048"/>
      <c r="BP148" s="1048"/>
      <c r="BQ148" s="1048"/>
      <c r="BR148" s="1048"/>
      <c r="BS148" s="1048"/>
      <c r="BT148" s="934"/>
      <c r="BU148" s="934"/>
      <c r="BV148" s="934"/>
      <c r="BW148" s="934"/>
      <c r="BX148" s="934"/>
      <c r="BY148" s="934"/>
      <c r="CA148" s="1072"/>
    </row>
    <row r="149" spans="4:79" s="977" customFormat="1" ht="21.6">
      <c r="E149" s="1056" t="s">
        <v>620</v>
      </c>
      <c r="F149" s="1073" t="s">
        <v>374</v>
      </c>
      <c r="G149" s="1073" t="s">
        <v>374</v>
      </c>
      <c r="H149" s="1066">
        <v>59.4</v>
      </c>
      <c r="I149" s="1082">
        <f t="shared" si="104"/>
        <v>59.4</v>
      </c>
      <c r="J149" s="1082">
        <f t="shared" si="96"/>
        <v>59.4</v>
      </c>
      <c r="K149" s="1082"/>
      <c r="L149" s="1082">
        <f t="shared" si="97"/>
        <v>59.4</v>
      </c>
      <c r="M149" s="1178"/>
      <c r="N149" s="1057"/>
      <c r="O149" s="1058"/>
      <c r="P149" s="934"/>
      <c r="Q149" s="934"/>
      <c r="R149" s="934">
        <v>1</v>
      </c>
      <c r="S149" s="934"/>
      <c r="T149" s="934"/>
      <c r="U149" s="934"/>
      <c r="V149" s="934"/>
      <c r="W149" s="934">
        <v>2</v>
      </c>
      <c r="X149" s="934"/>
      <c r="Y149" s="934"/>
      <c r="Z149" s="934"/>
      <c r="AA149" s="934">
        <v>1</v>
      </c>
      <c r="AB149" s="934"/>
      <c r="AC149" s="934"/>
      <c r="AD149" s="1048"/>
      <c r="AE149" s="1048"/>
      <c r="AF149" s="1086">
        <f t="shared" si="105"/>
        <v>0</v>
      </c>
      <c r="AG149" s="1048"/>
      <c r="AH149" s="934"/>
      <c r="AI149" s="934"/>
      <c r="AJ149" s="1074"/>
      <c r="AK149" s="1074"/>
      <c r="AL149" s="1074"/>
      <c r="AM149" s="1074"/>
      <c r="AN149" s="1071">
        <f t="shared" si="106"/>
        <v>0</v>
      </c>
      <c r="AO149" s="1049"/>
      <c r="AP149" s="1049"/>
      <c r="AQ149" s="1049"/>
      <c r="AR149" s="1049"/>
      <c r="AS149" s="934"/>
      <c r="AT149" s="934"/>
      <c r="AU149" s="1085">
        <f t="shared" si="107"/>
        <v>0</v>
      </c>
      <c r="AV149" s="934"/>
      <c r="AW149" s="934"/>
      <c r="AX149" s="934"/>
      <c r="AY149" s="934">
        <v>2</v>
      </c>
      <c r="AZ149" s="934"/>
      <c r="BA149" s="934">
        <f t="shared" si="99"/>
        <v>0</v>
      </c>
      <c r="BB149" s="1089">
        <f t="shared" si="100"/>
        <v>59.4</v>
      </c>
      <c r="BC149" s="934"/>
      <c r="BD149" s="934"/>
      <c r="BE149" s="934"/>
      <c r="BF149" s="934">
        <v>2</v>
      </c>
      <c r="BG149" s="1085">
        <f t="shared" si="101"/>
        <v>0</v>
      </c>
      <c r="BH149" s="1085">
        <f t="shared" si="102"/>
        <v>0</v>
      </c>
      <c r="BI149" s="1085">
        <f t="shared" si="103"/>
        <v>1</v>
      </c>
      <c r="BJ149" s="934"/>
      <c r="BK149" s="934"/>
      <c r="BL149" s="934">
        <v>2</v>
      </c>
      <c r="BM149" s="934"/>
      <c r="BN149" s="934"/>
      <c r="BO149" s="1048"/>
      <c r="BP149" s="1048"/>
      <c r="BQ149" s="1048"/>
      <c r="BR149" s="1048"/>
      <c r="BS149" s="1048"/>
      <c r="BT149" s="934"/>
      <c r="BU149" s="934"/>
      <c r="BV149" s="934"/>
      <c r="BW149" s="934"/>
      <c r="BX149" s="934"/>
      <c r="BY149" s="934"/>
      <c r="CA149" s="1072"/>
    </row>
    <row r="150" spans="4:79" s="1187" customFormat="1" ht="21.6">
      <c r="E150" s="1189" t="s">
        <v>791</v>
      </c>
      <c r="F150" s="1190"/>
      <c r="G150" s="1190" t="s">
        <v>80</v>
      </c>
      <c r="H150" s="1191">
        <v>40.5</v>
      </c>
      <c r="I150" s="1192">
        <f t="shared" si="104"/>
        <v>40.5</v>
      </c>
      <c r="J150" s="1192">
        <f t="shared" si="96"/>
        <v>40.5</v>
      </c>
      <c r="K150" s="1192"/>
      <c r="L150" s="1192">
        <f t="shared" si="97"/>
        <v>40.5</v>
      </c>
      <c r="M150" s="1178">
        <v>1</v>
      </c>
      <c r="N150" s="1178"/>
      <c r="O150" s="1205">
        <f>N150+M150</f>
        <v>1</v>
      </c>
      <c r="P150" s="1195"/>
      <c r="Q150" s="1195"/>
      <c r="R150" s="1195"/>
      <c r="S150" s="1195"/>
      <c r="T150" s="1195"/>
      <c r="U150" s="1195">
        <v>1</v>
      </c>
      <c r="V150" s="1195"/>
      <c r="W150" s="1195"/>
      <c r="X150" s="1195">
        <v>1</v>
      </c>
      <c r="Y150" s="1195"/>
      <c r="Z150" s="1195"/>
      <c r="AA150" s="1195"/>
      <c r="AB150" s="1195">
        <v>1</v>
      </c>
      <c r="AC150" s="1195"/>
      <c r="AD150" s="1196"/>
      <c r="AE150" s="1196"/>
      <c r="AF150" s="1086">
        <f t="shared" si="105"/>
        <v>0</v>
      </c>
      <c r="AG150" s="1196"/>
      <c r="AH150" s="1195"/>
      <c r="AI150" s="1195"/>
      <c r="AJ150" s="1197"/>
      <c r="AK150" s="1197"/>
      <c r="AL150" s="1197"/>
      <c r="AM150" s="1197"/>
      <c r="AN150" s="1071">
        <f t="shared" si="106"/>
        <v>0</v>
      </c>
      <c r="AO150" s="1193"/>
      <c r="AP150" s="1193"/>
      <c r="AQ150" s="1193"/>
      <c r="AR150" s="1193"/>
      <c r="AS150" s="1195"/>
      <c r="AT150" s="1195"/>
      <c r="AU150" s="1085">
        <f t="shared" si="107"/>
        <v>0</v>
      </c>
      <c r="AV150" s="1195"/>
      <c r="AW150" s="1195"/>
      <c r="AX150" s="1195">
        <v>1</v>
      </c>
      <c r="AY150" s="1195"/>
      <c r="AZ150" s="1195"/>
      <c r="BA150" s="934">
        <f t="shared" si="99"/>
        <v>0</v>
      </c>
      <c r="BB150" s="1089">
        <f t="shared" si="100"/>
        <v>40.5</v>
      </c>
      <c r="BC150" s="1195"/>
      <c r="BD150" s="1195"/>
      <c r="BE150" s="1195"/>
      <c r="BF150" s="1195"/>
      <c r="BG150" s="1085">
        <f t="shared" si="101"/>
        <v>0</v>
      </c>
      <c r="BH150" s="1085">
        <f t="shared" si="102"/>
        <v>0</v>
      </c>
      <c r="BI150" s="1085">
        <f t="shared" si="103"/>
        <v>0</v>
      </c>
      <c r="BJ150" s="1195"/>
      <c r="BK150" s="1195"/>
      <c r="BL150" s="1195"/>
      <c r="BM150" s="1195"/>
      <c r="BN150" s="1195"/>
      <c r="BO150" s="1196"/>
      <c r="BP150" s="1196"/>
      <c r="BQ150" s="1196"/>
      <c r="BR150" s="1196"/>
      <c r="BS150" s="1196"/>
      <c r="BT150" s="1195"/>
      <c r="BU150" s="1195"/>
      <c r="BV150" s="1195"/>
      <c r="BW150" s="1195"/>
      <c r="BX150" s="1195"/>
      <c r="BY150" s="1195"/>
      <c r="CA150" s="1200"/>
    </row>
    <row r="151" spans="4:79" s="977" customFormat="1" ht="21.6">
      <c r="E151" s="1056" t="s">
        <v>621</v>
      </c>
      <c r="F151" s="1073" t="s">
        <v>80</v>
      </c>
      <c r="G151" s="1073" t="s">
        <v>80</v>
      </c>
      <c r="H151" s="1066">
        <v>40.6</v>
      </c>
      <c r="I151" s="1082">
        <f t="shared" si="104"/>
        <v>40.6</v>
      </c>
      <c r="J151" s="1082">
        <f t="shared" si="96"/>
        <v>40.6</v>
      </c>
      <c r="K151" s="1082"/>
      <c r="L151" s="1082">
        <f t="shared" si="97"/>
        <v>40.6</v>
      </c>
      <c r="M151" s="1178"/>
      <c r="N151" s="1057"/>
      <c r="O151" s="1058">
        <f>N151+M151</f>
        <v>0</v>
      </c>
      <c r="P151" s="934"/>
      <c r="Q151" s="934"/>
      <c r="R151" s="934"/>
      <c r="S151" s="934"/>
      <c r="T151" s="934">
        <f t="shared" ref="T151:T153" si="108">R151</f>
        <v>0</v>
      </c>
      <c r="U151" s="934"/>
      <c r="V151" s="934">
        <v>1</v>
      </c>
      <c r="W151" s="934">
        <v>1</v>
      </c>
      <c r="X151" s="934"/>
      <c r="Y151" s="934"/>
      <c r="Z151" s="934"/>
      <c r="AA151" s="934"/>
      <c r="AB151" s="934"/>
      <c r="AC151" s="934"/>
      <c r="AD151" s="1048"/>
      <c r="AE151" s="1048"/>
      <c r="AF151" s="1086">
        <f t="shared" si="105"/>
        <v>0</v>
      </c>
      <c r="AG151" s="1048"/>
      <c r="AH151" s="934"/>
      <c r="AI151" s="934"/>
      <c r="AJ151" s="1074"/>
      <c r="AK151" s="1074"/>
      <c r="AL151" s="1074"/>
      <c r="AM151" s="1074"/>
      <c r="AN151" s="1071">
        <f t="shared" si="106"/>
        <v>0</v>
      </c>
      <c r="AO151" s="1049"/>
      <c r="AP151" s="1049"/>
      <c r="AQ151" s="1049"/>
      <c r="AR151" s="1049"/>
      <c r="AS151" s="934"/>
      <c r="AT151" s="934"/>
      <c r="AU151" s="1085">
        <f t="shared" si="107"/>
        <v>0</v>
      </c>
      <c r="AV151" s="934"/>
      <c r="AW151" s="934"/>
      <c r="AX151" s="934">
        <v>1</v>
      </c>
      <c r="AY151" s="934"/>
      <c r="AZ151" s="934"/>
      <c r="BA151" s="934">
        <f t="shared" si="99"/>
        <v>0</v>
      </c>
      <c r="BB151" s="1089">
        <f t="shared" si="100"/>
        <v>40.6</v>
      </c>
      <c r="BC151" s="934"/>
      <c r="BD151" s="934"/>
      <c r="BE151" s="934">
        <v>2</v>
      </c>
      <c r="BF151" s="934"/>
      <c r="BG151" s="1085">
        <f t="shared" si="101"/>
        <v>0</v>
      </c>
      <c r="BH151" s="1085">
        <f t="shared" si="102"/>
        <v>0</v>
      </c>
      <c r="BI151" s="1085">
        <f t="shared" si="103"/>
        <v>0</v>
      </c>
      <c r="BJ151" s="934"/>
      <c r="BK151" s="934"/>
      <c r="BL151" s="934">
        <v>1</v>
      </c>
      <c r="BM151" s="934"/>
      <c r="BN151" s="934"/>
      <c r="BO151" s="1048"/>
      <c r="BP151" s="1048"/>
      <c r="BQ151" s="1048"/>
      <c r="BR151" s="1048"/>
      <c r="BS151" s="1048"/>
      <c r="BT151" s="934"/>
      <c r="BU151" s="934"/>
      <c r="BV151" s="934"/>
      <c r="BW151" s="934"/>
      <c r="BX151" s="934"/>
      <c r="BY151" s="1076"/>
      <c r="BZ151" s="1077"/>
      <c r="CA151" s="1072"/>
    </row>
    <row r="152" spans="4:79" s="1187" customFormat="1" ht="21.6">
      <c r="E152" s="1189" t="s">
        <v>802</v>
      </c>
      <c r="F152" s="1190"/>
      <c r="G152" s="1190" t="s">
        <v>80</v>
      </c>
      <c r="H152" s="1191">
        <v>40.5</v>
      </c>
      <c r="I152" s="1192">
        <f t="shared" si="104"/>
        <v>40.5</v>
      </c>
      <c r="J152" s="1192">
        <f t="shared" si="96"/>
        <v>40.5</v>
      </c>
      <c r="K152" s="1192"/>
      <c r="L152" s="1192">
        <f t="shared" si="97"/>
        <v>40.5</v>
      </c>
      <c r="M152" s="1178">
        <v>1</v>
      </c>
      <c r="N152" s="1178"/>
      <c r="O152" s="1194">
        <f>N152+M152</f>
        <v>1</v>
      </c>
      <c r="P152" s="1195"/>
      <c r="Q152" s="1195"/>
      <c r="R152" s="1195"/>
      <c r="S152" s="1195"/>
      <c r="T152" s="1195">
        <f t="shared" si="108"/>
        <v>0</v>
      </c>
      <c r="U152" s="1195"/>
      <c r="V152" s="1195"/>
      <c r="W152" s="1195"/>
      <c r="X152" s="1195">
        <v>1</v>
      </c>
      <c r="Y152" s="1195"/>
      <c r="Z152" s="1195"/>
      <c r="AA152" s="1195"/>
      <c r="AB152" s="1195">
        <v>1</v>
      </c>
      <c r="AC152" s="1195"/>
      <c r="AD152" s="1196"/>
      <c r="AE152" s="1196"/>
      <c r="AF152" s="1086">
        <f t="shared" si="105"/>
        <v>0</v>
      </c>
      <c r="AG152" s="1196"/>
      <c r="AH152" s="1195"/>
      <c r="AI152" s="1195"/>
      <c r="AJ152" s="1197"/>
      <c r="AK152" s="1197"/>
      <c r="AL152" s="1197"/>
      <c r="AM152" s="1197"/>
      <c r="AN152" s="1071">
        <f t="shared" si="106"/>
        <v>0</v>
      </c>
      <c r="AO152" s="1193"/>
      <c r="AP152" s="1193"/>
      <c r="AQ152" s="1193"/>
      <c r="AR152" s="1193"/>
      <c r="AS152" s="1195"/>
      <c r="AT152" s="1195"/>
      <c r="AU152" s="1085">
        <f t="shared" si="107"/>
        <v>0</v>
      </c>
      <c r="AV152" s="1195"/>
      <c r="AW152" s="1195"/>
      <c r="AX152" s="1195">
        <v>1</v>
      </c>
      <c r="AY152" s="1195"/>
      <c r="AZ152" s="1195"/>
      <c r="BA152" s="934">
        <f t="shared" si="99"/>
        <v>0</v>
      </c>
      <c r="BB152" s="1089">
        <f t="shared" si="100"/>
        <v>40.5</v>
      </c>
      <c r="BC152" s="1195"/>
      <c r="BD152" s="1195"/>
      <c r="BE152" s="1195"/>
      <c r="BF152" s="1195"/>
      <c r="BG152" s="1085">
        <f t="shared" si="101"/>
        <v>0</v>
      </c>
      <c r="BH152" s="1085">
        <f t="shared" si="102"/>
        <v>0</v>
      </c>
      <c r="BI152" s="1085">
        <f t="shared" si="103"/>
        <v>0</v>
      </c>
      <c r="BJ152" s="1195"/>
      <c r="BK152" s="1195"/>
      <c r="BL152" s="1195"/>
      <c r="BM152" s="1195"/>
      <c r="BN152" s="1195"/>
      <c r="BO152" s="1196"/>
      <c r="BP152" s="1196"/>
      <c r="BQ152" s="1196"/>
      <c r="BR152" s="1196"/>
      <c r="BS152" s="1196"/>
      <c r="BT152" s="1195"/>
      <c r="BU152" s="1195"/>
      <c r="BV152" s="1195"/>
      <c r="BW152" s="1195"/>
      <c r="BX152" s="1195"/>
      <c r="BY152" s="1195"/>
      <c r="CA152" s="1200"/>
    </row>
    <row r="153" spans="4:79" s="977" customFormat="1" ht="21.6">
      <c r="E153" s="1056" t="s">
        <v>622</v>
      </c>
      <c r="F153" s="1073" t="s">
        <v>377</v>
      </c>
      <c r="G153" s="1073" t="s">
        <v>377</v>
      </c>
      <c r="H153" s="1065">
        <v>40.5</v>
      </c>
      <c r="I153" s="1082">
        <f t="shared" si="104"/>
        <v>40.5</v>
      </c>
      <c r="J153" s="1082">
        <f t="shared" si="96"/>
        <v>40.5</v>
      </c>
      <c r="K153" s="1082"/>
      <c r="L153" s="1082">
        <f t="shared" si="97"/>
        <v>40.5</v>
      </c>
      <c r="M153" s="1178"/>
      <c r="N153" s="1057"/>
      <c r="O153" s="1058">
        <f>N153+M153</f>
        <v>0</v>
      </c>
      <c r="P153" s="934"/>
      <c r="Q153" s="934">
        <v>1</v>
      </c>
      <c r="R153" s="934"/>
      <c r="S153" s="934"/>
      <c r="T153" s="934">
        <f t="shared" si="108"/>
        <v>0</v>
      </c>
      <c r="U153" s="934"/>
      <c r="V153" s="934"/>
      <c r="W153" s="934"/>
      <c r="X153" s="934"/>
      <c r="Y153" s="934"/>
      <c r="Z153" s="934"/>
      <c r="AA153" s="934"/>
      <c r="AB153" s="934"/>
      <c r="AC153" s="934">
        <v>1</v>
      </c>
      <c r="AD153" s="1048">
        <v>1</v>
      </c>
      <c r="AE153" s="1048"/>
      <c r="AF153" s="1086">
        <f t="shared" si="105"/>
        <v>1</v>
      </c>
      <c r="AG153" s="1048"/>
      <c r="AH153" s="934"/>
      <c r="AI153" s="934"/>
      <c r="AJ153" s="1074"/>
      <c r="AK153" s="1074"/>
      <c r="AL153" s="1074"/>
      <c r="AM153" s="1074"/>
      <c r="AN153" s="1071">
        <f t="shared" si="106"/>
        <v>0</v>
      </c>
      <c r="AO153" s="1049"/>
      <c r="AP153" s="1049"/>
      <c r="AQ153" s="1049"/>
      <c r="AR153" s="1049"/>
      <c r="AS153" s="934"/>
      <c r="AT153" s="934"/>
      <c r="AU153" s="1085">
        <f t="shared" si="107"/>
        <v>0</v>
      </c>
      <c r="AV153" s="934"/>
      <c r="AW153" s="934"/>
      <c r="AX153" s="934"/>
      <c r="AY153" s="934"/>
      <c r="AZ153" s="934"/>
      <c r="BA153" s="934">
        <f t="shared" si="99"/>
        <v>1</v>
      </c>
      <c r="BB153" s="1089">
        <f t="shared" si="100"/>
        <v>40.5</v>
      </c>
      <c r="BC153" s="934"/>
      <c r="BD153" s="934"/>
      <c r="BE153" s="934"/>
      <c r="BF153" s="934"/>
      <c r="BG153" s="1085">
        <f t="shared" si="101"/>
        <v>0</v>
      </c>
      <c r="BH153" s="1085">
        <f t="shared" si="102"/>
        <v>1</v>
      </c>
      <c r="BI153" s="1085">
        <f t="shared" si="103"/>
        <v>0</v>
      </c>
      <c r="BJ153" s="934"/>
      <c r="BK153" s="934"/>
      <c r="BL153" s="934"/>
      <c r="BM153" s="934"/>
      <c r="BN153" s="934"/>
      <c r="BO153" s="1048">
        <v>1</v>
      </c>
      <c r="BP153" s="1048"/>
      <c r="BQ153" s="1048"/>
      <c r="BR153" s="1048"/>
      <c r="BS153" s="1048"/>
      <c r="BT153" s="934">
        <v>1</v>
      </c>
      <c r="BU153" s="934"/>
      <c r="BV153" s="934"/>
      <c r="BW153" s="934"/>
      <c r="BX153" s="934"/>
      <c r="BY153" s="934" t="s">
        <v>881</v>
      </c>
      <c r="BZ153" s="1077"/>
      <c r="CA153" s="1072"/>
    </row>
    <row r="154" spans="4:79" s="940" customFormat="1" ht="21.6">
      <c r="D154" s="1373" t="s">
        <v>935</v>
      </c>
      <c r="E154" s="1129" t="s">
        <v>806</v>
      </c>
      <c r="F154" s="1130"/>
      <c r="G154" s="1130"/>
      <c r="H154" s="1131">
        <f>SUM(H142:H153)</f>
        <v>544.09999999999991</v>
      </c>
      <c r="I154" s="1131">
        <f t="shared" ref="I154:BT154" si="109">SUM(I142:I153)</f>
        <v>544.09999999999991</v>
      </c>
      <c r="J154" s="1131">
        <f t="shared" si="109"/>
        <v>544.09999999999991</v>
      </c>
      <c r="K154" s="1131">
        <f t="shared" si="109"/>
        <v>0</v>
      </c>
      <c r="L154" s="1131">
        <f t="shared" si="109"/>
        <v>544.09999999999991</v>
      </c>
      <c r="M154" s="1131">
        <f t="shared" si="109"/>
        <v>2</v>
      </c>
      <c r="N154" s="1131">
        <f t="shared" si="109"/>
        <v>0</v>
      </c>
      <c r="O154" s="1131">
        <f t="shared" si="109"/>
        <v>2</v>
      </c>
      <c r="P154" s="1131">
        <f t="shared" si="109"/>
        <v>0</v>
      </c>
      <c r="Q154" s="1131">
        <f t="shared" si="109"/>
        <v>5</v>
      </c>
      <c r="R154" s="1131">
        <f t="shared" si="109"/>
        <v>3</v>
      </c>
      <c r="S154" s="1131">
        <f t="shared" si="109"/>
        <v>0</v>
      </c>
      <c r="T154" s="1131">
        <f t="shared" si="109"/>
        <v>0</v>
      </c>
      <c r="U154" s="1131">
        <f t="shared" si="109"/>
        <v>2</v>
      </c>
      <c r="V154" s="1131">
        <f t="shared" si="109"/>
        <v>2</v>
      </c>
      <c r="W154" s="1131">
        <f t="shared" si="109"/>
        <v>12</v>
      </c>
      <c r="X154" s="1131">
        <f t="shared" si="109"/>
        <v>2</v>
      </c>
      <c r="Y154" s="1131">
        <f t="shared" si="109"/>
        <v>0</v>
      </c>
      <c r="Z154" s="1131">
        <f t="shared" si="109"/>
        <v>0</v>
      </c>
      <c r="AA154" s="1131">
        <f t="shared" si="109"/>
        <v>5</v>
      </c>
      <c r="AB154" s="1131">
        <f t="shared" si="109"/>
        <v>2</v>
      </c>
      <c r="AC154" s="1131">
        <f t="shared" si="109"/>
        <v>4</v>
      </c>
      <c r="AD154" s="1131">
        <f t="shared" si="109"/>
        <v>4</v>
      </c>
      <c r="AE154" s="1131">
        <f t="shared" si="109"/>
        <v>0</v>
      </c>
      <c r="AF154" s="1131">
        <f t="shared" si="109"/>
        <v>4</v>
      </c>
      <c r="AG154" s="1131">
        <f t="shared" si="109"/>
        <v>0</v>
      </c>
      <c r="AH154" s="1131">
        <f t="shared" si="109"/>
        <v>0</v>
      </c>
      <c r="AI154" s="1131">
        <f t="shared" si="109"/>
        <v>0</v>
      </c>
      <c r="AJ154" s="1131">
        <f t="shared" si="109"/>
        <v>1</v>
      </c>
      <c r="AK154" s="1131">
        <f t="shared" si="109"/>
        <v>0</v>
      </c>
      <c r="AL154" s="1131">
        <f t="shared" si="109"/>
        <v>1</v>
      </c>
      <c r="AM154" s="1131">
        <f t="shared" si="109"/>
        <v>1</v>
      </c>
      <c r="AN154" s="1131">
        <f t="shared" si="109"/>
        <v>2</v>
      </c>
      <c r="AO154" s="1131">
        <f t="shared" si="109"/>
        <v>1</v>
      </c>
      <c r="AP154" s="1131">
        <f t="shared" si="109"/>
        <v>0</v>
      </c>
      <c r="AQ154" s="1131">
        <f t="shared" si="109"/>
        <v>1</v>
      </c>
      <c r="AR154" s="1131">
        <f t="shared" si="109"/>
        <v>0</v>
      </c>
      <c r="AS154" s="1131">
        <f t="shared" si="109"/>
        <v>1.5</v>
      </c>
      <c r="AT154" s="1131">
        <f t="shared" si="109"/>
        <v>0</v>
      </c>
      <c r="AU154" s="1131">
        <f t="shared" si="109"/>
        <v>1.5</v>
      </c>
      <c r="AV154" s="1131">
        <f t="shared" si="109"/>
        <v>0</v>
      </c>
      <c r="AW154" s="1131">
        <f t="shared" si="109"/>
        <v>3</v>
      </c>
      <c r="AX154" s="1131">
        <f t="shared" si="109"/>
        <v>4</v>
      </c>
      <c r="AY154" s="1131">
        <f t="shared" si="109"/>
        <v>10</v>
      </c>
      <c r="AZ154" s="1131">
        <f t="shared" si="109"/>
        <v>1</v>
      </c>
      <c r="BA154" s="1131">
        <f t="shared" si="109"/>
        <v>4</v>
      </c>
      <c r="BB154" s="1131">
        <f t="shared" si="109"/>
        <v>544.09999999999991</v>
      </c>
      <c r="BC154" s="1131">
        <f t="shared" si="109"/>
        <v>0</v>
      </c>
      <c r="BD154" s="1131">
        <f t="shared" si="109"/>
        <v>1</v>
      </c>
      <c r="BE154" s="1131">
        <f t="shared" si="109"/>
        <v>4</v>
      </c>
      <c r="BF154" s="1131">
        <f t="shared" si="109"/>
        <v>10</v>
      </c>
      <c r="BG154" s="1131">
        <f t="shared" si="109"/>
        <v>0</v>
      </c>
      <c r="BH154" s="1131">
        <f t="shared" si="109"/>
        <v>5</v>
      </c>
      <c r="BI154" s="1131">
        <f t="shared" si="109"/>
        <v>3</v>
      </c>
      <c r="BJ154" s="1131">
        <f t="shared" si="109"/>
        <v>0</v>
      </c>
      <c r="BK154" s="1131">
        <f t="shared" si="109"/>
        <v>3</v>
      </c>
      <c r="BL154" s="1131">
        <f t="shared" si="109"/>
        <v>12</v>
      </c>
      <c r="BM154" s="1131">
        <f t="shared" si="109"/>
        <v>0</v>
      </c>
      <c r="BN154" s="1131">
        <f t="shared" si="109"/>
        <v>0</v>
      </c>
      <c r="BO154" s="1131">
        <f t="shared" si="109"/>
        <v>4</v>
      </c>
      <c r="BP154" s="1131">
        <f t="shared" si="109"/>
        <v>0</v>
      </c>
      <c r="BQ154" s="1131">
        <f t="shared" si="109"/>
        <v>0</v>
      </c>
      <c r="BR154" s="1131">
        <f t="shared" si="109"/>
        <v>0</v>
      </c>
      <c r="BS154" s="1131">
        <f t="shared" si="109"/>
        <v>2</v>
      </c>
      <c r="BT154" s="1131">
        <f t="shared" si="109"/>
        <v>4</v>
      </c>
      <c r="BU154" s="1131">
        <f t="shared" ref="BU154:BW154" si="110">SUM(BU142:BU153)</f>
        <v>0</v>
      </c>
      <c r="BV154" s="1131">
        <f t="shared" si="110"/>
        <v>1</v>
      </c>
      <c r="BW154" s="1131">
        <f t="shared" si="110"/>
        <v>0</v>
      </c>
      <c r="BX154" s="1132"/>
      <c r="BY154" s="1133"/>
      <c r="BZ154" s="1090"/>
      <c r="CA154" s="1091"/>
    </row>
    <row r="155" spans="4:79" s="1138" customFormat="1" ht="21.6">
      <c r="D155" s="1372" t="s">
        <v>935</v>
      </c>
      <c r="E155" s="1118" t="s">
        <v>810</v>
      </c>
      <c r="F155" s="1139"/>
      <c r="G155" s="1139"/>
      <c r="H155" s="1140"/>
      <c r="I155" s="1140"/>
      <c r="J155" s="1140"/>
      <c r="K155" s="1140"/>
      <c r="L155" s="1140"/>
      <c r="M155" s="1184"/>
      <c r="N155" s="1141"/>
      <c r="O155" s="1141"/>
      <c r="P155" s="1142"/>
      <c r="Q155" s="1142"/>
      <c r="R155" s="1142"/>
      <c r="S155" s="1142"/>
      <c r="T155" s="1142"/>
      <c r="U155" s="1142"/>
      <c r="V155" s="1142"/>
      <c r="W155" s="1142"/>
      <c r="X155" s="1142"/>
      <c r="Y155" s="1142"/>
      <c r="Z155" s="1141"/>
      <c r="AA155" s="1141"/>
      <c r="AB155" s="1141"/>
      <c r="AC155" s="1141"/>
      <c r="AD155" s="1141"/>
      <c r="AE155" s="1141"/>
      <c r="AF155" s="1141"/>
      <c r="AG155" s="1141"/>
      <c r="AH155" s="1141"/>
      <c r="AI155" s="1141"/>
      <c r="AJ155" s="1141"/>
      <c r="AK155" s="1141"/>
      <c r="AL155" s="1141"/>
      <c r="AM155" s="1141"/>
      <c r="AN155" s="1141"/>
      <c r="AO155" s="1141"/>
      <c r="AP155" s="1141"/>
      <c r="AQ155" s="1141"/>
      <c r="AR155" s="1141"/>
      <c r="AS155" s="1140"/>
      <c r="AT155" s="1140"/>
      <c r="AU155" s="1140"/>
      <c r="AV155" s="1140"/>
      <c r="AW155" s="1140"/>
      <c r="AX155" s="1140"/>
      <c r="AY155" s="1141"/>
      <c r="AZ155" s="1141"/>
      <c r="BA155" s="1141"/>
      <c r="BB155" s="1140"/>
      <c r="BC155" s="1141"/>
      <c r="BD155" s="1141"/>
      <c r="BE155" s="1141"/>
      <c r="BF155" s="1141"/>
      <c r="BG155" s="1141"/>
      <c r="BH155" s="1141"/>
      <c r="BI155" s="1141"/>
      <c r="BJ155" s="1141"/>
      <c r="BK155" s="1141"/>
      <c r="BL155" s="1141"/>
      <c r="BM155" s="1141"/>
      <c r="BN155" s="1141"/>
      <c r="BO155" s="1141"/>
      <c r="BP155" s="1141"/>
      <c r="BQ155" s="1141"/>
      <c r="BR155" s="1141"/>
      <c r="BS155" s="1140"/>
      <c r="BT155" s="1141"/>
      <c r="BU155" s="1141"/>
      <c r="BV155" s="1141"/>
      <c r="BW155" s="1141"/>
      <c r="BX155" s="1141"/>
      <c r="BY155" s="1143"/>
      <c r="BZ155" s="1136"/>
      <c r="CA155" s="1137"/>
    </row>
    <row r="156" spans="4:79" s="977" customFormat="1" ht="21.6">
      <c r="E156" s="1080" t="s">
        <v>811</v>
      </c>
      <c r="F156" s="1081" t="s">
        <v>377</v>
      </c>
      <c r="G156" s="1081" t="s">
        <v>377</v>
      </c>
      <c r="H156" s="1082"/>
      <c r="I156" s="1082">
        <f>H156</f>
        <v>0</v>
      </c>
      <c r="J156" s="1082">
        <f t="shared" ref="J156:J179" si="111">H156</f>
        <v>0</v>
      </c>
      <c r="K156" s="1082"/>
      <c r="L156" s="1082">
        <f t="shared" ref="L156:L179" si="112">I156</f>
        <v>0</v>
      </c>
      <c r="M156" s="1182"/>
      <c r="N156" s="1083"/>
      <c r="O156" s="1084">
        <f>N156+M156</f>
        <v>0</v>
      </c>
      <c r="P156" s="1085"/>
      <c r="Q156" s="1085"/>
      <c r="R156" s="1085"/>
      <c r="S156" s="1085"/>
      <c r="T156" s="1085">
        <f t="shared" ref="T156" si="113">R156</f>
        <v>0</v>
      </c>
      <c r="U156" s="1085"/>
      <c r="V156" s="1085">
        <f t="shared" ref="V156:V163" si="114">IF(F156="I",1,0)</f>
        <v>0</v>
      </c>
      <c r="W156" s="1085"/>
      <c r="X156" s="1085"/>
      <c r="Y156" s="1085"/>
      <c r="Z156" s="1085"/>
      <c r="AA156" s="1085"/>
      <c r="AB156" s="1085"/>
      <c r="AC156" s="1085">
        <v>1</v>
      </c>
      <c r="AD156" s="1086">
        <v>1</v>
      </c>
      <c r="AE156" s="1086"/>
      <c r="AF156" s="1086">
        <f>AE156+AD156</f>
        <v>1</v>
      </c>
      <c r="AG156" s="1086"/>
      <c r="AH156" s="1085"/>
      <c r="AI156" s="1085"/>
      <c r="AJ156" s="1087">
        <v>1</v>
      </c>
      <c r="AK156" s="1087"/>
      <c r="AL156" s="1087">
        <v>1</v>
      </c>
      <c r="AM156" s="1087"/>
      <c r="AN156" s="1071">
        <f>AM156+AJ156</f>
        <v>1</v>
      </c>
      <c r="AO156" s="1071"/>
      <c r="AP156" s="1071"/>
      <c r="AQ156" s="1071"/>
      <c r="AR156" s="1071"/>
      <c r="AS156" s="1085">
        <v>0.5</v>
      </c>
      <c r="AT156" s="1085"/>
      <c r="AU156" s="1085">
        <f>AT156+AS156</f>
        <v>0.5</v>
      </c>
      <c r="AV156" s="1085"/>
      <c r="AW156" s="1085">
        <v>1</v>
      </c>
      <c r="AX156" s="1085"/>
      <c r="AY156" s="1085"/>
      <c r="AZ156" s="1085"/>
      <c r="BA156" s="934">
        <f t="shared" ref="BA156:BA179" si="115">IF(F156="2DT",2,IF(F156="DT",1,IF(F156="2DT-90",2,0)))</f>
        <v>1</v>
      </c>
      <c r="BB156" s="1089">
        <f t="shared" ref="BB156:BB164" si="116">H156</f>
        <v>0</v>
      </c>
      <c r="BC156" s="1085"/>
      <c r="BD156" s="1085"/>
      <c r="BE156" s="1085"/>
      <c r="BF156" s="1085"/>
      <c r="BG156" s="1085">
        <f t="shared" ref="BG156:BG179" si="117">P156</f>
        <v>0</v>
      </c>
      <c r="BH156" s="1085">
        <f t="shared" ref="BH156:BH179" si="118">Q156</f>
        <v>0</v>
      </c>
      <c r="BI156" s="1085">
        <f t="shared" ref="BI156:BI179" si="119">R156</f>
        <v>0</v>
      </c>
      <c r="BJ156" s="1085"/>
      <c r="BK156" s="1085">
        <v>1</v>
      </c>
      <c r="BL156" s="1085"/>
      <c r="BM156" s="1085"/>
      <c r="BN156" s="1085"/>
      <c r="BO156" s="1086">
        <f>AD156</f>
        <v>1</v>
      </c>
      <c r="BP156" s="1086"/>
      <c r="BQ156" s="1086"/>
      <c r="BR156" s="1086"/>
      <c r="BS156" s="1086"/>
      <c r="BT156" s="1085">
        <v>2</v>
      </c>
      <c r="BU156" s="1085"/>
      <c r="BV156" s="1085"/>
      <c r="BW156" s="1085"/>
      <c r="BX156" s="1085"/>
      <c r="BY156" s="1085"/>
      <c r="CA156" s="1072"/>
    </row>
    <row r="157" spans="4:79" s="977" customFormat="1" ht="21.6">
      <c r="E157" s="1080" t="s">
        <v>614</v>
      </c>
      <c r="F157" s="1081" t="s">
        <v>148</v>
      </c>
      <c r="G157" s="1081" t="s">
        <v>148</v>
      </c>
      <c r="H157" s="1082">
        <v>15.8</v>
      </c>
      <c r="I157" s="1082">
        <f>H157</f>
        <v>15.8</v>
      </c>
      <c r="J157" s="1082">
        <f t="shared" si="111"/>
        <v>15.8</v>
      </c>
      <c r="K157" s="1082"/>
      <c r="L157" s="1082">
        <f t="shared" si="112"/>
        <v>15.8</v>
      </c>
      <c r="M157" s="1182"/>
      <c r="N157" s="1083"/>
      <c r="O157" s="1084"/>
      <c r="P157" s="1085"/>
      <c r="Q157" s="1085">
        <v>1</v>
      </c>
      <c r="R157" s="1085"/>
      <c r="S157" s="1085"/>
      <c r="T157" s="1085"/>
      <c r="U157" s="1085">
        <v>1</v>
      </c>
      <c r="V157" s="1085">
        <f t="shared" si="114"/>
        <v>0</v>
      </c>
      <c r="W157" s="1085"/>
      <c r="X157" s="1085"/>
      <c r="Y157" s="1085"/>
      <c r="Z157" s="1085"/>
      <c r="AA157" s="1085"/>
      <c r="AB157" s="1085"/>
      <c r="AC157" s="1085">
        <v>2</v>
      </c>
      <c r="AD157" s="1086">
        <v>2</v>
      </c>
      <c r="AE157" s="1086"/>
      <c r="AF157" s="1086">
        <f t="shared" ref="AF157:AF179" si="120">AE157+AD157</f>
        <v>2</v>
      </c>
      <c r="AG157" s="1086"/>
      <c r="AH157" s="1085"/>
      <c r="AI157" s="1085"/>
      <c r="AJ157" s="1087"/>
      <c r="AK157" s="1087"/>
      <c r="AL157" s="1087"/>
      <c r="AM157" s="1087"/>
      <c r="AN157" s="1071">
        <f t="shared" ref="AN157:AN178" si="121">AM157+AJ157</f>
        <v>0</v>
      </c>
      <c r="AO157" s="1071">
        <v>1</v>
      </c>
      <c r="AP157" s="1071"/>
      <c r="AQ157" s="1071">
        <v>1</v>
      </c>
      <c r="AR157" s="1071"/>
      <c r="AS157" s="1085">
        <v>1</v>
      </c>
      <c r="AT157" s="1085"/>
      <c r="AU157" s="1085">
        <f t="shared" ref="AU157:AU179" si="122">AT157+AS157</f>
        <v>1</v>
      </c>
      <c r="AV157" s="1085"/>
      <c r="AW157" s="1085">
        <v>2</v>
      </c>
      <c r="AX157" s="1085"/>
      <c r="AY157" s="1085"/>
      <c r="AZ157" s="1085">
        <v>1</v>
      </c>
      <c r="BA157" s="934">
        <f t="shared" si="115"/>
        <v>2</v>
      </c>
      <c r="BB157" s="1089">
        <f t="shared" si="116"/>
        <v>15.8</v>
      </c>
      <c r="BC157" s="1085"/>
      <c r="BD157" s="1085">
        <v>1</v>
      </c>
      <c r="BE157" s="1085"/>
      <c r="BF157" s="1085"/>
      <c r="BG157" s="1085">
        <f t="shared" si="117"/>
        <v>0</v>
      </c>
      <c r="BH157" s="1085">
        <f t="shared" si="118"/>
        <v>1</v>
      </c>
      <c r="BI157" s="1085">
        <f t="shared" si="119"/>
        <v>0</v>
      </c>
      <c r="BJ157" s="1085"/>
      <c r="BK157" s="1085">
        <v>2</v>
      </c>
      <c r="BL157" s="1085"/>
      <c r="BM157" s="1085"/>
      <c r="BN157" s="1085"/>
      <c r="BO157" s="1086">
        <f t="shared" ref="BO157:BO179" si="123">AD157</f>
        <v>2</v>
      </c>
      <c r="BP157" s="1086"/>
      <c r="BQ157" s="1086"/>
      <c r="BR157" s="1086"/>
      <c r="BS157" s="1086"/>
      <c r="BT157" s="1085">
        <v>2</v>
      </c>
      <c r="BU157" s="1085"/>
      <c r="BV157" s="1085">
        <v>1</v>
      </c>
      <c r="BW157" s="1085"/>
      <c r="BX157" s="1085"/>
      <c r="BY157" s="1085" t="s">
        <v>882</v>
      </c>
      <c r="CA157" s="1072"/>
    </row>
    <row r="158" spans="4:79" s="977" customFormat="1" ht="21.6">
      <c r="E158" s="1080" t="s">
        <v>615</v>
      </c>
      <c r="F158" s="1081" t="s">
        <v>80</v>
      </c>
      <c r="G158" s="1081" t="s">
        <v>80</v>
      </c>
      <c r="H158" s="1082">
        <v>73</v>
      </c>
      <c r="I158" s="1082">
        <f t="shared" ref="I158:I179" si="124">H158</f>
        <v>73</v>
      </c>
      <c r="J158" s="1082">
        <f t="shared" si="111"/>
        <v>73</v>
      </c>
      <c r="K158" s="1082"/>
      <c r="L158" s="1082">
        <f t="shared" si="112"/>
        <v>73</v>
      </c>
      <c r="M158" s="1182"/>
      <c r="N158" s="1083"/>
      <c r="O158" s="1084"/>
      <c r="P158" s="1085"/>
      <c r="Q158" s="1085"/>
      <c r="R158" s="1085"/>
      <c r="S158" s="1085"/>
      <c r="T158" s="1085"/>
      <c r="U158" s="1085"/>
      <c r="V158" s="1085">
        <f t="shared" si="114"/>
        <v>1</v>
      </c>
      <c r="W158" s="1085">
        <v>1</v>
      </c>
      <c r="X158" s="1085"/>
      <c r="Y158" s="1085"/>
      <c r="Z158" s="1085"/>
      <c r="AA158" s="1085"/>
      <c r="AB158" s="1085"/>
      <c r="AC158" s="1085"/>
      <c r="AD158" s="1086"/>
      <c r="AE158" s="1086"/>
      <c r="AF158" s="1086">
        <f t="shared" si="120"/>
        <v>0</v>
      </c>
      <c r="AG158" s="1086"/>
      <c r="AH158" s="1085"/>
      <c r="AI158" s="1085"/>
      <c r="AJ158" s="1087"/>
      <c r="AK158" s="1087"/>
      <c r="AL158" s="1087"/>
      <c r="AM158" s="1087">
        <v>1</v>
      </c>
      <c r="AN158" s="1071">
        <f t="shared" si="121"/>
        <v>1</v>
      </c>
      <c r="AO158" s="1071"/>
      <c r="AP158" s="1071"/>
      <c r="AQ158" s="1071"/>
      <c r="AR158" s="1071"/>
      <c r="AS158" s="1085"/>
      <c r="AT158" s="1085"/>
      <c r="AU158" s="1085">
        <f t="shared" si="122"/>
        <v>0</v>
      </c>
      <c r="AV158" s="1085"/>
      <c r="AW158" s="1085"/>
      <c r="AX158" s="1085">
        <v>1</v>
      </c>
      <c r="AY158" s="1085"/>
      <c r="AZ158" s="1085"/>
      <c r="BA158" s="934">
        <f t="shared" si="115"/>
        <v>0</v>
      </c>
      <c r="BB158" s="1089">
        <f t="shared" si="116"/>
        <v>73</v>
      </c>
      <c r="BC158" s="1085"/>
      <c r="BD158" s="1085"/>
      <c r="BE158" s="1085">
        <v>2</v>
      </c>
      <c r="BF158" s="1085"/>
      <c r="BG158" s="1085">
        <f t="shared" si="117"/>
        <v>0</v>
      </c>
      <c r="BH158" s="1085">
        <f t="shared" si="118"/>
        <v>0</v>
      </c>
      <c r="BI158" s="1085">
        <f t="shared" si="119"/>
        <v>0</v>
      </c>
      <c r="BJ158" s="1085"/>
      <c r="BK158" s="1085"/>
      <c r="BL158" s="1085">
        <v>1</v>
      </c>
      <c r="BM158" s="1085"/>
      <c r="BN158" s="1085"/>
      <c r="BO158" s="1086">
        <f t="shared" si="123"/>
        <v>0</v>
      </c>
      <c r="BP158" s="1086"/>
      <c r="BQ158" s="1086"/>
      <c r="BR158" s="1086"/>
      <c r="BS158" s="1086"/>
      <c r="BT158" s="1085"/>
      <c r="BU158" s="1085"/>
      <c r="BV158" s="1085"/>
      <c r="BW158" s="1085"/>
      <c r="BX158" s="1085"/>
      <c r="BY158" s="1085"/>
      <c r="CA158" s="1072"/>
    </row>
    <row r="159" spans="4:79" s="977" customFormat="1" ht="21.6">
      <c r="E159" s="1056" t="s">
        <v>616</v>
      </c>
      <c r="F159" s="1073" t="s">
        <v>80</v>
      </c>
      <c r="G159" s="1073" t="s">
        <v>80</v>
      </c>
      <c r="H159" s="1066">
        <v>72</v>
      </c>
      <c r="I159" s="1082">
        <f t="shared" si="124"/>
        <v>72</v>
      </c>
      <c r="J159" s="1082">
        <f t="shared" si="111"/>
        <v>72</v>
      </c>
      <c r="K159" s="1082"/>
      <c r="L159" s="1082">
        <f t="shared" si="112"/>
        <v>72</v>
      </c>
      <c r="M159" s="1178"/>
      <c r="N159" s="1057"/>
      <c r="O159" s="1058"/>
      <c r="P159" s="934"/>
      <c r="Q159" s="934"/>
      <c r="R159" s="934"/>
      <c r="S159" s="934"/>
      <c r="T159" s="934"/>
      <c r="U159" s="934"/>
      <c r="V159" s="1085">
        <f t="shared" si="114"/>
        <v>1</v>
      </c>
      <c r="W159" s="934">
        <v>1</v>
      </c>
      <c r="X159" s="934"/>
      <c r="Y159" s="934"/>
      <c r="Z159" s="934"/>
      <c r="AA159" s="934"/>
      <c r="AB159" s="934"/>
      <c r="AC159" s="934"/>
      <c r="AD159" s="1048"/>
      <c r="AE159" s="1048"/>
      <c r="AF159" s="1086">
        <f t="shared" si="120"/>
        <v>0</v>
      </c>
      <c r="AG159" s="1048"/>
      <c r="AH159" s="934"/>
      <c r="AI159" s="934"/>
      <c r="AJ159" s="1074"/>
      <c r="AK159" s="1074"/>
      <c r="AL159" s="1074"/>
      <c r="AM159" s="1074"/>
      <c r="AN159" s="1071">
        <f t="shared" si="121"/>
        <v>0</v>
      </c>
      <c r="AO159" s="1049"/>
      <c r="AP159" s="1049"/>
      <c r="AQ159" s="1049"/>
      <c r="AR159" s="1049"/>
      <c r="AS159" s="934"/>
      <c r="AT159" s="934"/>
      <c r="AU159" s="1085">
        <f t="shared" si="122"/>
        <v>0</v>
      </c>
      <c r="AV159" s="934"/>
      <c r="AW159" s="934"/>
      <c r="AX159" s="934">
        <v>1</v>
      </c>
      <c r="AY159" s="934"/>
      <c r="AZ159" s="934"/>
      <c r="BA159" s="934">
        <f t="shared" si="115"/>
        <v>0</v>
      </c>
      <c r="BB159" s="1089">
        <f t="shared" si="116"/>
        <v>72</v>
      </c>
      <c r="BC159" s="934"/>
      <c r="BD159" s="934"/>
      <c r="BE159" s="934">
        <v>2</v>
      </c>
      <c r="BF159" s="934"/>
      <c r="BG159" s="1085">
        <f t="shared" si="117"/>
        <v>0</v>
      </c>
      <c r="BH159" s="1085">
        <f t="shared" si="118"/>
        <v>0</v>
      </c>
      <c r="BI159" s="1085">
        <f t="shared" si="119"/>
        <v>0</v>
      </c>
      <c r="BJ159" s="934"/>
      <c r="BK159" s="934"/>
      <c r="BL159" s="934">
        <v>1</v>
      </c>
      <c r="BM159" s="934"/>
      <c r="BN159" s="934"/>
      <c r="BO159" s="1086">
        <f t="shared" si="123"/>
        <v>0</v>
      </c>
      <c r="BP159" s="1048"/>
      <c r="BQ159" s="1048"/>
      <c r="BR159" s="1048"/>
      <c r="BS159" s="1048"/>
      <c r="BT159" s="934"/>
      <c r="BU159" s="934"/>
      <c r="BV159" s="934"/>
      <c r="BW159" s="934"/>
      <c r="BX159" s="934"/>
      <c r="BY159" s="934"/>
      <c r="CA159" s="1072"/>
    </row>
    <row r="160" spans="4:79" s="977" customFormat="1" ht="21.6">
      <c r="E160" s="1056" t="s">
        <v>617</v>
      </c>
      <c r="F160" s="1073" t="s">
        <v>374</v>
      </c>
      <c r="G160" s="1073" t="s">
        <v>374</v>
      </c>
      <c r="H160" s="1066">
        <v>67</v>
      </c>
      <c r="I160" s="1082">
        <f t="shared" si="124"/>
        <v>67</v>
      </c>
      <c r="J160" s="1082">
        <f t="shared" si="111"/>
        <v>67</v>
      </c>
      <c r="K160" s="1082"/>
      <c r="L160" s="1082">
        <f t="shared" si="112"/>
        <v>67</v>
      </c>
      <c r="M160" s="1178"/>
      <c r="N160" s="1057"/>
      <c r="O160" s="1058"/>
      <c r="P160" s="934"/>
      <c r="Q160" s="934">
        <v>1</v>
      </c>
      <c r="R160" s="934"/>
      <c r="S160" s="934"/>
      <c r="T160" s="934"/>
      <c r="U160" s="934">
        <v>1</v>
      </c>
      <c r="V160" s="1085">
        <f t="shared" si="114"/>
        <v>0</v>
      </c>
      <c r="W160" s="934">
        <v>2</v>
      </c>
      <c r="X160" s="934"/>
      <c r="Y160" s="934"/>
      <c r="Z160" s="934"/>
      <c r="AA160" s="934">
        <v>1</v>
      </c>
      <c r="AB160" s="934"/>
      <c r="AC160" s="934"/>
      <c r="AD160" s="1048"/>
      <c r="AE160" s="1048"/>
      <c r="AF160" s="1086">
        <f t="shared" si="120"/>
        <v>0</v>
      </c>
      <c r="AG160" s="1048"/>
      <c r="AH160" s="934"/>
      <c r="AI160" s="934"/>
      <c r="AJ160" s="1074"/>
      <c r="AK160" s="1074"/>
      <c r="AL160" s="1074"/>
      <c r="AM160" s="1074"/>
      <c r="AN160" s="1071">
        <f t="shared" si="121"/>
        <v>0</v>
      </c>
      <c r="AO160" s="1049"/>
      <c r="AP160" s="1049"/>
      <c r="AQ160" s="1049"/>
      <c r="AR160" s="1049"/>
      <c r="AS160" s="934"/>
      <c r="AT160" s="934"/>
      <c r="AU160" s="1085">
        <f t="shared" si="122"/>
        <v>0</v>
      </c>
      <c r="AV160" s="934"/>
      <c r="AW160" s="934"/>
      <c r="AX160" s="934"/>
      <c r="AY160" s="934">
        <v>2</v>
      </c>
      <c r="AZ160" s="934"/>
      <c r="BA160" s="934">
        <f t="shared" si="115"/>
        <v>0</v>
      </c>
      <c r="BB160" s="1089">
        <f t="shared" si="116"/>
        <v>67</v>
      </c>
      <c r="BC160" s="934"/>
      <c r="BD160" s="934"/>
      <c r="BE160" s="934"/>
      <c r="BF160" s="934">
        <v>2</v>
      </c>
      <c r="BG160" s="1085">
        <f t="shared" si="117"/>
        <v>0</v>
      </c>
      <c r="BH160" s="1085">
        <f t="shared" si="118"/>
        <v>1</v>
      </c>
      <c r="BI160" s="1085">
        <f t="shared" si="119"/>
        <v>0</v>
      </c>
      <c r="BJ160" s="934"/>
      <c r="BK160" s="934"/>
      <c r="BL160" s="934">
        <v>2</v>
      </c>
      <c r="BM160" s="934"/>
      <c r="BN160" s="934"/>
      <c r="BO160" s="1086">
        <f t="shared" si="123"/>
        <v>0</v>
      </c>
      <c r="BP160" s="1048"/>
      <c r="BQ160" s="1048"/>
      <c r="BR160" s="1048"/>
      <c r="BS160" s="1048"/>
      <c r="BT160" s="934"/>
      <c r="BU160" s="934"/>
      <c r="BV160" s="934"/>
      <c r="BW160" s="934"/>
      <c r="BX160" s="934"/>
      <c r="BY160" s="934"/>
      <c r="CA160" s="1072"/>
    </row>
    <row r="161" spans="5:79" s="977" customFormat="1" ht="21.6">
      <c r="E161" s="1056" t="s">
        <v>618</v>
      </c>
      <c r="F161" s="1073" t="s">
        <v>374</v>
      </c>
      <c r="G161" s="1073" t="s">
        <v>374</v>
      </c>
      <c r="H161" s="1066">
        <v>67</v>
      </c>
      <c r="I161" s="1082">
        <f t="shared" si="124"/>
        <v>67</v>
      </c>
      <c r="J161" s="1082">
        <f t="shared" si="111"/>
        <v>67</v>
      </c>
      <c r="K161" s="1082"/>
      <c r="L161" s="1082">
        <f t="shared" si="112"/>
        <v>67</v>
      </c>
      <c r="M161" s="1178"/>
      <c r="N161" s="1057"/>
      <c r="O161" s="1058"/>
      <c r="P161" s="934"/>
      <c r="Q161" s="934">
        <v>1</v>
      </c>
      <c r="R161" s="934"/>
      <c r="S161" s="934"/>
      <c r="T161" s="934"/>
      <c r="U161" s="934"/>
      <c r="V161" s="1085">
        <f t="shared" si="114"/>
        <v>0</v>
      </c>
      <c r="W161" s="934">
        <v>2</v>
      </c>
      <c r="X161" s="934"/>
      <c r="Y161" s="934"/>
      <c r="Z161" s="934"/>
      <c r="AA161" s="934">
        <v>1</v>
      </c>
      <c r="AB161" s="934"/>
      <c r="AC161" s="934"/>
      <c r="AD161" s="1048"/>
      <c r="AE161" s="1048"/>
      <c r="AF161" s="1086">
        <f t="shared" si="120"/>
        <v>0</v>
      </c>
      <c r="AG161" s="1048"/>
      <c r="AH161" s="934"/>
      <c r="AI161" s="934"/>
      <c r="AJ161" s="1074"/>
      <c r="AK161" s="1074"/>
      <c r="AL161" s="1074"/>
      <c r="AM161" s="1074"/>
      <c r="AN161" s="1071">
        <f t="shared" si="121"/>
        <v>0</v>
      </c>
      <c r="AO161" s="1049"/>
      <c r="AP161" s="1049"/>
      <c r="AQ161" s="1049"/>
      <c r="AR161" s="1049"/>
      <c r="AS161" s="934"/>
      <c r="AT161" s="934"/>
      <c r="AU161" s="1085">
        <f t="shared" si="122"/>
        <v>0</v>
      </c>
      <c r="AV161" s="934"/>
      <c r="AW161" s="934"/>
      <c r="AX161" s="934"/>
      <c r="AY161" s="934">
        <v>2</v>
      </c>
      <c r="AZ161" s="934"/>
      <c r="BA161" s="934">
        <f t="shared" si="115"/>
        <v>0</v>
      </c>
      <c r="BB161" s="1089">
        <f t="shared" si="116"/>
        <v>67</v>
      </c>
      <c r="BC161" s="934"/>
      <c r="BD161" s="934"/>
      <c r="BE161" s="934"/>
      <c r="BF161" s="934">
        <v>2</v>
      </c>
      <c r="BG161" s="1085">
        <f t="shared" si="117"/>
        <v>0</v>
      </c>
      <c r="BH161" s="1085">
        <f t="shared" si="118"/>
        <v>1</v>
      </c>
      <c r="BI161" s="1085">
        <f t="shared" si="119"/>
        <v>0</v>
      </c>
      <c r="BJ161" s="934"/>
      <c r="BK161" s="934"/>
      <c r="BL161" s="934">
        <v>2</v>
      </c>
      <c r="BM161" s="934"/>
      <c r="BN161" s="934"/>
      <c r="BO161" s="1086">
        <f t="shared" si="123"/>
        <v>0</v>
      </c>
      <c r="BP161" s="1048"/>
      <c r="BQ161" s="1048"/>
      <c r="BR161" s="1048"/>
      <c r="BS161" s="1048"/>
      <c r="BT161" s="934"/>
      <c r="BU161" s="934"/>
      <c r="BV161" s="934"/>
      <c r="BW161" s="934"/>
      <c r="BX161" s="934"/>
      <c r="BY161" s="934"/>
      <c r="CA161" s="1072"/>
    </row>
    <row r="162" spans="5:79" s="977" customFormat="1" ht="21.6">
      <c r="E162" s="1056" t="s">
        <v>619</v>
      </c>
      <c r="F162" s="1073" t="s">
        <v>80</v>
      </c>
      <c r="G162" s="1073" t="s">
        <v>80</v>
      </c>
      <c r="H162" s="1066">
        <v>75.3</v>
      </c>
      <c r="I162" s="1082">
        <f t="shared" si="124"/>
        <v>75.3</v>
      </c>
      <c r="J162" s="1082">
        <f t="shared" si="111"/>
        <v>75.3</v>
      </c>
      <c r="K162" s="1082"/>
      <c r="L162" s="1082">
        <f t="shared" si="112"/>
        <v>75.3</v>
      </c>
      <c r="M162" s="1178"/>
      <c r="N162" s="1057"/>
      <c r="O162" s="1058"/>
      <c r="P162" s="934"/>
      <c r="Q162" s="934"/>
      <c r="R162" s="934"/>
      <c r="S162" s="934"/>
      <c r="T162" s="934"/>
      <c r="U162" s="934"/>
      <c r="V162" s="1085">
        <f t="shared" si="114"/>
        <v>1</v>
      </c>
      <c r="W162" s="934">
        <v>1</v>
      </c>
      <c r="X162" s="934"/>
      <c r="Y162" s="934"/>
      <c r="Z162" s="934"/>
      <c r="AA162" s="934"/>
      <c r="AB162" s="934"/>
      <c r="AC162" s="934"/>
      <c r="AD162" s="1048"/>
      <c r="AE162" s="1048"/>
      <c r="AF162" s="1086">
        <f t="shared" si="120"/>
        <v>0</v>
      </c>
      <c r="AG162" s="1048"/>
      <c r="AH162" s="934"/>
      <c r="AI162" s="934"/>
      <c r="AJ162" s="1074"/>
      <c r="AK162" s="1074"/>
      <c r="AL162" s="1074"/>
      <c r="AM162" s="1074"/>
      <c r="AN162" s="1071">
        <f t="shared" si="121"/>
        <v>0</v>
      </c>
      <c r="AO162" s="1049"/>
      <c r="AP162" s="1049"/>
      <c r="AQ162" s="1049"/>
      <c r="AR162" s="1049"/>
      <c r="AS162" s="934"/>
      <c r="AT162" s="934"/>
      <c r="AU162" s="1085">
        <f t="shared" si="122"/>
        <v>0</v>
      </c>
      <c r="AV162" s="934"/>
      <c r="AW162" s="934"/>
      <c r="AX162" s="934">
        <v>1</v>
      </c>
      <c r="AY162" s="934"/>
      <c r="AZ162" s="934"/>
      <c r="BA162" s="934">
        <f t="shared" si="115"/>
        <v>0</v>
      </c>
      <c r="BB162" s="1089">
        <f t="shared" si="116"/>
        <v>75.3</v>
      </c>
      <c r="BC162" s="934"/>
      <c r="BD162" s="934"/>
      <c r="BE162" s="934">
        <v>2</v>
      </c>
      <c r="BF162" s="934"/>
      <c r="BG162" s="1085">
        <f t="shared" si="117"/>
        <v>0</v>
      </c>
      <c r="BH162" s="1085">
        <f t="shared" si="118"/>
        <v>0</v>
      </c>
      <c r="BI162" s="1085">
        <f t="shared" si="119"/>
        <v>0</v>
      </c>
      <c r="BJ162" s="934"/>
      <c r="BK162" s="934"/>
      <c r="BL162" s="934">
        <v>1</v>
      </c>
      <c r="BM162" s="934"/>
      <c r="BN162" s="934"/>
      <c r="BO162" s="1086">
        <f t="shared" si="123"/>
        <v>0</v>
      </c>
      <c r="BP162" s="1048"/>
      <c r="BQ162" s="1048"/>
      <c r="BR162" s="1048"/>
      <c r="BS162" s="1048"/>
      <c r="BT162" s="934"/>
      <c r="BU162" s="934"/>
      <c r="BV162" s="934"/>
      <c r="BW162" s="934"/>
      <c r="BX162" s="934"/>
      <c r="BY162" s="934"/>
      <c r="CA162" s="1072"/>
    </row>
    <row r="163" spans="5:79" s="977" customFormat="1" ht="24" customHeight="1">
      <c r="E163" s="1056" t="s">
        <v>620</v>
      </c>
      <c r="F163" s="1073" t="s">
        <v>80</v>
      </c>
      <c r="G163" s="1073" t="s">
        <v>80</v>
      </c>
      <c r="H163" s="1066">
        <v>76</v>
      </c>
      <c r="I163" s="1082">
        <f t="shared" si="124"/>
        <v>76</v>
      </c>
      <c r="J163" s="1082">
        <f t="shared" si="111"/>
        <v>76</v>
      </c>
      <c r="K163" s="1082"/>
      <c r="L163" s="1082">
        <f t="shared" si="112"/>
        <v>76</v>
      </c>
      <c r="M163" s="1178"/>
      <c r="N163" s="1057"/>
      <c r="O163" s="1058"/>
      <c r="P163" s="934"/>
      <c r="Q163" s="934"/>
      <c r="R163" s="934"/>
      <c r="S163" s="934"/>
      <c r="T163" s="934"/>
      <c r="U163" s="934"/>
      <c r="V163" s="1085">
        <f t="shared" si="114"/>
        <v>1</v>
      </c>
      <c r="W163" s="934">
        <v>1</v>
      </c>
      <c r="X163" s="934"/>
      <c r="Y163" s="934"/>
      <c r="Z163" s="934"/>
      <c r="AA163" s="934"/>
      <c r="AB163" s="934"/>
      <c r="AC163" s="934"/>
      <c r="AD163" s="1048"/>
      <c r="AE163" s="1048"/>
      <c r="AF163" s="1086">
        <f t="shared" si="120"/>
        <v>0</v>
      </c>
      <c r="AG163" s="1048"/>
      <c r="AH163" s="934"/>
      <c r="AI163" s="934"/>
      <c r="AJ163" s="1074"/>
      <c r="AK163" s="1074"/>
      <c r="AL163" s="1074"/>
      <c r="AM163" s="1074"/>
      <c r="AN163" s="1071">
        <f t="shared" si="121"/>
        <v>0</v>
      </c>
      <c r="AO163" s="1049"/>
      <c r="AP163" s="1049"/>
      <c r="AQ163" s="1049"/>
      <c r="AR163" s="1049"/>
      <c r="AS163" s="934"/>
      <c r="AT163" s="934"/>
      <c r="AU163" s="1085">
        <f t="shared" si="122"/>
        <v>0</v>
      </c>
      <c r="AV163" s="934"/>
      <c r="AW163" s="934"/>
      <c r="AX163" s="934">
        <v>1</v>
      </c>
      <c r="AY163" s="934"/>
      <c r="AZ163" s="934"/>
      <c r="BA163" s="934">
        <f t="shared" si="115"/>
        <v>0</v>
      </c>
      <c r="BB163" s="1089">
        <f t="shared" si="116"/>
        <v>76</v>
      </c>
      <c r="BC163" s="934"/>
      <c r="BD163" s="934"/>
      <c r="BE163" s="934">
        <v>2</v>
      </c>
      <c r="BF163" s="934"/>
      <c r="BG163" s="1085">
        <f t="shared" si="117"/>
        <v>0</v>
      </c>
      <c r="BH163" s="1085">
        <f t="shared" si="118"/>
        <v>0</v>
      </c>
      <c r="BI163" s="1085">
        <f t="shared" si="119"/>
        <v>0</v>
      </c>
      <c r="BJ163" s="934"/>
      <c r="BK163" s="934"/>
      <c r="BL163" s="934">
        <v>1</v>
      </c>
      <c r="BM163" s="934"/>
      <c r="BN163" s="934"/>
      <c r="BO163" s="1086">
        <f t="shared" si="123"/>
        <v>0</v>
      </c>
      <c r="BP163" s="1048"/>
      <c r="BQ163" s="1048"/>
      <c r="BR163" s="1048"/>
      <c r="BS163" s="1048"/>
      <c r="BT163" s="934"/>
      <c r="BU163" s="934"/>
      <c r="BV163" s="934"/>
      <c r="BW163" s="934"/>
      <c r="BX163" s="934"/>
      <c r="BY163" s="934"/>
      <c r="CA163" s="1072"/>
    </row>
    <row r="164" spans="5:79" s="977" customFormat="1" ht="21.6">
      <c r="E164" s="1056" t="s">
        <v>621</v>
      </c>
      <c r="F164" s="1073" t="s">
        <v>374</v>
      </c>
      <c r="G164" s="1073" t="s">
        <v>80</v>
      </c>
      <c r="H164" s="1066">
        <v>76.5</v>
      </c>
      <c r="I164" s="1082">
        <f t="shared" si="124"/>
        <v>76.5</v>
      </c>
      <c r="J164" s="1082">
        <f t="shared" si="111"/>
        <v>76.5</v>
      </c>
      <c r="K164" s="1082"/>
      <c r="L164" s="1082">
        <f t="shared" si="112"/>
        <v>76.5</v>
      </c>
      <c r="M164" s="1178"/>
      <c r="N164" s="1057"/>
      <c r="O164" s="1058"/>
      <c r="P164" s="934"/>
      <c r="Q164" s="934"/>
      <c r="R164" s="934"/>
      <c r="S164" s="934"/>
      <c r="T164" s="934"/>
      <c r="U164" s="934"/>
      <c r="V164" s="1085">
        <v>1</v>
      </c>
      <c r="W164" s="934">
        <v>1</v>
      </c>
      <c r="X164" s="934"/>
      <c r="Y164" s="934"/>
      <c r="Z164" s="934"/>
      <c r="AA164" s="934"/>
      <c r="AB164" s="934"/>
      <c r="AC164" s="934">
        <v>2</v>
      </c>
      <c r="AD164" s="1048"/>
      <c r="AE164" s="1048"/>
      <c r="AF164" s="1086">
        <f t="shared" si="120"/>
        <v>0</v>
      </c>
      <c r="AG164" s="1048"/>
      <c r="AH164" s="934"/>
      <c r="AI164" s="934"/>
      <c r="AJ164" s="1074"/>
      <c r="AK164" s="1074"/>
      <c r="AL164" s="1074"/>
      <c r="AM164" s="1074"/>
      <c r="AN164" s="1071">
        <f t="shared" si="121"/>
        <v>0</v>
      </c>
      <c r="AO164" s="1049"/>
      <c r="AP164" s="1049"/>
      <c r="AQ164" s="1049"/>
      <c r="AR164" s="1049"/>
      <c r="AS164" s="934">
        <v>1</v>
      </c>
      <c r="AT164" s="934"/>
      <c r="AU164" s="1085">
        <f t="shared" si="122"/>
        <v>1</v>
      </c>
      <c r="AV164" s="934"/>
      <c r="AW164" s="934"/>
      <c r="AX164" s="934">
        <v>1</v>
      </c>
      <c r="AY164" s="934"/>
      <c r="AZ164" s="934"/>
      <c r="BA164" s="934">
        <f t="shared" si="115"/>
        <v>0</v>
      </c>
      <c r="BB164" s="1089">
        <f t="shared" si="116"/>
        <v>76.5</v>
      </c>
      <c r="BC164" s="934"/>
      <c r="BD164" s="934"/>
      <c r="BE164" s="934"/>
      <c r="BF164" s="934">
        <v>2</v>
      </c>
      <c r="BG164" s="1085">
        <f t="shared" si="117"/>
        <v>0</v>
      </c>
      <c r="BH164" s="1085">
        <f t="shared" si="118"/>
        <v>0</v>
      </c>
      <c r="BI164" s="1085">
        <f t="shared" si="119"/>
        <v>0</v>
      </c>
      <c r="BJ164" s="934"/>
      <c r="BK164" s="934"/>
      <c r="BL164" s="934">
        <v>2</v>
      </c>
      <c r="BM164" s="934"/>
      <c r="BN164" s="934">
        <v>1</v>
      </c>
      <c r="BO164" s="1086">
        <f t="shared" si="123"/>
        <v>0</v>
      </c>
      <c r="BP164" s="1048"/>
      <c r="BQ164" s="1048"/>
      <c r="BR164" s="1048"/>
      <c r="BS164" s="1048"/>
      <c r="BT164" s="934"/>
      <c r="BU164" s="934"/>
      <c r="BV164" s="934"/>
      <c r="BW164" s="934"/>
      <c r="BX164" s="934"/>
      <c r="BY164" s="934" t="s">
        <v>883</v>
      </c>
      <c r="CA164" s="1072"/>
    </row>
    <row r="165" spans="5:79" s="977" customFormat="1" ht="21.6">
      <c r="E165" s="1056" t="s">
        <v>622</v>
      </c>
      <c r="F165" s="1073" t="s">
        <v>80</v>
      </c>
      <c r="G165" s="1073" t="s">
        <v>80</v>
      </c>
      <c r="H165" s="1066">
        <v>74</v>
      </c>
      <c r="I165" s="1082">
        <f t="shared" si="124"/>
        <v>74</v>
      </c>
      <c r="J165" s="1082">
        <f t="shared" si="111"/>
        <v>74</v>
      </c>
      <c r="K165" s="1082">
        <f t="shared" ref="K165:K179" si="125">I165</f>
        <v>74</v>
      </c>
      <c r="L165" s="1082">
        <f t="shared" si="112"/>
        <v>74</v>
      </c>
      <c r="M165" s="1178"/>
      <c r="N165" s="1057"/>
      <c r="O165" s="1058">
        <f>N165+M165</f>
        <v>0</v>
      </c>
      <c r="P165" s="934"/>
      <c r="Q165" s="934"/>
      <c r="R165" s="934"/>
      <c r="S165" s="934"/>
      <c r="T165" s="934">
        <f t="shared" ref="T165:T175" si="126">R165</f>
        <v>0</v>
      </c>
      <c r="U165" s="934"/>
      <c r="V165" s="1085">
        <v>1</v>
      </c>
      <c r="W165" s="934">
        <v>1</v>
      </c>
      <c r="X165" s="934"/>
      <c r="Y165" s="934"/>
      <c r="Z165" s="934"/>
      <c r="AA165" s="934"/>
      <c r="AB165" s="934">
        <v>1</v>
      </c>
      <c r="AC165" s="934"/>
      <c r="AD165" s="1048"/>
      <c r="AE165" s="1048"/>
      <c r="AF165" s="1086">
        <f t="shared" si="120"/>
        <v>0</v>
      </c>
      <c r="AG165" s="1048"/>
      <c r="AH165" s="934"/>
      <c r="AI165" s="934"/>
      <c r="AJ165" s="1074"/>
      <c r="AK165" s="1074"/>
      <c r="AL165" s="1074"/>
      <c r="AM165" s="1074"/>
      <c r="AN165" s="1071">
        <f t="shared" si="121"/>
        <v>0</v>
      </c>
      <c r="AO165" s="1049"/>
      <c r="AP165" s="1049"/>
      <c r="AQ165" s="1049"/>
      <c r="AR165" s="1049"/>
      <c r="AS165" s="934"/>
      <c r="AT165" s="934"/>
      <c r="AU165" s="1085">
        <f t="shared" si="122"/>
        <v>0</v>
      </c>
      <c r="AV165" s="934"/>
      <c r="AW165" s="934"/>
      <c r="AX165" s="934">
        <v>1</v>
      </c>
      <c r="AY165" s="934"/>
      <c r="AZ165" s="934"/>
      <c r="BA165" s="934">
        <f t="shared" si="115"/>
        <v>0</v>
      </c>
      <c r="BB165" s="1089"/>
      <c r="BC165" s="934"/>
      <c r="BD165" s="934"/>
      <c r="BE165" s="934">
        <v>2</v>
      </c>
      <c r="BF165" s="934"/>
      <c r="BG165" s="1085">
        <f t="shared" si="117"/>
        <v>0</v>
      </c>
      <c r="BH165" s="1085">
        <f t="shared" si="118"/>
        <v>0</v>
      </c>
      <c r="BI165" s="1085">
        <f t="shared" si="119"/>
        <v>0</v>
      </c>
      <c r="BJ165" s="934"/>
      <c r="BK165" s="934"/>
      <c r="BL165" s="934">
        <v>1</v>
      </c>
      <c r="BM165" s="934"/>
      <c r="BN165" s="934"/>
      <c r="BO165" s="1086">
        <f t="shared" si="123"/>
        <v>0</v>
      </c>
      <c r="BP165" s="1048"/>
      <c r="BQ165" s="1048"/>
      <c r="BR165" s="1048"/>
      <c r="BS165" s="1048"/>
      <c r="BT165" s="934"/>
      <c r="BU165" s="934"/>
      <c r="BV165" s="934"/>
      <c r="BW165" s="934"/>
      <c r="BX165" s="934"/>
      <c r="BY165" s="1076"/>
      <c r="BZ165" s="1077"/>
      <c r="CA165" s="1072"/>
    </row>
    <row r="166" spans="5:79" s="977" customFormat="1" ht="21.6">
      <c r="E166" s="1056" t="s">
        <v>623</v>
      </c>
      <c r="F166" s="1073" t="s">
        <v>80</v>
      </c>
      <c r="G166" s="1073" t="s">
        <v>80</v>
      </c>
      <c r="H166" s="1066">
        <v>59</v>
      </c>
      <c r="I166" s="1082">
        <f t="shared" si="124"/>
        <v>59</v>
      </c>
      <c r="J166" s="1082">
        <f t="shared" si="111"/>
        <v>59</v>
      </c>
      <c r="K166" s="1082">
        <f t="shared" si="125"/>
        <v>59</v>
      </c>
      <c r="L166" s="1082">
        <f t="shared" si="112"/>
        <v>59</v>
      </c>
      <c r="M166" s="1203"/>
      <c r="N166" s="1057"/>
      <c r="O166" s="1058">
        <f>N166+M166</f>
        <v>0</v>
      </c>
      <c r="P166" s="934"/>
      <c r="Q166" s="934"/>
      <c r="R166" s="934"/>
      <c r="S166" s="934"/>
      <c r="T166" s="934">
        <f t="shared" si="126"/>
        <v>0</v>
      </c>
      <c r="U166" s="934"/>
      <c r="V166" s="1085">
        <f>IF(F166="I",1,0)</f>
        <v>1</v>
      </c>
      <c r="W166" s="934">
        <v>1</v>
      </c>
      <c r="X166" s="934"/>
      <c r="Y166" s="934"/>
      <c r="Z166" s="934"/>
      <c r="AA166" s="934"/>
      <c r="AB166" s="934">
        <v>1</v>
      </c>
      <c r="AC166" s="934"/>
      <c r="AD166" s="1048"/>
      <c r="AE166" s="1048"/>
      <c r="AF166" s="1086">
        <f t="shared" si="120"/>
        <v>0</v>
      </c>
      <c r="AG166" s="1048"/>
      <c r="AH166" s="934"/>
      <c r="AI166" s="934"/>
      <c r="AJ166" s="1074">
        <v>1</v>
      </c>
      <c r="AK166" s="1074">
        <v>1</v>
      </c>
      <c r="AL166" s="1074"/>
      <c r="AM166" s="1074"/>
      <c r="AN166" s="1071">
        <f t="shared" si="121"/>
        <v>1</v>
      </c>
      <c r="AO166" s="1049"/>
      <c r="AP166" s="1049">
        <v>1</v>
      </c>
      <c r="AQ166" s="1049"/>
      <c r="AR166" s="1049"/>
      <c r="AS166" s="934"/>
      <c r="AT166" s="934"/>
      <c r="AU166" s="1085">
        <f t="shared" si="122"/>
        <v>0</v>
      </c>
      <c r="AV166" s="934">
        <v>2</v>
      </c>
      <c r="AW166" s="934"/>
      <c r="AX166" s="934">
        <v>1</v>
      </c>
      <c r="AY166" s="934"/>
      <c r="AZ166" s="934"/>
      <c r="BA166" s="934">
        <f t="shared" si="115"/>
        <v>0</v>
      </c>
      <c r="BB166" s="1089"/>
      <c r="BC166" s="934"/>
      <c r="BD166" s="934"/>
      <c r="BE166" s="934">
        <v>2</v>
      </c>
      <c r="BF166" s="934"/>
      <c r="BG166" s="1085">
        <f t="shared" si="117"/>
        <v>0</v>
      </c>
      <c r="BH166" s="1085">
        <f t="shared" si="118"/>
        <v>0</v>
      </c>
      <c r="BI166" s="1085">
        <f t="shared" si="119"/>
        <v>0</v>
      </c>
      <c r="BJ166" s="934"/>
      <c r="BK166" s="934"/>
      <c r="BL166" s="934">
        <v>1</v>
      </c>
      <c r="BM166" s="934"/>
      <c r="BN166" s="934"/>
      <c r="BO166" s="1086">
        <f t="shared" si="123"/>
        <v>0</v>
      </c>
      <c r="BP166" s="1048"/>
      <c r="BQ166" s="1048"/>
      <c r="BR166" s="1048"/>
      <c r="BS166" s="1048">
        <v>1</v>
      </c>
      <c r="BT166" s="934">
        <v>1</v>
      </c>
      <c r="BU166" s="934"/>
      <c r="BV166" s="934"/>
      <c r="BW166" s="934"/>
      <c r="BX166" s="934"/>
      <c r="BY166" s="934" t="s">
        <v>884</v>
      </c>
      <c r="CA166" s="1072"/>
    </row>
    <row r="167" spans="5:79" s="1187" customFormat="1" ht="21.6">
      <c r="E167" s="1189" t="s">
        <v>812</v>
      </c>
      <c r="F167" s="1190"/>
      <c r="G167" s="1190" t="s">
        <v>80</v>
      </c>
      <c r="H167" s="1191">
        <v>40.1</v>
      </c>
      <c r="I167" s="1204">
        <f t="shared" si="124"/>
        <v>40.1</v>
      </c>
      <c r="J167" s="1204">
        <f t="shared" si="111"/>
        <v>40.1</v>
      </c>
      <c r="K167" s="1082">
        <f t="shared" si="125"/>
        <v>40.1</v>
      </c>
      <c r="L167" s="1204">
        <f t="shared" si="112"/>
        <v>40.1</v>
      </c>
      <c r="M167" s="1178">
        <v>1</v>
      </c>
      <c r="N167" s="1178"/>
      <c r="O167" s="1194">
        <f>N167+M167</f>
        <v>1</v>
      </c>
      <c r="P167" s="1195"/>
      <c r="Q167" s="1195"/>
      <c r="R167" s="1195"/>
      <c r="S167" s="1195"/>
      <c r="T167" s="1195">
        <f t="shared" ref="T167" si="127">R167</f>
        <v>0</v>
      </c>
      <c r="U167" s="1195">
        <v>1</v>
      </c>
      <c r="V167" s="1085">
        <f>IF(F167="I",1,0)</f>
        <v>0</v>
      </c>
      <c r="W167" s="1195"/>
      <c r="X167" s="1195">
        <v>1</v>
      </c>
      <c r="Y167" s="1195"/>
      <c r="Z167" s="1195"/>
      <c r="AA167" s="1195"/>
      <c r="AB167" s="1195">
        <v>1</v>
      </c>
      <c r="AC167" s="1195">
        <f>IF(G167="DT",1,IF(G167="2DT",2,IF(G167="2DT-90",2,0)))</f>
        <v>0</v>
      </c>
      <c r="AD167" s="1196">
        <f>IF(G167="2DT",6,IF(G167="2DT-90",6,IF(G167="DT",3,0)))</f>
        <v>0</v>
      </c>
      <c r="AE167" s="1196"/>
      <c r="AF167" s="1086">
        <f t="shared" si="120"/>
        <v>0</v>
      </c>
      <c r="AG167" s="1196"/>
      <c r="AH167" s="1195"/>
      <c r="AI167" s="1195"/>
      <c r="AJ167" s="1197"/>
      <c r="AK167" s="1197">
        <f t="shared" ref="AK167" si="128">AJ167</f>
        <v>0</v>
      </c>
      <c r="AL167" s="1197"/>
      <c r="AM167" s="1197"/>
      <c r="AN167" s="1071">
        <f t="shared" si="121"/>
        <v>0</v>
      </c>
      <c r="AO167" s="1193"/>
      <c r="AP167" s="1193"/>
      <c r="AQ167" s="1193"/>
      <c r="AR167" s="1193"/>
      <c r="AS167" s="1195"/>
      <c r="AT167" s="1195"/>
      <c r="AU167" s="1085">
        <f t="shared" si="122"/>
        <v>0</v>
      </c>
      <c r="AV167" s="1195"/>
      <c r="AW167" s="1195"/>
      <c r="AX167" s="1195">
        <v>1</v>
      </c>
      <c r="AY167" s="1195"/>
      <c r="AZ167" s="1195"/>
      <c r="BA167" s="934">
        <f t="shared" si="115"/>
        <v>0</v>
      </c>
      <c r="BB167" s="1089"/>
      <c r="BC167" s="1195"/>
      <c r="BD167" s="1195"/>
      <c r="BE167" s="1195"/>
      <c r="BF167" s="1195"/>
      <c r="BG167" s="1085">
        <f t="shared" si="117"/>
        <v>0</v>
      </c>
      <c r="BH167" s="1085">
        <f t="shared" si="118"/>
        <v>0</v>
      </c>
      <c r="BI167" s="1085">
        <f t="shared" si="119"/>
        <v>0</v>
      </c>
      <c r="BJ167" s="1195"/>
      <c r="BK167" s="1195"/>
      <c r="BL167" s="1195"/>
      <c r="BM167" s="1195"/>
      <c r="BN167" s="1195"/>
      <c r="BO167" s="1086">
        <f t="shared" si="123"/>
        <v>0</v>
      </c>
      <c r="BP167" s="1196"/>
      <c r="BQ167" s="1196"/>
      <c r="BR167" s="1196"/>
      <c r="BS167" s="1196"/>
      <c r="BT167" s="1195"/>
      <c r="BU167" s="1195"/>
      <c r="BV167" s="1195"/>
      <c r="BW167" s="1195"/>
      <c r="BX167" s="1195"/>
      <c r="BY167" s="1195"/>
      <c r="BZ167" s="1202"/>
      <c r="CA167" s="1200"/>
    </row>
    <row r="168" spans="5:79" s="977" customFormat="1" ht="21.6">
      <c r="E168" s="1056" t="s">
        <v>624</v>
      </c>
      <c r="F168" s="1073" t="s">
        <v>374</v>
      </c>
      <c r="G168" s="1073" t="s">
        <v>374</v>
      </c>
      <c r="H168" s="1066">
        <v>40.1</v>
      </c>
      <c r="I168" s="1082">
        <f t="shared" si="124"/>
        <v>40.1</v>
      </c>
      <c r="J168" s="1082">
        <f t="shared" si="111"/>
        <v>40.1</v>
      </c>
      <c r="K168" s="1082">
        <f t="shared" si="125"/>
        <v>40.1</v>
      </c>
      <c r="L168" s="1082">
        <f t="shared" si="112"/>
        <v>40.1</v>
      </c>
      <c r="M168" s="1178"/>
      <c r="N168" s="1057"/>
      <c r="O168" s="1058"/>
      <c r="P168" s="934"/>
      <c r="Q168" s="934">
        <v>1</v>
      </c>
      <c r="R168" s="934"/>
      <c r="S168" s="934"/>
      <c r="T168" s="934"/>
      <c r="U168" s="934"/>
      <c r="V168" s="1085">
        <f>IF(F168="I",1,0)</f>
        <v>0</v>
      </c>
      <c r="W168" s="934">
        <v>2</v>
      </c>
      <c r="X168" s="934"/>
      <c r="Y168" s="934"/>
      <c r="Z168" s="934"/>
      <c r="AA168" s="934">
        <v>1</v>
      </c>
      <c r="AB168" s="934">
        <v>1</v>
      </c>
      <c r="AC168" s="934"/>
      <c r="AD168" s="1048"/>
      <c r="AE168" s="1048"/>
      <c r="AF168" s="1086">
        <f t="shared" si="120"/>
        <v>0</v>
      </c>
      <c r="AG168" s="1048"/>
      <c r="AH168" s="934"/>
      <c r="AI168" s="934"/>
      <c r="AJ168" s="1074"/>
      <c r="AK168" s="1074"/>
      <c r="AL168" s="1074"/>
      <c r="AM168" s="1074"/>
      <c r="AN168" s="1071">
        <f t="shared" si="121"/>
        <v>0</v>
      </c>
      <c r="AO168" s="1049"/>
      <c r="AP168" s="1049"/>
      <c r="AQ168" s="1049"/>
      <c r="AR168" s="1049"/>
      <c r="AS168" s="934"/>
      <c r="AT168" s="934"/>
      <c r="AU168" s="1085">
        <f t="shared" si="122"/>
        <v>0</v>
      </c>
      <c r="AV168" s="934"/>
      <c r="AW168" s="934"/>
      <c r="AX168" s="934"/>
      <c r="AY168" s="934">
        <v>2</v>
      </c>
      <c r="AZ168" s="934"/>
      <c r="BA168" s="934">
        <f t="shared" si="115"/>
        <v>0</v>
      </c>
      <c r="BB168" s="1089"/>
      <c r="BC168" s="934"/>
      <c r="BD168" s="934"/>
      <c r="BE168" s="934"/>
      <c r="BF168" s="934">
        <v>2</v>
      </c>
      <c r="BG168" s="1085">
        <f t="shared" si="117"/>
        <v>0</v>
      </c>
      <c r="BH168" s="1085">
        <f t="shared" si="118"/>
        <v>1</v>
      </c>
      <c r="BI168" s="1085">
        <f t="shared" si="119"/>
        <v>0</v>
      </c>
      <c r="BJ168" s="934"/>
      <c r="BK168" s="934"/>
      <c r="BL168" s="934">
        <v>2</v>
      </c>
      <c r="BM168" s="934"/>
      <c r="BN168" s="934"/>
      <c r="BO168" s="1086">
        <f t="shared" si="123"/>
        <v>0</v>
      </c>
      <c r="BP168" s="1048"/>
      <c r="BQ168" s="1048"/>
      <c r="BR168" s="1048"/>
      <c r="BS168" s="1048"/>
      <c r="BT168" s="934"/>
      <c r="BU168" s="934"/>
      <c r="BV168" s="934"/>
      <c r="BW168" s="934"/>
      <c r="BX168" s="934"/>
      <c r="BY168" s="934"/>
      <c r="CA168" s="1072"/>
    </row>
    <row r="169" spans="5:79" s="977" customFormat="1" ht="21.6">
      <c r="E169" s="1056" t="s">
        <v>625</v>
      </c>
      <c r="F169" s="1073" t="s">
        <v>374</v>
      </c>
      <c r="G169" s="1073" t="s">
        <v>374</v>
      </c>
      <c r="H169" s="1066">
        <v>49.5</v>
      </c>
      <c r="I169" s="1082">
        <f t="shared" si="124"/>
        <v>49.5</v>
      </c>
      <c r="J169" s="1082">
        <f t="shared" si="111"/>
        <v>49.5</v>
      </c>
      <c r="K169" s="1082">
        <f t="shared" si="125"/>
        <v>49.5</v>
      </c>
      <c r="L169" s="1082">
        <f t="shared" si="112"/>
        <v>49.5</v>
      </c>
      <c r="M169" s="1178"/>
      <c r="N169" s="1057"/>
      <c r="O169" s="1058"/>
      <c r="P169" s="934"/>
      <c r="Q169" s="934">
        <v>1</v>
      </c>
      <c r="R169" s="934"/>
      <c r="S169" s="934"/>
      <c r="T169" s="934"/>
      <c r="U169" s="934"/>
      <c r="V169" s="1085">
        <f>IF(F169="I",1,0)</f>
        <v>0</v>
      </c>
      <c r="W169" s="934">
        <v>2</v>
      </c>
      <c r="X169" s="934"/>
      <c r="Y169" s="934"/>
      <c r="Z169" s="934"/>
      <c r="AA169" s="934">
        <v>1</v>
      </c>
      <c r="AB169" s="934">
        <v>1</v>
      </c>
      <c r="AC169" s="934"/>
      <c r="AD169" s="1048"/>
      <c r="AE169" s="1048"/>
      <c r="AF169" s="1086">
        <f t="shared" si="120"/>
        <v>0</v>
      </c>
      <c r="AG169" s="1048"/>
      <c r="AH169" s="934"/>
      <c r="AI169" s="934"/>
      <c r="AJ169" s="1074"/>
      <c r="AK169" s="1074"/>
      <c r="AL169" s="1074"/>
      <c r="AM169" s="1074"/>
      <c r="AN169" s="1071">
        <f t="shared" si="121"/>
        <v>0</v>
      </c>
      <c r="AO169" s="1049"/>
      <c r="AP169" s="1049"/>
      <c r="AQ169" s="1049"/>
      <c r="AR169" s="1049"/>
      <c r="AS169" s="934"/>
      <c r="AT169" s="934"/>
      <c r="AU169" s="1085">
        <f t="shared" si="122"/>
        <v>0</v>
      </c>
      <c r="AV169" s="934"/>
      <c r="AW169" s="934"/>
      <c r="AX169" s="934"/>
      <c r="AY169" s="934">
        <v>2</v>
      </c>
      <c r="AZ169" s="934"/>
      <c r="BA169" s="934">
        <f t="shared" si="115"/>
        <v>0</v>
      </c>
      <c r="BB169" s="1089"/>
      <c r="BC169" s="934"/>
      <c r="BD169" s="934"/>
      <c r="BE169" s="934"/>
      <c r="BF169" s="934">
        <v>2</v>
      </c>
      <c r="BG169" s="1085">
        <f t="shared" si="117"/>
        <v>0</v>
      </c>
      <c r="BH169" s="1085">
        <f t="shared" si="118"/>
        <v>1</v>
      </c>
      <c r="BI169" s="1085">
        <f t="shared" si="119"/>
        <v>0</v>
      </c>
      <c r="BJ169" s="934"/>
      <c r="BK169" s="934"/>
      <c r="BL169" s="934">
        <v>2</v>
      </c>
      <c r="BM169" s="934"/>
      <c r="BN169" s="934"/>
      <c r="BO169" s="1086">
        <f t="shared" si="123"/>
        <v>0</v>
      </c>
      <c r="BP169" s="1048"/>
      <c r="BQ169" s="1048"/>
      <c r="BR169" s="1048"/>
      <c r="BS169" s="1048"/>
      <c r="BT169" s="934"/>
      <c r="BU169" s="934"/>
      <c r="BV169" s="934"/>
      <c r="BW169" s="934"/>
      <c r="BX169" s="934"/>
      <c r="BY169" s="934"/>
      <c r="CA169" s="1072"/>
    </row>
    <row r="170" spans="5:79" s="977" customFormat="1" ht="21.6">
      <c r="E170" s="1056" t="s">
        <v>626</v>
      </c>
      <c r="F170" s="1073" t="s">
        <v>80</v>
      </c>
      <c r="G170" s="1073" t="s">
        <v>80</v>
      </c>
      <c r="H170" s="1066">
        <v>59.9</v>
      </c>
      <c r="I170" s="1082">
        <f t="shared" si="124"/>
        <v>59.9</v>
      </c>
      <c r="J170" s="1082">
        <f t="shared" si="111"/>
        <v>59.9</v>
      </c>
      <c r="K170" s="1082">
        <f t="shared" si="125"/>
        <v>59.9</v>
      </c>
      <c r="L170" s="1082">
        <f t="shared" si="112"/>
        <v>59.9</v>
      </c>
      <c r="M170" s="1178"/>
      <c r="N170" s="1057"/>
      <c r="O170" s="1058"/>
      <c r="P170" s="934"/>
      <c r="Q170" s="934"/>
      <c r="R170" s="934"/>
      <c r="S170" s="934"/>
      <c r="T170" s="934"/>
      <c r="U170" s="934"/>
      <c r="V170" s="1085">
        <f>IF(F170="I",1,0)</f>
        <v>1</v>
      </c>
      <c r="W170" s="934">
        <v>1</v>
      </c>
      <c r="X170" s="934"/>
      <c r="Y170" s="934"/>
      <c r="Z170" s="934"/>
      <c r="AA170" s="934"/>
      <c r="AB170" s="934">
        <v>1</v>
      </c>
      <c r="AC170" s="934"/>
      <c r="AD170" s="1048"/>
      <c r="AE170" s="1048"/>
      <c r="AF170" s="1086">
        <f t="shared" si="120"/>
        <v>0</v>
      </c>
      <c r="AG170" s="1048"/>
      <c r="AH170" s="934"/>
      <c r="AI170" s="934"/>
      <c r="AJ170" s="1074"/>
      <c r="AK170" s="1074"/>
      <c r="AL170" s="1074"/>
      <c r="AM170" s="1074"/>
      <c r="AN170" s="1071">
        <f t="shared" si="121"/>
        <v>0</v>
      </c>
      <c r="AO170" s="1049"/>
      <c r="AP170" s="1049"/>
      <c r="AQ170" s="1049"/>
      <c r="AR170" s="1049"/>
      <c r="AS170" s="934"/>
      <c r="AT170" s="934"/>
      <c r="AU170" s="1085">
        <f t="shared" si="122"/>
        <v>0</v>
      </c>
      <c r="AV170" s="934"/>
      <c r="AW170" s="934"/>
      <c r="AX170" s="934">
        <v>1</v>
      </c>
      <c r="AY170" s="934"/>
      <c r="AZ170" s="934"/>
      <c r="BA170" s="934">
        <f t="shared" si="115"/>
        <v>0</v>
      </c>
      <c r="BB170" s="1089"/>
      <c r="BC170" s="934"/>
      <c r="BD170" s="934"/>
      <c r="BE170" s="934">
        <v>2</v>
      </c>
      <c r="BF170" s="934"/>
      <c r="BG170" s="1085">
        <f t="shared" si="117"/>
        <v>0</v>
      </c>
      <c r="BH170" s="1085">
        <f t="shared" si="118"/>
        <v>0</v>
      </c>
      <c r="BI170" s="1085">
        <f t="shared" si="119"/>
        <v>0</v>
      </c>
      <c r="BJ170" s="934"/>
      <c r="BK170" s="934"/>
      <c r="BL170" s="934">
        <v>1</v>
      </c>
      <c r="BM170" s="934"/>
      <c r="BN170" s="934"/>
      <c r="BO170" s="1086">
        <f t="shared" si="123"/>
        <v>0</v>
      </c>
      <c r="BP170" s="1048"/>
      <c r="BQ170" s="1048"/>
      <c r="BR170" s="1048"/>
      <c r="BS170" s="1048"/>
      <c r="BT170" s="934"/>
      <c r="BU170" s="934"/>
      <c r="BV170" s="934"/>
      <c r="BW170" s="934"/>
      <c r="BX170" s="934"/>
      <c r="BY170" s="934"/>
      <c r="CA170" s="1072"/>
    </row>
    <row r="171" spans="5:79" s="977" customFormat="1" ht="21.6">
      <c r="E171" s="1056" t="s">
        <v>627</v>
      </c>
      <c r="F171" s="1073" t="s">
        <v>80</v>
      </c>
      <c r="G171" s="1073" t="s">
        <v>80</v>
      </c>
      <c r="H171" s="1066">
        <v>80.5</v>
      </c>
      <c r="I171" s="1082">
        <f t="shared" si="124"/>
        <v>80.5</v>
      </c>
      <c r="J171" s="1082">
        <f t="shared" si="111"/>
        <v>80.5</v>
      </c>
      <c r="K171" s="1082">
        <f t="shared" si="125"/>
        <v>80.5</v>
      </c>
      <c r="L171" s="1082">
        <f t="shared" si="112"/>
        <v>80.5</v>
      </c>
      <c r="M171" s="1178"/>
      <c r="N171" s="1057"/>
      <c r="O171" s="1058"/>
      <c r="P171" s="934"/>
      <c r="Q171" s="934"/>
      <c r="R171" s="934"/>
      <c r="S171" s="934"/>
      <c r="T171" s="934"/>
      <c r="U171" s="934"/>
      <c r="V171" s="1085"/>
      <c r="W171" s="934">
        <v>1</v>
      </c>
      <c r="X171" s="934"/>
      <c r="Y171" s="934">
        <v>1</v>
      </c>
      <c r="Z171" s="934"/>
      <c r="AA171" s="934"/>
      <c r="AB171" s="934">
        <v>1</v>
      </c>
      <c r="AC171" s="934"/>
      <c r="AD171" s="1048"/>
      <c r="AE171" s="1048"/>
      <c r="AF171" s="1086">
        <f t="shared" si="120"/>
        <v>0</v>
      </c>
      <c r="AG171" s="1048"/>
      <c r="AH171" s="934"/>
      <c r="AI171" s="934"/>
      <c r="AJ171" s="1074"/>
      <c r="AK171" s="1074"/>
      <c r="AL171" s="1074"/>
      <c r="AM171" s="1074"/>
      <c r="AN171" s="1071">
        <f t="shared" si="121"/>
        <v>0</v>
      </c>
      <c r="AO171" s="1049"/>
      <c r="AP171" s="1049"/>
      <c r="AQ171" s="1049"/>
      <c r="AR171" s="1049"/>
      <c r="AS171" s="934"/>
      <c r="AT171" s="934"/>
      <c r="AU171" s="1085">
        <f t="shared" si="122"/>
        <v>0</v>
      </c>
      <c r="AV171" s="934"/>
      <c r="AW171" s="934"/>
      <c r="AX171" s="934">
        <v>1</v>
      </c>
      <c r="AY171" s="934"/>
      <c r="AZ171" s="934"/>
      <c r="BA171" s="934">
        <f t="shared" si="115"/>
        <v>0</v>
      </c>
      <c r="BB171" s="1089"/>
      <c r="BC171" s="934"/>
      <c r="BD171" s="934"/>
      <c r="BE171" s="934">
        <v>2</v>
      </c>
      <c r="BF171" s="934"/>
      <c r="BG171" s="1085">
        <f t="shared" si="117"/>
        <v>0</v>
      </c>
      <c r="BH171" s="1085">
        <f t="shared" si="118"/>
        <v>0</v>
      </c>
      <c r="BI171" s="1085">
        <f t="shared" si="119"/>
        <v>0</v>
      </c>
      <c r="BJ171" s="934"/>
      <c r="BK171" s="934"/>
      <c r="BL171" s="934">
        <v>1</v>
      </c>
      <c r="BM171" s="934"/>
      <c r="BN171" s="934"/>
      <c r="BO171" s="1086">
        <f t="shared" si="123"/>
        <v>0</v>
      </c>
      <c r="BP171" s="1048"/>
      <c r="BQ171" s="1048"/>
      <c r="BR171" s="1048"/>
      <c r="BS171" s="1048"/>
      <c r="BT171" s="934"/>
      <c r="BU171" s="934"/>
      <c r="BV171" s="934"/>
      <c r="BW171" s="934"/>
      <c r="BX171" s="934"/>
      <c r="BY171" s="934"/>
      <c r="CA171" s="1072"/>
    </row>
    <row r="172" spans="5:79" s="977" customFormat="1" ht="21.6">
      <c r="E172" s="1056" t="s">
        <v>836</v>
      </c>
      <c r="F172" s="1073" t="s">
        <v>80</v>
      </c>
      <c r="G172" s="1073" t="s">
        <v>80</v>
      </c>
      <c r="H172" s="1066">
        <v>37.4</v>
      </c>
      <c r="I172" s="1082">
        <f t="shared" si="124"/>
        <v>37.4</v>
      </c>
      <c r="J172" s="1082">
        <f t="shared" si="111"/>
        <v>37.4</v>
      </c>
      <c r="K172" s="1082">
        <f t="shared" si="125"/>
        <v>37.4</v>
      </c>
      <c r="L172" s="1082">
        <f t="shared" si="112"/>
        <v>37.4</v>
      </c>
      <c r="M172" s="1178"/>
      <c r="N172" s="1057"/>
      <c r="O172" s="1058"/>
      <c r="P172" s="934"/>
      <c r="Q172" s="934"/>
      <c r="R172" s="934"/>
      <c r="S172" s="934"/>
      <c r="T172" s="934"/>
      <c r="U172" s="934"/>
      <c r="V172" s="1085"/>
      <c r="W172" s="934">
        <v>1</v>
      </c>
      <c r="X172" s="934"/>
      <c r="Y172" s="934"/>
      <c r="Z172" s="934"/>
      <c r="AA172" s="934"/>
      <c r="AB172" s="934">
        <v>1</v>
      </c>
      <c r="AC172" s="934"/>
      <c r="AD172" s="1048"/>
      <c r="AE172" s="1048"/>
      <c r="AF172" s="1086">
        <f t="shared" si="120"/>
        <v>0</v>
      </c>
      <c r="AG172" s="1048"/>
      <c r="AH172" s="934"/>
      <c r="AI172" s="934"/>
      <c r="AJ172" s="1074">
        <v>1</v>
      </c>
      <c r="AK172" s="1074">
        <v>1</v>
      </c>
      <c r="AL172" s="1074"/>
      <c r="AM172" s="1074"/>
      <c r="AN172" s="1071">
        <f t="shared" si="121"/>
        <v>1</v>
      </c>
      <c r="AO172" s="1049"/>
      <c r="AP172" s="1049"/>
      <c r="AQ172" s="1049"/>
      <c r="AR172" s="1049"/>
      <c r="AS172" s="934"/>
      <c r="AT172" s="934"/>
      <c r="AU172" s="1085">
        <f t="shared" si="122"/>
        <v>0</v>
      </c>
      <c r="AV172" s="934"/>
      <c r="AW172" s="934"/>
      <c r="AX172" s="934">
        <v>1</v>
      </c>
      <c r="AY172" s="934"/>
      <c r="AZ172" s="934"/>
      <c r="BA172" s="934">
        <f t="shared" si="115"/>
        <v>0</v>
      </c>
      <c r="BB172" s="1089"/>
      <c r="BC172" s="934"/>
      <c r="BD172" s="934"/>
      <c r="BE172" s="934">
        <v>2</v>
      </c>
      <c r="BF172" s="934"/>
      <c r="BG172" s="1085">
        <f t="shared" si="117"/>
        <v>0</v>
      </c>
      <c r="BH172" s="1085">
        <f t="shared" si="118"/>
        <v>0</v>
      </c>
      <c r="BI172" s="1085">
        <f t="shared" si="119"/>
        <v>0</v>
      </c>
      <c r="BJ172" s="934"/>
      <c r="BK172" s="934"/>
      <c r="BL172" s="934"/>
      <c r="BM172" s="934"/>
      <c r="BN172" s="934"/>
      <c r="BO172" s="1086">
        <f t="shared" si="123"/>
        <v>0</v>
      </c>
      <c r="BP172" s="1048"/>
      <c r="BQ172" s="1048"/>
      <c r="BR172" s="1048"/>
      <c r="BS172" s="1048"/>
      <c r="BT172" s="934">
        <v>1</v>
      </c>
      <c r="BU172" s="934"/>
      <c r="BV172" s="934"/>
      <c r="BW172" s="934"/>
      <c r="BX172" s="934"/>
      <c r="BY172" s="934" t="s">
        <v>885</v>
      </c>
      <c r="CA172" s="1072"/>
    </row>
    <row r="173" spans="5:79" s="977" customFormat="1" ht="21.6">
      <c r="E173" s="1056" t="s">
        <v>657</v>
      </c>
      <c r="F173" s="1073" t="s">
        <v>148</v>
      </c>
      <c r="G173" s="1073" t="s">
        <v>148</v>
      </c>
      <c r="H173" s="1066">
        <v>37.299999999999997</v>
      </c>
      <c r="I173" s="1082">
        <f t="shared" si="124"/>
        <v>37.299999999999997</v>
      </c>
      <c r="J173" s="1082">
        <f t="shared" si="111"/>
        <v>37.299999999999997</v>
      </c>
      <c r="K173" s="1082">
        <f t="shared" si="125"/>
        <v>37.299999999999997</v>
      </c>
      <c r="L173" s="1082">
        <f t="shared" si="112"/>
        <v>37.299999999999997</v>
      </c>
      <c r="M173" s="1178"/>
      <c r="N173" s="1057"/>
      <c r="O173" s="1058"/>
      <c r="P173" s="934"/>
      <c r="Q173" s="934">
        <v>2</v>
      </c>
      <c r="R173" s="934"/>
      <c r="S173" s="934"/>
      <c r="T173" s="934"/>
      <c r="U173" s="934"/>
      <c r="V173" s="1085">
        <f t="shared" ref="V173:V179" si="129">IF(F173="I",1,0)</f>
        <v>0</v>
      </c>
      <c r="W173" s="934">
        <v>1</v>
      </c>
      <c r="X173" s="934"/>
      <c r="Y173" s="934">
        <v>1</v>
      </c>
      <c r="Z173" s="934"/>
      <c r="AA173" s="934"/>
      <c r="AB173" s="934"/>
      <c r="AC173" s="934">
        <v>2</v>
      </c>
      <c r="AD173" s="1048">
        <v>2</v>
      </c>
      <c r="AE173" s="1048"/>
      <c r="AF173" s="1086">
        <f t="shared" si="120"/>
        <v>2</v>
      </c>
      <c r="AG173" s="1048"/>
      <c r="AH173" s="934"/>
      <c r="AI173" s="934"/>
      <c r="AJ173" s="1074"/>
      <c r="AK173" s="1074"/>
      <c r="AL173" s="1074"/>
      <c r="AM173" s="1074"/>
      <c r="AN173" s="1071">
        <f t="shared" si="121"/>
        <v>0</v>
      </c>
      <c r="AO173" s="1049"/>
      <c r="AP173" s="1049"/>
      <c r="AQ173" s="1049"/>
      <c r="AR173" s="1049"/>
      <c r="AS173" s="934">
        <v>1</v>
      </c>
      <c r="AT173" s="934"/>
      <c r="AU173" s="1085">
        <f t="shared" si="122"/>
        <v>1</v>
      </c>
      <c r="AV173" s="934"/>
      <c r="AW173" s="934"/>
      <c r="AX173" s="934">
        <v>1</v>
      </c>
      <c r="AY173" s="934"/>
      <c r="AZ173" s="934"/>
      <c r="BA173" s="934">
        <f t="shared" si="115"/>
        <v>2</v>
      </c>
      <c r="BB173" s="1089"/>
      <c r="BC173" s="934"/>
      <c r="BD173" s="934"/>
      <c r="BE173" s="934"/>
      <c r="BF173" s="934">
        <v>2</v>
      </c>
      <c r="BG173" s="1085">
        <f t="shared" si="117"/>
        <v>0</v>
      </c>
      <c r="BH173" s="1085">
        <f t="shared" si="118"/>
        <v>2</v>
      </c>
      <c r="BI173" s="1085">
        <f t="shared" si="119"/>
        <v>0</v>
      </c>
      <c r="BJ173" s="934"/>
      <c r="BK173" s="934"/>
      <c r="BL173" s="934">
        <v>2</v>
      </c>
      <c r="BM173" s="934"/>
      <c r="BN173" s="934">
        <v>1</v>
      </c>
      <c r="BO173" s="1086">
        <f t="shared" si="123"/>
        <v>2</v>
      </c>
      <c r="BP173" s="1048"/>
      <c r="BQ173" s="1048"/>
      <c r="BR173" s="1048"/>
      <c r="BS173" s="1048"/>
      <c r="BT173" s="934"/>
      <c r="BU173" s="934"/>
      <c r="BV173" s="934"/>
      <c r="BW173" s="934"/>
      <c r="BX173" s="934"/>
      <c r="BY173" s="934"/>
      <c r="CA173" s="1072"/>
    </row>
    <row r="174" spans="5:79" s="977" customFormat="1" ht="21.6">
      <c r="E174" s="1056" t="s">
        <v>658</v>
      </c>
      <c r="F174" s="1073" t="s">
        <v>374</v>
      </c>
      <c r="G174" s="1073" t="s">
        <v>374</v>
      </c>
      <c r="H174" s="1066">
        <v>58.3</v>
      </c>
      <c r="I174" s="1082">
        <f t="shared" si="124"/>
        <v>58.3</v>
      </c>
      <c r="J174" s="1082">
        <f t="shared" si="111"/>
        <v>58.3</v>
      </c>
      <c r="K174" s="1082">
        <f t="shared" si="125"/>
        <v>58.3</v>
      </c>
      <c r="L174" s="1082">
        <f t="shared" si="112"/>
        <v>58.3</v>
      </c>
      <c r="M174" s="1178"/>
      <c r="N174" s="1057"/>
      <c r="O174" s="1058">
        <f>N174+M174</f>
        <v>0</v>
      </c>
      <c r="P174" s="934"/>
      <c r="Q174" s="934">
        <v>1</v>
      </c>
      <c r="R174" s="934"/>
      <c r="S174" s="934"/>
      <c r="T174" s="934">
        <f t="shared" ref="T174" si="130">R174</f>
        <v>0</v>
      </c>
      <c r="U174" s="934"/>
      <c r="V174" s="1085">
        <f t="shared" si="129"/>
        <v>0</v>
      </c>
      <c r="W174" s="934">
        <v>2</v>
      </c>
      <c r="X174" s="934"/>
      <c r="Y174" s="934"/>
      <c r="Z174" s="934"/>
      <c r="AA174" s="934">
        <v>1</v>
      </c>
      <c r="AB174" s="934">
        <v>1</v>
      </c>
      <c r="AC174" s="934"/>
      <c r="AD174" s="1048"/>
      <c r="AE174" s="1048"/>
      <c r="AF174" s="1086">
        <f t="shared" si="120"/>
        <v>0</v>
      </c>
      <c r="AG174" s="1048"/>
      <c r="AH174" s="934"/>
      <c r="AI174" s="934"/>
      <c r="AJ174" s="1074"/>
      <c r="AK174" s="1074"/>
      <c r="AL174" s="1074"/>
      <c r="AM174" s="1074"/>
      <c r="AN174" s="1071">
        <f t="shared" si="121"/>
        <v>0</v>
      </c>
      <c r="AO174" s="1049"/>
      <c r="AP174" s="1049"/>
      <c r="AQ174" s="1049"/>
      <c r="AR174" s="1049"/>
      <c r="AS174" s="934"/>
      <c r="AT174" s="934"/>
      <c r="AU174" s="1085">
        <f t="shared" si="122"/>
        <v>0</v>
      </c>
      <c r="AV174" s="934"/>
      <c r="AW174" s="934"/>
      <c r="AX174" s="934"/>
      <c r="AY174" s="934">
        <v>2</v>
      </c>
      <c r="AZ174" s="934"/>
      <c r="BA174" s="934">
        <f t="shared" si="115"/>
        <v>0</v>
      </c>
      <c r="BB174" s="1089"/>
      <c r="BC174" s="934"/>
      <c r="BD174" s="934"/>
      <c r="BE174" s="934"/>
      <c r="BF174" s="934">
        <v>2</v>
      </c>
      <c r="BG174" s="1085">
        <f t="shared" si="117"/>
        <v>0</v>
      </c>
      <c r="BH174" s="1085">
        <f t="shared" si="118"/>
        <v>1</v>
      </c>
      <c r="BI174" s="1085">
        <f t="shared" si="119"/>
        <v>0</v>
      </c>
      <c r="BJ174" s="934"/>
      <c r="BK174" s="934"/>
      <c r="BL174" s="934">
        <v>2</v>
      </c>
      <c r="BM174" s="934"/>
      <c r="BN174" s="934"/>
      <c r="BO174" s="1086">
        <f t="shared" si="123"/>
        <v>0</v>
      </c>
      <c r="BP174" s="1048"/>
      <c r="BQ174" s="1048"/>
      <c r="BR174" s="1048"/>
      <c r="BS174" s="1048"/>
      <c r="BT174" s="934"/>
      <c r="BU174" s="934"/>
      <c r="BV174" s="934"/>
      <c r="BW174" s="934"/>
      <c r="BX174" s="934"/>
      <c r="BY174" s="1076"/>
      <c r="BZ174" s="1077"/>
      <c r="CA174" s="1072"/>
    </row>
    <row r="175" spans="5:79" s="977" customFormat="1" ht="21.6">
      <c r="E175" s="1056" t="s">
        <v>659</v>
      </c>
      <c r="F175" s="1073" t="s">
        <v>80</v>
      </c>
      <c r="G175" s="1073" t="s">
        <v>80</v>
      </c>
      <c r="H175" s="1066">
        <v>67</v>
      </c>
      <c r="I175" s="1082">
        <f t="shared" si="124"/>
        <v>67</v>
      </c>
      <c r="J175" s="1082">
        <f t="shared" si="111"/>
        <v>67</v>
      </c>
      <c r="K175" s="1082">
        <f t="shared" si="125"/>
        <v>67</v>
      </c>
      <c r="L175" s="1082">
        <f t="shared" si="112"/>
        <v>67</v>
      </c>
      <c r="M175" s="1178"/>
      <c r="N175" s="1057"/>
      <c r="O175" s="1058">
        <f>N175+M175</f>
        <v>0</v>
      </c>
      <c r="P175" s="934"/>
      <c r="Q175" s="934"/>
      <c r="R175" s="934"/>
      <c r="S175" s="934"/>
      <c r="T175" s="934">
        <f t="shared" si="126"/>
        <v>0</v>
      </c>
      <c r="U175" s="934"/>
      <c r="V175" s="1085">
        <f t="shared" si="129"/>
        <v>1</v>
      </c>
      <c r="W175" s="934">
        <v>1</v>
      </c>
      <c r="X175" s="934"/>
      <c r="Y175" s="934"/>
      <c r="Z175" s="934"/>
      <c r="AA175" s="934"/>
      <c r="AB175" s="934">
        <v>1</v>
      </c>
      <c r="AC175" s="934"/>
      <c r="AD175" s="1048"/>
      <c r="AE175" s="1048"/>
      <c r="AF175" s="1086">
        <f t="shared" si="120"/>
        <v>0</v>
      </c>
      <c r="AG175" s="1048"/>
      <c r="AH175" s="934"/>
      <c r="AI175" s="934"/>
      <c r="AJ175" s="1074"/>
      <c r="AK175" s="1074"/>
      <c r="AL175" s="1074"/>
      <c r="AM175" s="1074"/>
      <c r="AN175" s="1071">
        <f t="shared" si="121"/>
        <v>0</v>
      </c>
      <c r="AO175" s="1049"/>
      <c r="AP175" s="1049"/>
      <c r="AQ175" s="1049"/>
      <c r="AR175" s="1049"/>
      <c r="AS175" s="934"/>
      <c r="AT175" s="934"/>
      <c r="AU175" s="1085">
        <f t="shared" si="122"/>
        <v>0</v>
      </c>
      <c r="AV175" s="934"/>
      <c r="AW175" s="934"/>
      <c r="AX175" s="934">
        <v>1</v>
      </c>
      <c r="AY175" s="934"/>
      <c r="AZ175" s="934"/>
      <c r="BA175" s="934">
        <f t="shared" si="115"/>
        <v>0</v>
      </c>
      <c r="BB175" s="1089"/>
      <c r="BC175" s="934"/>
      <c r="BD175" s="934"/>
      <c r="BE175" s="934">
        <v>2</v>
      </c>
      <c r="BF175" s="934"/>
      <c r="BG175" s="1085">
        <f t="shared" si="117"/>
        <v>0</v>
      </c>
      <c r="BH175" s="1085">
        <f t="shared" si="118"/>
        <v>0</v>
      </c>
      <c r="BI175" s="1085">
        <f t="shared" si="119"/>
        <v>0</v>
      </c>
      <c r="BJ175" s="934"/>
      <c r="BK175" s="934"/>
      <c r="BL175" s="934">
        <v>1</v>
      </c>
      <c r="BM175" s="934"/>
      <c r="BN175" s="934"/>
      <c r="BO175" s="1086">
        <f t="shared" si="123"/>
        <v>0</v>
      </c>
      <c r="BP175" s="1048"/>
      <c r="BQ175" s="1048"/>
      <c r="BR175" s="1048"/>
      <c r="BS175" s="1048"/>
      <c r="BT175" s="934"/>
      <c r="BU175" s="934"/>
      <c r="BV175" s="934"/>
      <c r="BW175" s="934"/>
      <c r="BX175" s="934"/>
      <c r="BY175" s="934"/>
      <c r="BZ175" s="1077"/>
      <c r="CA175" s="1072"/>
    </row>
    <row r="176" spans="5:79" s="977" customFormat="1" ht="21.6">
      <c r="E176" s="1056" t="s">
        <v>660</v>
      </c>
      <c r="F176" s="1073" t="s">
        <v>80</v>
      </c>
      <c r="G176" s="1073" t="s">
        <v>80</v>
      </c>
      <c r="H176" s="1066">
        <v>69.8</v>
      </c>
      <c r="I176" s="1082">
        <f t="shared" si="124"/>
        <v>69.8</v>
      </c>
      <c r="J176" s="1082">
        <f t="shared" si="111"/>
        <v>69.8</v>
      </c>
      <c r="K176" s="1082">
        <f t="shared" si="125"/>
        <v>69.8</v>
      </c>
      <c r="L176" s="1082">
        <f t="shared" si="112"/>
        <v>69.8</v>
      </c>
      <c r="M176" s="1178"/>
      <c r="N176" s="1057"/>
      <c r="O176" s="1058"/>
      <c r="P176" s="934"/>
      <c r="Q176" s="934"/>
      <c r="R176" s="934"/>
      <c r="S176" s="934"/>
      <c r="T176" s="934"/>
      <c r="U176" s="934"/>
      <c r="V176" s="1085">
        <f t="shared" si="129"/>
        <v>1</v>
      </c>
      <c r="W176" s="934">
        <v>1</v>
      </c>
      <c r="X176" s="934"/>
      <c r="Y176" s="934"/>
      <c r="Z176" s="934"/>
      <c r="AA176" s="934"/>
      <c r="AB176" s="934">
        <v>1</v>
      </c>
      <c r="AC176" s="934"/>
      <c r="AD176" s="1048"/>
      <c r="AE176" s="1048"/>
      <c r="AF176" s="1086">
        <f t="shared" si="120"/>
        <v>0</v>
      </c>
      <c r="AG176" s="1048"/>
      <c r="AH176" s="934"/>
      <c r="AI176" s="934"/>
      <c r="AJ176" s="1074"/>
      <c r="AK176" s="1074"/>
      <c r="AL176" s="1074"/>
      <c r="AM176" s="1074"/>
      <c r="AN176" s="1071">
        <f t="shared" si="121"/>
        <v>0</v>
      </c>
      <c r="AO176" s="1049"/>
      <c r="AP176" s="1049"/>
      <c r="AQ176" s="1049"/>
      <c r="AR176" s="1049"/>
      <c r="AS176" s="934"/>
      <c r="AT176" s="934"/>
      <c r="AU176" s="1085">
        <f t="shared" si="122"/>
        <v>0</v>
      </c>
      <c r="AV176" s="934"/>
      <c r="AW176" s="934"/>
      <c r="AX176" s="934">
        <v>1</v>
      </c>
      <c r="AY176" s="934"/>
      <c r="AZ176" s="934"/>
      <c r="BA176" s="934">
        <f t="shared" si="115"/>
        <v>0</v>
      </c>
      <c r="BB176" s="1089"/>
      <c r="BC176" s="934"/>
      <c r="BD176" s="934"/>
      <c r="BE176" s="934">
        <v>2</v>
      </c>
      <c r="BF176" s="934"/>
      <c r="BG176" s="1085">
        <f t="shared" si="117"/>
        <v>0</v>
      </c>
      <c r="BH176" s="1085">
        <f t="shared" si="118"/>
        <v>0</v>
      </c>
      <c r="BI176" s="1085">
        <f t="shared" si="119"/>
        <v>0</v>
      </c>
      <c r="BJ176" s="934"/>
      <c r="BK176" s="934"/>
      <c r="BL176" s="934">
        <v>1</v>
      </c>
      <c r="BM176" s="934"/>
      <c r="BN176" s="934"/>
      <c r="BO176" s="1086">
        <f t="shared" si="123"/>
        <v>0</v>
      </c>
      <c r="BP176" s="1048"/>
      <c r="BQ176" s="1048"/>
      <c r="BR176" s="1048"/>
      <c r="BS176" s="1048"/>
      <c r="BT176" s="934"/>
      <c r="BU176" s="934"/>
      <c r="BV176" s="934"/>
      <c r="BW176" s="934"/>
      <c r="BX176" s="934"/>
      <c r="BY176" s="934"/>
      <c r="CA176" s="1072"/>
    </row>
    <row r="177" spans="4:79" s="977" customFormat="1" ht="21.6">
      <c r="E177" s="1056" t="s">
        <v>661</v>
      </c>
      <c r="F177" s="1073" t="s">
        <v>80</v>
      </c>
      <c r="G177" s="1073" t="s">
        <v>80</v>
      </c>
      <c r="H177" s="1066">
        <v>64</v>
      </c>
      <c r="I177" s="1082">
        <f t="shared" si="124"/>
        <v>64</v>
      </c>
      <c r="J177" s="1082">
        <f t="shared" si="111"/>
        <v>64</v>
      </c>
      <c r="K177" s="1082">
        <f t="shared" si="125"/>
        <v>64</v>
      </c>
      <c r="L177" s="1082">
        <f t="shared" si="112"/>
        <v>64</v>
      </c>
      <c r="M177" s="1178"/>
      <c r="N177" s="1057"/>
      <c r="O177" s="1058"/>
      <c r="P177" s="934"/>
      <c r="Q177" s="934"/>
      <c r="R177" s="934"/>
      <c r="S177" s="934"/>
      <c r="T177" s="934"/>
      <c r="U177" s="934">
        <v>1</v>
      </c>
      <c r="V177" s="1085">
        <f t="shared" si="129"/>
        <v>1</v>
      </c>
      <c r="W177" s="934">
        <v>1</v>
      </c>
      <c r="X177" s="934"/>
      <c r="Y177" s="934"/>
      <c r="Z177" s="934"/>
      <c r="AA177" s="934"/>
      <c r="AB177" s="934">
        <v>1</v>
      </c>
      <c r="AC177" s="934"/>
      <c r="AD177" s="1048"/>
      <c r="AE177" s="1048"/>
      <c r="AF177" s="1086">
        <f t="shared" si="120"/>
        <v>0</v>
      </c>
      <c r="AG177" s="1048"/>
      <c r="AH177" s="934"/>
      <c r="AI177" s="934"/>
      <c r="AJ177" s="1074"/>
      <c r="AK177" s="1074"/>
      <c r="AL177" s="1074"/>
      <c r="AM177" s="1074"/>
      <c r="AN177" s="1071">
        <f t="shared" si="121"/>
        <v>0</v>
      </c>
      <c r="AO177" s="1049"/>
      <c r="AP177" s="1049"/>
      <c r="AQ177" s="1049"/>
      <c r="AR177" s="1049"/>
      <c r="AS177" s="934"/>
      <c r="AT177" s="934"/>
      <c r="AU177" s="1085">
        <f t="shared" si="122"/>
        <v>0</v>
      </c>
      <c r="AV177" s="934"/>
      <c r="AW177" s="934"/>
      <c r="AX177" s="934">
        <v>1</v>
      </c>
      <c r="AY177" s="934"/>
      <c r="AZ177" s="934"/>
      <c r="BA177" s="934">
        <f t="shared" si="115"/>
        <v>0</v>
      </c>
      <c r="BB177" s="1089"/>
      <c r="BC177" s="934"/>
      <c r="BD177" s="934"/>
      <c r="BE177" s="934">
        <v>2</v>
      </c>
      <c r="BF177" s="934"/>
      <c r="BG177" s="1085">
        <f t="shared" si="117"/>
        <v>0</v>
      </c>
      <c r="BH177" s="1085">
        <f t="shared" si="118"/>
        <v>0</v>
      </c>
      <c r="BI177" s="1085">
        <f t="shared" si="119"/>
        <v>0</v>
      </c>
      <c r="BJ177" s="934"/>
      <c r="BK177" s="934"/>
      <c r="BL177" s="934">
        <v>1</v>
      </c>
      <c r="BM177" s="934"/>
      <c r="BN177" s="934"/>
      <c r="BO177" s="1086">
        <f t="shared" si="123"/>
        <v>0</v>
      </c>
      <c r="BP177" s="1048"/>
      <c r="BQ177" s="1048"/>
      <c r="BR177" s="1048"/>
      <c r="BS177" s="1048"/>
      <c r="BT177" s="934"/>
      <c r="BU177" s="934"/>
      <c r="BV177" s="934"/>
      <c r="BW177" s="934"/>
      <c r="BX177" s="934"/>
      <c r="BY177" s="934"/>
      <c r="CA177" s="1072"/>
    </row>
    <row r="178" spans="4:79" s="977" customFormat="1" ht="21.6">
      <c r="E178" s="1056" t="s">
        <v>662</v>
      </c>
      <c r="F178" s="1073" t="s">
        <v>80</v>
      </c>
      <c r="G178" s="1073" t="s">
        <v>80</v>
      </c>
      <c r="H178" s="1066">
        <v>70</v>
      </c>
      <c r="I178" s="1082">
        <f t="shared" si="124"/>
        <v>70</v>
      </c>
      <c r="J178" s="1082">
        <f t="shared" si="111"/>
        <v>70</v>
      </c>
      <c r="K178" s="1082">
        <f t="shared" si="125"/>
        <v>70</v>
      </c>
      <c r="L178" s="1082">
        <f t="shared" si="112"/>
        <v>70</v>
      </c>
      <c r="M178" s="1178"/>
      <c r="N178" s="1057"/>
      <c r="O178" s="1058"/>
      <c r="P178" s="934"/>
      <c r="Q178" s="934"/>
      <c r="R178" s="934"/>
      <c r="S178" s="934"/>
      <c r="T178" s="934"/>
      <c r="U178" s="934"/>
      <c r="V178" s="1085">
        <f t="shared" si="129"/>
        <v>1</v>
      </c>
      <c r="W178" s="934">
        <v>1</v>
      </c>
      <c r="X178" s="934"/>
      <c r="Y178" s="934"/>
      <c r="Z178" s="934"/>
      <c r="AA178" s="934"/>
      <c r="AB178" s="934">
        <v>1</v>
      </c>
      <c r="AC178" s="934"/>
      <c r="AD178" s="1048"/>
      <c r="AE178" s="1048"/>
      <c r="AF178" s="1086">
        <f t="shared" si="120"/>
        <v>0</v>
      </c>
      <c r="AG178" s="1048"/>
      <c r="AH178" s="934"/>
      <c r="AI178" s="934"/>
      <c r="AJ178" s="1074"/>
      <c r="AK178" s="1074"/>
      <c r="AL178" s="1074"/>
      <c r="AM178" s="1074"/>
      <c r="AN178" s="1071">
        <f t="shared" si="121"/>
        <v>0</v>
      </c>
      <c r="AO178" s="1049"/>
      <c r="AP178" s="1049"/>
      <c r="AQ178" s="1049"/>
      <c r="AR178" s="1049"/>
      <c r="AS178" s="934"/>
      <c r="AT178" s="934"/>
      <c r="AU178" s="1085">
        <f t="shared" si="122"/>
        <v>0</v>
      </c>
      <c r="AV178" s="934"/>
      <c r="AW178" s="934"/>
      <c r="AX178" s="934">
        <v>1</v>
      </c>
      <c r="AY178" s="934"/>
      <c r="AZ178" s="934"/>
      <c r="BA178" s="934">
        <f t="shared" si="115"/>
        <v>0</v>
      </c>
      <c r="BB178" s="1089"/>
      <c r="BC178" s="934"/>
      <c r="BD178" s="934"/>
      <c r="BE178" s="934">
        <v>2</v>
      </c>
      <c r="BF178" s="934"/>
      <c r="BG178" s="1085">
        <f t="shared" si="117"/>
        <v>0</v>
      </c>
      <c r="BH178" s="1085">
        <f t="shared" si="118"/>
        <v>0</v>
      </c>
      <c r="BI178" s="1085">
        <f t="shared" si="119"/>
        <v>0</v>
      </c>
      <c r="BJ178" s="934"/>
      <c r="BK178" s="934"/>
      <c r="BL178" s="934">
        <v>1</v>
      </c>
      <c r="BM178" s="934"/>
      <c r="BN178" s="934"/>
      <c r="BO178" s="1086">
        <f t="shared" si="123"/>
        <v>0</v>
      </c>
      <c r="BP178" s="1048"/>
      <c r="BQ178" s="1048"/>
      <c r="BR178" s="1048"/>
      <c r="BS178" s="1048"/>
      <c r="BT178" s="934"/>
      <c r="BU178" s="934"/>
      <c r="BV178" s="934"/>
      <c r="BW178" s="934"/>
      <c r="BX178" s="934"/>
      <c r="BY178" s="934"/>
      <c r="CA178" s="1072"/>
    </row>
    <row r="179" spans="4:79" s="977" customFormat="1" ht="21.6">
      <c r="E179" s="1144" t="s">
        <v>663</v>
      </c>
      <c r="F179" s="1145" t="s">
        <v>377</v>
      </c>
      <c r="G179" s="1145" t="s">
        <v>377</v>
      </c>
      <c r="H179" s="1146">
        <v>69.7</v>
      </c>
      <c r="I179" s="1147">
        <f t="shared" si="124"/>
        <v>69.7</v>
      </c>
      <c r="J179" s="1147">
        <f t="shared" si="111"/>
        <v>69.7</v>
      </c>
      <c r="K179" s="1082">
        <f t="shared" si="125"/>
        <v>69.7</v>
      </c>
      <c r="L179" s="1147">
        <f t="shared" si="112"/>
        <v>69.7</v>
      </c>
      <c r="M179" s="1185"/>
      <c r="N179" s="1149"/>
      <c r="O179" s="1150"/>
      <c r="P179" s="1151"/>
      <c r="Q179" s="1151">
        <v>1</v>
      </c>
      <c r="R179" s="1151"/>
      <c r="S179" s="1151"/>
      <c r="T179" s="1151"/>
      <c r="U179" s="1151"/>
      <c r="V179" s="1085">
        <f t="shared" si="129"/>
        <v>0</v>
      </c>
      <c r="W179" s="1151"/>
      <c r="X179" s="1151"/>
      <c r="Y179" s="1151"/>
      <c r="Z179" s="1151"/>
      <c r="AA179" s="1151"/>
      <c r="AB179" s="1151"/>
      <c r="AC179" s="1151">
        <v>1</v>
      </c>
      <c r="AD179" s="1152">
        <v>1</v>
      </c>
      <c r="AE179" s="1152"/>
      <c r="AF179" s="1086">
        <f t="shared" si="120"/>
        <v>1</v>
      </c>
      <c r="AG179" s="1152"/>
      <c r="AH179" s="1151"/>
      <c r="AI179" s="1151"/>
      <c r="AJ179" s="1153"/>
      <c r="AK179" s="1153"/>
      <c r="AL179" s="1153"/>
      <c r="AM179" s="1153"/>
      <c r="AN179" s="1071">
        <f>AM179+AJ179</f>
        <v>0</v>
      </c>
      <c r="AO179" s="1148"/>
      <c r="AP179" s="1148"/>
      <c r="AQ179" s="1148"/>
      <c r="AR179" s="1148"/>
      <c r="AS179" s="1151"/>
      <c r="AT179" s="1151"/>
      <c r="AU179" s="1085">
        <f t="shared" si="122"/>
        <v>0</v>
      </c>
      <c r="AV179" s="1151"/>
      <c r="AW179" s="1151"/>
      <c r="AX179" s="1151"/>
      <c r="AY179" s="1151"/>
      <c r="AZ179" s="1151"/>
      <c r="BA179" s="934">
        <f t="shared" si="115"/>
        <v>1</v>
      </c>
      <c r="BB179" s="1089"/>
      <c r="BC179" s="1151"/>
      <c r="BD179" s="1151"/>
      <c r="BE179" s="1151"/>
      <c r="BF179" s="1151"/>
      <c r="BG179" s="1085">
        <f t="shared" si="117"/>
        <v>0</v>
      </c>
      <c r="BH179" s="1085">
        <f t="shared" si="118"/>
        <v>1</v>
      </c>
      <c r="BI179" s="1085">
        <f t="shared" si="119"/>
        <v>0</v>
      </c>
      <c r="BJ179" s="1151"/>
      <c r="BK179" s="1151"/>
      <c r="BL179" s="1151"/>
      <c r="BM179" s="1151"/>
      <c r="BN179" s="1151"/>
      <c r="BO179" s="1086">
        <f t="shared" si="123"/>
        <v>1</v>
      </c>
      <c r="BP179" s="1152"/>
      <c r="BQ179" s="1152"/>
      <c r="BR179" s="1152"/>
      <c r="BS179" s="1152"/>
      <c r="BT179" s="1151"/>
      <c r="BU179" s="1151"/>
      <c r="BV179" s="1151"/>
      <c r="BW179" s="1151"/>
      <c r="BX179" s="1151"/>
      <c r="BY179" s="1151"/>
      <c r="CA179" s="1072"/>
    </row>
    <row r="180" spans="4:79" s="1135" customFormat="1" ht="21.6">
      <c r="D180" s="1373" t="s">
        <v>935</v>
      </c>
      <c r="E180" s="1129" t="s">
        <v>527</v>
      </c>
      <c r="F180" s="1130"/>
      <c r="G180" s="1130"/>
      <c r="H180" s="1100">
        <f>SUM(H156:H179)</f>
        <v>1399.2</v>
      </c>
      <c r="I180" s="1100">
        <f t="shared" ref="I180:BT180" si="131">SUM(I156:I179)</f>
        <v>1399.2</v>
      </c>
      <c r="J180" s="1100">
        <f t="shared" si="131"/>
        <v>1399.2</v>
      </c>
      <c r="K180" s="1100">
        <f t="shared" si="131"/>
        <v>876.59999999999991</v>
      </c>
      <c r="L180" s="1100">
        <f t="shared" si="131"/>
        <v>1399.2</v>
      </c>
      <c r="M180" s="1100">
        <f t="shared" si="131"/>
        <v>1</v>
      </c>
      <c r="N180" s="1100">
        <f t="shared" si="131"/>
        <v>0</v>
      </c>
      <c r="O180" s="1100">
        <f t="shared" si="131"/>
        <v>1</v>
      </c>
      <c r="P180" s="1100">
        <f t="shared" si="131"/>
        <v>0</v>
      </c>
      <c r="Q180" s="1100">
        <f t="shared" si="131"/>
        <v>9</v>
      </c>
      <c r="R180" s="1100">
        <f t="shared" si="131"/>
        <v>0</v>
      </c>
      <c r="S180" s="1100">
        <f t="shared" si="131"/>
        <v>0</v>
      </c>
      <c r="T180" s="1100">
        <f t="shared" si="131"/>
        <v>0</v>
      </c>
      <c r="U180" s="1100">
        <f t="shared" si="131"/>
        <v>4</v>
      </c>
      <c r="V180" s="1100">
        <f t="shared" si="131"/>
        <v>12</v>
      </c>
      <c r="W180" s="1100">
        <f t="shared" si="131"/>
        <v>25</v>
      </c>
      <c r="X180" s="1100">
        <f t="shared" si="131"/>
        <v>1</v>
      </c>
      <c r="Y180" s="1100">
        <f t="shared" si="131"/>
        <v>2</v>
      </c>
      <c r="Z180" s="1100">
        <f t="shared" si="131"/>
        <v>0</v>
      </c>
      <c r="AA180" s="1100">
        <f t="shared" si="131"/>
        <v>5</v>
      </c>
      <c r="AB180" s="1100">
        <f t="shared" si="131"/>
        <v>13</v>
      </c>
      <c r="AC180" s="1100">
        <f t="shared" si="131"/>
        <v>8</v>
      </c>
      <c r="AD180" s="1100">
        <f t="shared" si="131"/>
        <v>6</v>
      </c>
      <c r="AE180" s="1100">
        <f t="shared" si="131"/>
        <v>0</v>
      </c>
      <c r="AF180" s="1100">
        <f t="shared" si="131"/>
        <v>6</v>
      </c>
      <c r="AG180" s="1100">
        <f t="shared" si="131"/>
        <v>0</v>
      </c>
      <c r="AH180" s="1100">
        <f t="shared" si="131"/>
        <v>0</v>
      </c>
      <c r="AI180" s="1100">
        <f t="shared" si="131"/>
        <v>0</v>
      </c>
      <c r="AJ180" s="1100">
        <f t="shared" si="131"/>
        <v>3</v>
      </c>
      <c r="AK180" s="1100">
        <f t="shared" si="131"/>
        <v>2</v>
      </c>
      <c r="AL180" s="1100">
        <f t="shared" si="131"/>
        <v>1</v>
      </c>
      <c r="AM180" s="1100">
        <f t="shared" si="131"/>
        <v>1</v>
      </c>
      <c r="AN180" s="1100">
        <f t="shared" si="131"/>
        <v>4</v>
      </c>
      <c r="AO180" s="1100">
        <f t="shared" si="131"/>
        <v>1</v>
      </c>
      <c r="AP180" s="1100">
        <f t="shared" si="131"/>
        <v>1</v>
      </c>
      <c r="AQ180" s="1100">
        <f t="shared" si="131"/>
        <v>1</v>
      </c>
      <c r="AR180" s="1100">
        <f t="shared" si="131"/>
        <v>0</v>
      </c>
      <c r="AS180" s="1100">
        <f t="shared" si="131"/>
        <v>3.5</v>
      </c>
      <c r="AT180" s="1100">
        <f t="shared" si="131"/>
        <v>0</v>
      </c>
      <c r="AU180" s="1100">
        <f t="shared" si="131"/>
        <v>3.5</v>
      </c>
      <c r="AV180" s="1100">
        <f t="shared" si="131"/>
        <v>2</v>
      </c>
      <c r="AW180" s="1100">
        <f t="shared" si="131"/>
        <v>3</v>
      </c>
      <c r="AX180" s="1100">
        <f t="shared" si="131"/>
        <v>16</v>
      </c>
      <c r="AY180" s="1100">
        <f t="shared" si="131"/>
        <v>10</v>
      </c>
      <c r="AZ180" s="1100">
        <f t="shared" si="131"/>
        <v>1</v>
      </c>
      <c r="BA180" s="1100">
        <f t="shared" si="131"/>
        <v>6</v>
      </c>
      <c r="BB180" s="1100">
        <f t="shared" si="131"/>
        <v>522.6</v>
      </c>
      <c r="BC180" s="1100">
        <f t="shared" si="131"/>
        <v>0</v>
      </c>
      <c r="BD180" s="1100">
        <f t="shared" si="131"/>
        <v>1</v>
      </c>
      <c r="BE180" s="1100">
        <f t="shared" si="131"/>
        <v>26</v>
      </c>
      <c r="BF180" s="1100">
        <f t="shared" si="131"/>
        <v>14</v>
      </c>
      <c r="BG180" s="1100">
        <f t="shared" si="131"/>
        <v>0</v>
      </c>
      <c r="BH180" s="1100">
        <f t="shared" si="131"/>
        <v>9</v>
      </c>
      <c r="BI180" s="1100">
        <f t="shared" si="131"/>
        <v>0</v>
      </c>
      <c r="BJ180" s="1100">
        <f t="shared" si="131"/>
        <v>0</v>
      </c>
      <c r="BK180" s="1100">
        <f t="shared" si="131"/>
        <v>3</v>
      </c>
      <c r="BL180" s="1100">
        <f t="shared" si="131"/>
        <v>26</v>
      </c>
      <c r="BM180" s="1100">
        <f t="shared" si="131"/>
        <v>0</v>
      </c>
      <c r="BN180" s="1100">
        <f t="shared" si="131"/>
        <v>2</v>
      </c>
      <c r="BO180" s="1100">
        <f t="shared" si="131"/>
        <v>6</v>
      </c>
      <c r="BP180" s="1100">
        <f t="shared" si="131"/>
        <v>0</v>
      </c>
      <c r="BQ180" s="1100">
        <f t="shared" si="131"/>
        <v>0</v>
      </c>
      <c r="BR180" s="1100">
        <f t="shared" si="131"/>
        <v>0</v>
      </c>
      <c r="BS180" s="1100">
        <f t="shared" si="131"/>
        <v>1</v>
      </c>
      <c r="BT180" s="1100">
        <f t="shared" si="131"/>
        <v>6</v>
      </c>
      <c r="BU180" s="1100">
        <f t="shared" ref="BU180:BW180" si="132">SUM(BU156:BU179)</f>
        <v>0</v>
      </c>
      <c r="BV180" s="1100">
        <f t="shared" si="132"/>
        <v>1</v>
      </c>
      <c r="BW180" s="1100">
        <f t="shared" si="132"/>
        <v>0</v>
      </c>
      <c r="BX180" s="1157"/>
      <c r="BY180" s="1157"/>
      <c r="CA180" s="1134"/>
    </row>
    <row r="181" spans="4:79" s="1155" customFormat="1" ht="21.6">
      <c r="D181" s="1372" t="s">
        <v>935</v>
      </c>
      <c r="E181" s="1118" t="s">
        <v>813</v>
      </c>
      <c r="F181" s="1119"/>
      <c r="G181" s="1119"/>
      <c r="H181" s="1120"/>
      <c r="I181" s="1120"/>
      <c r="J181" s="1120"/>
      <c r="K181" s="1120"/>
      <c r="L181" s="1120"/>
      <c r="M181" s="1183"/>
      <c r="N181" s="1122"/>
      <c r="O181" s="1123"/>
      <c r="P181" s="1124"/>
      <c r="Q181" s="1124"/>
      <c r="R181" s="1124"/>
      <c r="S181" s="1124"/>
      <c r="T181" s="1124"/>
      <c r="U181" s="1124"/>
      <c r="V181" s="1124"/>
      <c r="W181" s="1124"/>
      <c r="X181" s="1124"/>
      <c r="Y181" s="1124"/>
      <c r="Z181" s="1124"/>
      <c r="AA181" s="1124"/>
      <c r="AB181" s="1124"/>
      <c r="AC181" s="1124"/>
      <c r="AD181" s="1125"/>
      <c r="AE181" s="1125"/>
      <c r="AF181" s="1125"/>
      <c r="AG181" s="1125"/>
      <c r="AH181" s="1124"/>
      <c r="AI181" s="1124"/>
      <c r="AJ181" s="1126"/>
      <c r="AK181" s="1126"/>
      <c r="AL181" s="1126"/>
      <c r="AM181" s="1126"/>
      <c r="AN181" s="1121"/>
      <c r="AO181" s="1121"/>
      <c r="AP181" s="1121"/>
      <c r="AQ181" s="1121"/>
      <c r="AR181" s="1121"/>
      <c r="AS181" s="1124"/>
      <c r="AT181" s="1124"/>
      <c r="AU181" s="1124"/>
      <c r="AV181" s="1124"/>
      <c r="AW181" s="1124"/>
      <c r="AX181" s="1124"/>
      <c r="AY181" s="1124"/>
      <c r="AZ181" s="1124"/>
      <c r="BA181" s="1124"/>
      <c r="BB181" s="1128"/>
      <c r="BC181" s="1124"/>
      <c r="BD181" s="1124"/>
      <c r="BE181" s="1124"/>
      <c r="BF181" s="1124"/>
      <c r="BG181" s="1124"/>
      <c r="BH181" s="1124"/>
      <c r="BI181" s="1124"/>
      <c r="BJ181" s="1124"/>
      <c r="BK181" s="1124"/>
      <c r="BL181" s="1124"/>
      <c r="BM181" s="1124"/>
      <c r="BN181" s="1124"/>
      <c r="BO181" s="1125"/>
      <c r="BP181" s="1125"/>
      <c r="BQ181" s="1125"/>
      <c r="BR181" s="1125"/>
      <c r="BS181" s="1125"/>
      <c r="BT181" s="1124"/>
      <c r="BU181" s="1124"/>
      <c r="BV181" s="1124"/>
      <c r="BW181" s="1124"/>
      <c r="BX181" s="1124"/>
      <c r="BY181" s="1124"/>
      <c r="CA181" s="1156"/>
    </row>
    <row r="182" spans="4:79" s="977" customFormat="1" ht="21.6">
      <c r="E182" s="1080" t="s">
        <v>808</v>
      </c>
      <c r="F182" s="1081" t="s">
        <v>377</v>
      </c>
      <c r="G182" s="1081" t="s">
        <v>377</v>
      </c>
      <c r="H182" s="1082"/>
      <c r="I182" s="1082">
        <f>H182</f>
        <v>0</v>
      </c>
      <c r="J182" s="1082">
        <f t="shared" ref="J182:J218" si="133">H182</f>
        <v>0</v>
      </c>
      <c r="K182" s="1082"/>
      <c r="L182" s="1082">
        <f t="shared" ref="L182:L218" si="134">I182</f>
        <v>0</v>
      </c>
      <c r="M182" s="1182"/>
      <c r="N182" s="1083"/>
      <c r="O182" s="1084"/>
      <c r="P182" s="1085"/>
      <c r="Q182" s="1085"/>
      <c r="R182" s="1085"/>
      <c r="S182" s="1085"/>
      <c r="T182" s="1085"/>
      <c r="U182" s="1085"/>
      <c r="V182" s="1085"/>
      <c r="W182" s="1085"/>
      <c r="X182" s="1085"/>
      <c r="Y182" s="1085"/>
      <c r="Z182" s="1085"/>
      <c r="AA182" s="1085"/>
      <c r="AB182" s="1085"/>
      <c r="AC182" s="1085">
        <v>1</v>
      </c>
      <c r="AD182" s="1086">
        <v>1</v>
      </c>
      <c r="AE182" s="1086"/>
      <c r="AF182" s="1086">
        <f>AE182+AD182</f>
        <v>1</v>
      </c>
      <c r="AG182" s="1086"/>
      <c r="AH182" s="1085"/>
      <c r="AI182" s="1085"/>
      <c r="AJ182" s="1087">
        <v>1</v>
      </c>
      <c r="AK182" s="1087"/>
      <c r="AL182" s="1087">
        <v>1</v>
      </c>
      <c r="AM182" s="1087"/>
      <c r="AN182" s="1071">
        <f t="shared" ref="AN182:AN218" si="135">AM182+AJ182</f>
        <v>1</v>
      </c>
      <c r="AO182" s="1071"/>
      <c r="AP182" s="1071"/>
      <c r="AQ182" s="1071"/>
      <c r="AR182" s="1071"/>
      <c r="AS182" s="1085">
        <v>0.5</v>
      </c>
      <c r="AT182" s="1085"/>
      <c r="AU182" s="1085">
        <f>AT182+AS182</f>
        <v>0.5</v>
      </c>
      <c r="AV182" s="1085"/>
      <c r="AW182" s="1085">
        <v>1</v>
      </c>
      <c r="AX182" s="1085"/>
      <c r="AY182" s="1085"/>
      <c r="AZ182" s="1085"/>
      <c r="BA182" s="934">
        <f t="shared" ref="BA182:BA218" si="136">IF(F182="2DT",2,IF(F182="DT",1,IF(F182="2DT-90",2,0)))</f>
        <v>1</v>
      </c>
      <c r="BB182" s="1089">
        <f t="shared" ref="BB182:BB194" si="137">H182</f>
        <v>0</v>
      </c>
      <c r="BC182" s="1085"/>
      <c r="BD182" s="1085"/>
      <c r="BE182" s="1085"/>
      <c r="BF182" s="1085"/>
      <c r="BG182" s="1085">
        <f t="shared" ref="BG182:BG193" si="138">P182</f>
        <v>0</v>
      </c>
      <c r="BH182" s="1085">
        <f t="shared" ref="BH182:BH193" si="139">Q182</f>
        <v>0</v>
      </c>
      <c r="BI182" s="1085">
        <f t="shared" ref="BI182:BI193" si="140">R182</f>
        <v>0</v>
      </c>
      <c r="BJ182" s="1085"/>
      <c r="BK182" s="1085">
        <v>1</v>
      </c>
      <c r="BL182" s="1085"/>
      <c r="BM182" s="1085"/>
      <c r="BN182" s="1085"/>
      <c r="BO182" s="1086">
        <v>1</v>
      </c>
      <c r="BP182" s="1086"/>
      <c r="BQ182" s="1086"/>
      <c r="BR182" s="1086"/>
      <c r="BS182" s="1086"/>
      <c r="BT182" s="1085">
        <v>2</v>
      </c>
      <c r="BU182" s="1085"/>
      <c r="BV182" s="1085"/>
      <c r="BW182" s="1085"/>
      <c r="BX182" s="1085"/>
      <c r="BY182" s="1085"/>
      <c r="CA182" s="1072"/>
    </row>
    <row r="183" spans="4:79" s="977" customFormat="1" ht="21.6">
      <c r="E183" s="1056" t="s">
        <v>614</v>
      </c>
      <c r="F183" s="1073" t="s">
        <v>148</v>
      </c>
      <c r="G183" s="1073" t="s">
        <v>148</v>
      </c>
      <c r="H183" s="1066">
        <v>18.100000000000001</v>
      </c>
      <c r="I183" s="1082">
        <f>H183</f>
        <v>18.100000000000001</v>
      </c>
      <c r="J183" s="1082">
        <f t="shared" si="133"/>
        <v>18.100000000000001</v>
      </c>
      <c r="K183" s="1082"/>
      <c r="L183" s="1082">
        <f t="shared" si="134"/>
        <v>18.100000000000001</v>
      </c>
      <c r="M183" s="1178"/>
      <c r="N183" s="1057"/>
      <c r="O183" s="1058">
        <f>N183+M183</f>
        <v>0</v>
      </c>
      <c r="P183" s="934"/>
      <c r="Q183" s="934">
        <v>1</v>
      </c>
      <c r="R183" s="934"/>
      <c r="S183" s="934"/>
      <c r="T183" s="934">
        <f t="shared" ref="T183:T185" si="141">R183</f>
        <v>0</v>
      </c>
      <c r="U183" s="934">
        <v>1</v>
      </c>
      <c r="V183" s="934"/>
      <c r="W183" s="934"/>
      <c r="X183" s="934"/>
      <c r="Y183" s="934"/>
      <c r="Z183" s="934"/>
      <c r="AA183" s="934"/>
      <c r="AB183" s="934"/>
      <c r="AC183" s="934">
        <v>2</v>
      </c>
      <c r="AD183" s="1048">
        <v>2</v>
      </c>
      <c r="AE183" s="1048"/>
      <c r="AF183" s="1086">
        <f t="shared" ref="AF183:AF218" si="142">AE183+AD183</f>
        <v>2</v>
      </c>
      <c r="AG183" s="1048"/>
      <c r="AH183" s="934"/>
      <c r="AI183" s="934"/>
      <c r="AJ183" s="1074"/>
      <c r="AK183" s="1074"/>
      <c r="AL183" s="1074"/>
      <c r="AM183" s="1074"/>
      <c r="AN183" s="1071">
        <f t="shared" si="135"/>
        <v>0</v>
      </c>
      <c r="AO183" s="1049">
        <v>1</v>
      </c>
      <c r="AP183" s="1049">
        <v>1</v>
      </c>
      <c r="AQ183" s="1049"/>
      <c r="AR183" s="1049">
        <v>1</v>
      </c>
      <c r="AS183" s="934">
        <v>1</v>
      </c>
      <c r="AT183" s="934"/>
      <c r="AU183" s="1085">
        <f t="shared" ref="AU183:AU218" si="143">AT183+AS183</f>
        <v>1</v>
      </c>
      <c r="AV183" s="934"/>
      <c r="AW183" s="934">
        <v>2</v>
      </c>
      <c r="AX183" s="934"/>
      <c r="AY183" s="934"/>
      <c r="AZ183" s="934">
        <v>1</v>
      </c>
      <c r="BA183" s="934">
        <f t="shared" si="136"/>
        <v>2</v>
      </c>
      <c r="BB183" s="1061">
        <f t="shared" si="137"/>
        <v>18.100000000000001</v>
      </c>
      <c r="BC183" s="934"/>
      <c r="BD183" s="934"/>
      <c r="BE183" s="934"/>
      <c r="BF183" s="934"/>
      <c r="BG183" s="1085">
        <f t="shared" si="138"/>
        <v>0</v>
      </c>
      <c r="BH183" s="1085">
        <f t="shared" si="139"/>
        <v>1</v>
      </c>
      <c r="BI183" s="1085">
        <f t="shared" si="140"/>
        <v>0</v>
      </c>
      <c r="BJ183" s="934"/>
      <c r="BK183" s="934">
        <v>2</v>
      </c>
      <c r="BL183" s="934"/>
      <c r="BM183" s="934"/>
      <c r="BN183" s="934"/>
      <c r="BO183" s="1048">
        <v>2</v>
      </c>
      <c r="BP183" s="1048"/>
      <c r="BQ183" s="1048"/>
      <c r="BR183" s="1048"/>
      <c r="BS183" s="1048"/>
      <c r="BT183" s="934">
        <v>2</v>
      </c>
      <c r="BU183" s="934"/>
      <c r="BV183" s="934"/>
      <c r="BW183" s="934">
        <v>1</v>
      </c>
      <c r="BX183" s="934"/>
      <c r="BY183" s="1076"/>
      <c r="BZ183" s="1077"/>
      <c r="CA183" s="1072"/>
    </row>
    <row r="184" spans="4:79" s="977" customFormat="1" ht="21.6">
      <c r="E184" s="1056" t="s">
        <v>615</v>
      </c>
      <c r="F184" s="1073" t="s">
        <v>80</v>
      </c>
      <c r="G184" s="1073" t="s">
        <v>80</v>
      </c>
      <c r="H184" s="1066">
        <v>61.5</v>
      </c>
      <c r="I184" s="1082">
        <f t="shared" ref="I184:I218" si="144">H184</f>
        <v>61.5</v>
      </c>
      <c r="J184" s="1082">
        <f t="shared" si="133"/>
        <v>61.5</v>
      </c>
      <c r="K184" s="1082"/>
      <c r="L184" s="1082">
        <f t="shared" si="134"/>
        <v>61.5</v>
      </c>
      <c r="M184" s="1178"/>
      <c r="N184" s="1057"/>
      <c r="O184" s="1058">
        <f>N184+M184</f>
        <v>0</v>
      </c>
      <c r="P184" s="934"/>
      <c r="Q184" s="934"/>
      <c r="R184" s="934"/>
      <c r="S184" s="934"/>
      <c r="T184" s="934">
        <f t="shared" si="141"/>
        <v>0</v>
      </c>
      <c r="U184" s="934"/>
      <c r="V184" s="934">
        <v>1</v>
      </c>
      <c r="W184" s="934">
        <v>1</v>
      </c>
      <c r="X184" s="934"/>
      <c r="Y184" s="934"/>
      <c r="Z184" s="934"/>
      <c r="AA184" s="934"/>
      <c r="AB184" s="934"/>
      <c r="AC184" s="934"/>
      <c r="AD184" s="1048"/>
      <c r="AE184" s="1048"/>
      <c r="AF184" s="1086">
        <f t="shared" si="142"/>
        <v>0</v>
      </c>
      <c r="AG184" s="1048"/>
      <c r="AH184" s="934"/>
      <c r="AI184" s="934"/>
      <c r="AJ184" s="1074"/>
      <c r="AK184" s="1074"/>
      <c r="AL184" s="1074"/>
      <c r="AM184" s="1074">
        <v>1</v>
      </c>
      <c r="AN184" s="1071">
        <f t="shared" si="135"/>
        <v>1</v>
      </c>
      <c r="AO184" s="1049"/>
      <c r="AP184" s="1049"/>
      <c r="AQ184" s="1049"/>
      <c r="AR184" s="1049"/>
      <c r="AS184" s="934"/>
      <c r="AT184" s="934"/>
      <c r="AU184" s="1085">
        <f t="shared" si="143"/>
        <v>0</v>
      </c>
      <c r="AV184" s="934"/>
      <c r="AW184" s="934"/>
      <c r="AX184" s="934">
        <v>1</v>
      </c>
      <c r="AY184" s="934"/>
      <c r="AZ184" s="934"/>
      <c r="BA184" s="934">
        <f t="shared" si="136"/>
        <v>0</v>
      </c>
      <c r="BB184" s="1061">
        <f t="shared" si="137"/>
        <v>61.5</v>
      </c>
      <c r="BC184" s="934"/>
      <c r="BD184" s="934"/>
      <c r="BE184" s="934">
        <v>2</v>
      </c>
      <c r="BF184" s="934"/>
      <c r="BG184" s="1085">
        <f t="shared" si="138"/>
        <v>0</v>
      </c>
      <c r="BH184" s="1085">
        <f t="shared" si="139"/>
        <v>0</v>
      </c>
      <c r="BI184" s="1085">
        <f t="shared" si="140"/>
        <v>0</v>
      </c>
      <c r="BJ184" s="934"/>
      <c r="BK184" s="934"/>
      <c r="BL184" s="934">
        <v>1</v>
      </c>
      <c r="BM184" s="934"/>
      <c r="BN184" s="934"/>
      <c r="BO184" s="1048"/>
      <c r="BP184" s="1048"/>
      <c r="BQ184" s="1048"/>
      <c r="BR184" s="1048"/>
      <c r="BS184" s="1048"/>
      <c r="BT184" s="934"/>
      <c r="BU184" s="934"/>
      <c r="BV184" s="934"/>
      <c r="BW184" s="934"/>
      <c r="BX184" s="934"/>
      <c r="BY184" s="934"/>
      <c r="CA184" s="1072"/>
    </row>
    <row r="185" spans="4:79" s="1187" customFormat="1" ht="21.6">
      <c r="E185" s="1189" t="s">
        <v>814</v>
      </c>
      <c r="F185" s="1190"/>
      <c r="G185" s="1190" t="s">
        <v>80</v>
      </c>
      <c r="H185" s="1191">
        <v>43.1</v>
      </c>
      <c r="I185" s="1204">
        <f t="shared" si="144"/>
        <v>43.1</v>
      </c>
      <c r="J185" s="1204">
        <f t="shared" si="133"/>
        <v>43.1</v>
      </c>
      <c r="K185" s="1204"/>
      <c r="L185" s="1204">
        <f t="shared" si="134"/>
        <v>43.1</v>
      </c>
      <c r="M185" s="1178">
        <v>1</v>
      </c>
      <c r="N185" s="1178"/>
      <c r="O185" s="1194">
        <f>N185+M185</f>
        <v>1</v>
      </c>
      <c r="P185" s="1195"/>
      <c r="Q185" s="1195"/>
      <c r="R185" s="1195"/>
      <c r="S185" s="1195"/>
      <c r="T185" s="1195">
        <f t="shared" si="141"/>
        <v>0</v>
      </c>
      <c r="U185" s="1195"/>
      <c r="V185" s="1195"/>
      <c r="W185" s="1195"/>
      <c r="X185" s="1195">
        <v>1</v>
      </c>
      <c r="Y185" s="1195"/>
      <c r="Z185" s="1195"/>
      <c r="AA185" s="1195"/>
      <c r="AB185" s="1195">
        <v>1</v>
      </c>
      <c r="AC185" s="1195"/>
      <c r="AD185" s="1196"/>
      <c r="AE185" s="1196"/>
      <c r="AF185" s="1086">
        <f t="shared" si="142"/>
        <v>0</v>
      </c>
      <c r="AG185" s="1196"/>
      <c r="AH185" s="1195"/>
      <c r="AI185" s="1195"/>
      <c r="AJ185" s="1197"/>
      <c r="AK185" s="1197"/>
      <c r="AL185" s="1197"/>
      <c r="AM185" s="1197"/>
      <c r="AN185" s="1071">
        <f t="shared" si="135"/>
        <v>0</v>
      </c>
      <c r="AO185" s="1193"/>
      <c r="AP185" s="1193"/>
      <c r="AQ185" s="1193"/>
      <c r="AR185" s="1193"/>
      <c r="AS185" s="1195"/>
      <c r="AT185" s="1195"/>
      <c r="AU185" s="1085">
        <f t="shared" si="143"/>
        <v>0</v>
      </c>
      <c r="AV185" s="1195"/>
      <c r="AW185" s="1195"/>
      <c r="AX185" s="1195">
        <v>1</v>
      </c>
      <c r="AY185" s="1195"/>
      <c r="AZ185" s="1195"/>
      <c r="BA185" s="934">
        <f t="shared" si="136"/>
        <v>0</v>
      </c>
      <c r="BB185" s="1061">
        <f t="shared" si="137"/>
        <v>43.1</v>
      </c>
      <c r="BC185" s="1195"/>
      <c r="BD185" s="1195"/>
      <c r="BE185" s="1195"/>
      <c r="BF185" s="1195"/>
      <c r="BG185" s="1085">
        <f t="shared" si="138"/>
        <v>0</v>
      </c>
      <c r="BH185" s="1085">
        <f t="shared" si="139"/>
        <v>0</v>
      </c>
      <c r="BI185" s="1085">
        <f t="shared" si="140"/>
        <v>0</v>
      </c>
      <c r="BJ185" s="1195"/>
      <c r="BK185" s="1195"/>
      <c r="BL185" s="1195"/>
      <c r="BM185" s="1195"/>
      <c r="BN185" s="1195"/>
      <c r="BO185" s="1196"/>
      <c r="BP185" s="1196"/>
      <c r="BQ185" s="1196"/>
      <c r="BR185" s="1196"/>
      <c r="BS185" s="1196"/>
      <c r="BT185" s="1195"/>
      <c r="BU185" s="1195"/>
      <c r="BV185" s="1195"/>
      <c r="BW185" s="1195"/>
      <c r="BX185" s="1195"/>
      <c r="BY185" s="1195"/>
      <c r="BZ185" s="1202"/>
      <c r="CA185" s="1200"/>
    </row>
    <row r="186" spans="4:79" s="977" customFormat="1" ht="21.6">
      <c r="E186" s="1056" t="s">
        <v>616</v>
      </c>
      <c r="F186" s="1073" t="s">
        <v>80</v>
      </c>
      <c r="G186" s="1073" t="s">
        <v>80</v>
      </c>
      <c r="H186" s="1066">
        <v>43.2</v>
      </c>
      <c r="I186" s="1082">
        <f t="shared" si="144"/>
        <v>43.2</v>
      </c>
      <c r="J186" s="1082">
        <f t="shared" si="133"/>
        <v>43.2</v>
      </c>
      <c r="K186" s="1082"/>
      <c r="L186" s="1082">
        <f t="shared" si="134"/>
        <v>43.2</v>
      </c>
      <c r="M186" s="1178"/>
      <c r="N186" s="1057"/>
      <c r="O186" s="1058"/>
      <c r="P186" s="934"/>
      <c r="Q186" s="934"/>
      <c r="R186" s="934"/>
      <c r="S186" s="934"/>
      <c r="T186" s="934"/>
      <c r="U186" s="934"/>
      <c r="V186" s="934">
        <v>1</v>
      </c>
      <c r="W186" s="934">
        <v>1</v>
      </c>
      <c r="X186" s="934"/>
      <c r="Y186" s="934"/>
      <c r="Z186" s="934"/>
      <c r="AA186" s="934"/>
      <c r="AB186" s="934"/>
      <c r="AC186" s="934"/>
      <c r="AD186" s="1048"/>
      <c r="AE186" s="1048"/>
      <c r="AF186" s="1086">
        <f t="shared" si="142"/>
        <v>0</v>
      </c>
      <c r="AG186" s="1048"/>
      <c r="AH186" s="934"/>
      <c r="AI186" s="934"/>
      <c r="AJ186" s="1074"/>
      <c r="AK186" s="1074"/>
      <c r="AL186" s="1074"/>
      <c r="AM186" s="1074"/>
      <c r="AN186" s="1071">
        <f t="shared" si="135"/>
        <v>0</v>
      </c>
      <c r="AO186" s="1049"/>
      <c r="AP186" s="1049"/>
      <c r="AQ186" s="1049"/>
      <c r="AR186" s="1049"/>
      <c r="AS186" s="934"/>
      <c r="AT186" s="934"/>
      <c r="AU186" s="1085">
        <f t="shared" si="143"/>
        <v>0</v>
      </c>
      <c r="AV186" s="934"/>
      <c r="AW186" s="934"/>
      <c r="AX186" s="934">
        <v>1</v>
      </c>
      <c r="AY186" s="934"/>
      <c r="AZ186" s="934"/>
      <c r="BA186" s="934">
        <f t="shared" si="136"/>
        <v>0</v>
      </c>
      <c r="BB186" s="1061">
        <f t="shared" si="137"/>
        <v>43.2</v>
      </c>
      <c r="BC186" s="934"/>
      <c r="BD186" s="934"/>
      <c r="BE186" s="934">
        <v>2</v>
      </c>
      <c r="BF186" s="934"/>
      <c r="BG186" s="1085">
        <f t="shared" si="138"/>
        <v>0</v>
      </c>
      <c r="BH186" s="1085">
        <f t="shared" si="139"/>
        <v>0</v>
      </c>
      <c r="BI186" s="1085">
        <f t="shared" si="140"/>
        <v>0</v>
      </c>
      <c r="BJ186" s="934"/>
      <c r="BK186" s="934"/>
      <c r="BL186" s="934">
        <v>1</v>
      </c>
      <c r="BM186" s="934"/>
      <c r="BN186" s="934"/>
      <c r="BO186" s="1048"/>
      <c r="BP186" s="1048"/>
      <c r="BQ186" s="1048"/>
      <c r="BR186" s="1048"/>
      <c r="BS186" s="1048"/>
      <c r="BT186" s="934"/>
      <c r="BU186" s="934"/>
      <c r="BV186" s="934"/>
      <c r="BW186" s="934"/>
      <c r="BX186" s="934"/>
      <c r="BY186" s="934"/>
      <c r="CA186" s="1072"/>
    </row>
    <row r="187" spans="4:79" s="1187" customFormat="1" ht="21.6">
      <c r="E187" s="1189" t="s">
        <v>815</v>
      </c>
      <c r="F187" s="1190"/>
      <c r="G187" s="1190" t="s">
        <v>80</v>
      </c>
      <c r="H187" s="1191">
        <v>40.4</v>
      </c>
      <c r="I187" s="1204">
        <f t="shared" si="144"/>
        <v>40.4</v>
      </c>
      <c r="J187" s="1204">
        <f t="shared" si="133"/>
        <v>40.4</v>
      </c>
      <c r="K187" s="1204"/>
      <c r="L187" s="1204">
        <f t="shared" si="134"/>
        <v>40.4</v>
      </c>
      <c r="M187" s="1178">
        <v>1</v>
      </c>
      <c r="N187" s="1178"/>
      <c r="O187" s="1194">
        <f>N187+M187</f>
        <v>1</v>
      </c>
      <c r="P187" s="1195"/>
      <c r="Q187" s="1195"/>
      <c r="R187" s="1195"/>
      <c r="S187" s="1195"/>
      <c r="T187" s="1195">
        <f t="shared" ref="T187" si="145">R187</f>
        <v>0</v>
      </c>
      <c r="U187" s="1195"/>
      <c r="V187" s="1195"/>
      <c r="W187" s="1195"/>
      <c r="X187" s="1195">
        <v>1</v>
      </c>
      <c r="Y187" s="1195"/>
      <c r="Z187" s="1195"/>
      <c r="AA187" s="1195"/>
      <c r="AB187" s="1195">
        <v>1</v>
      </c>
      <c r="AC187" s="1195"/>
      <c r="AD187" s="1196"/>
      <c r="AE187" s="1196"/>
      <c r="AF187" s="1086">
        <f t="shared" si="142"/>
        <v>0</v>
      </c>
      <c r="AG187" s="1196"/>
      <c r="AH187" s="1195"/>
      <c r="AI187" s="1195"/>
      <c r="AJ187" s="1197"/>
      <c r="AK187" s="1197"/>
      <c r="AL187" s="1197"/>
      <c r="AM187" s="1197"/>
      <c r="AN187" s="1071">
        <f t="shared" si="135"/>
        <v>0</v>
      </c>
      <c r="AO187" s="1193"/>
      <c r="AP187" s="1193"/>
      <c r="AQ187" s="1193"/>
      <c r="AR187" s="1193"/>
      <c r="AS187" s="1195"/>
      <c r="AT187" s="1195"/>
      <c r="AU187" s="1085">
        <f t="shared" si="143"/>
        <v>0</v>
      </c>
      <c r="AV187" s="1195"/>
      <c r="AW187" s="1195"/>
      <c r="AX187" s="1195">
        <v>1</v>
      </c>
      <c r="AY187" s="1195"/>
      <c r="AZ187" s="1195"/>
      <c r="BA187" s="934">
        <f t="shared" si="136"/>
        <v>0</v>
      </c>
      <c r="BB187" s="1061">
        <f t="shared" si="137"/>
        <v>40.4</v>
      </c>
      <c r="BC187" s="1195"/>
      <c r="BD187" s="1195"/>
      <c r="BE187" s="1195"/>
      <c r="BF187" s="1195"/>
      <c r="BG187" s="1085">
        <f t="shared" si="138"/>
        <v>0</v>
      </c>
      <c r="BH187" s="1085">
        <f t="shared" si="139"/>
        <v>0</v>
      </c>
      <c r="BI187" s="1085">
        <f t="shared" si="140"/>
        <v>0</v>
      </c>
      <c r="BJ187" s="1195"/>
      <c r="BK187" s="1195"/>
      <c r="BL187" s="1195"/>
      <c r="BM187" s="1195"/>
      <c r="BN187" s="1195"/>
      <c r="BO187" s="1196"/>
      <c r="BP187" s="1196"/>
      <c r="BQ187" s="1196"/>
      <c r="BR187" s="1196"/>
      <c r="BS187" s="1196"/>
      <c r="BT187" s="1195"/>
      <c r="BU187" s="1195"/>
      <c r="BV187" s="1195"/>
      <c r="BW187" s="1195"/>
      <c r="BX187" s="1195"/>
      <c r="BY187" s="1198"/>
      <c r="BZ187" s="1202"/>
      <c r="CA187" s="1200"/>
    </row>
    <row r="188" spans="4:79" s="977" customFormat="1" ht="21.6">
      <c r="E188" s="1056" t="s">
        <v>617</v>
      </c>
      <c r="F188" s="1073" t="s">
        <v>374</v>
      </c>
      <c r="G188" s="1073" t="s">
        <v>374</v>
      </c>
      <c r="H188" s="1066">
        <v>40.299999999999997</v>
      </c>
      <c r="I188" s="1082">
        <f t="shared" si="144"/>
        <v>40.299999999999997</v>
      </c>
      <c r="J188" s="1082">
        <f t="shared" si="133"/>
        <v>40.299999999999997</v>
      </c>
      <c r="K188" s="1082"/>
      <c r="L188" s="1082">
        <f t="shared" si="134"/>
        <v>40.299999999999997</v>
      </c>
      <c r="M188" s="1178"/>
      <c r="N188" s="1057"/>
      <c r="O188" s="1058">
        <f>N188+M188</f>
        <v>0</v>
      </c>
      <c r="P188" s="934"/>
      <c r="Q188" s="934"/>
      <c r="R188" s="934">
        <v>1</v>
      </c>
      <c r="S188" s="934"/>
      <c r="T188" s="934"/>
      <c r="U188" s="934">
        <v>1</v>
      </c>
      <c r="V188" s="934"/>
      <c r="W188" s="934">
        <v>2</v>
      </c>
      <c r="X188" s="934"/>
      <c r="Y188" s="934"/>
      <c r="Z188" s="934"/>
      <c r="AA188" s="934">
        <v>1</v>
      </c>
      <c r="AB188" s="934"/>
      <c r="AC188" s="934"/>
      <c r="AD188" s="1048"/>
      <c r="AE188" s="1048"/>
      <c r="AF188" s="1086">
        <f t="shared" si="142"/>
        <v>0</v>
      </c>
      <c r="AG188" s="1048"/>
      <c r="AH188" s="934"/>
      <c r="AI188" s="934"/>
      <c r="AJ188" s="1074"/>
      <c r="AK188" s="1074"/>
      <c r="AL188" s="1074"/>
      <c r="AM188" s="1074"/>
      <c r="AN188" s="1071">
        <f t="shared" si="135"/>
        <v>0</v>
      </c>
      <c r="AO188" s="1049"/>
      <c r="AP188" s="1049"/>
      <c r="AQ188" s="1049"/>
      <c r="AR188" s="1049"/>
      <c r="AS188" s="934"/>
      <c r="AT188" s="934"/>
      <c r="AU188" s="1085">
        <f t="shared" si="143"/>
        <v>0</v>
      </c>
      <c r="AV188" s="934"/>
      <c r="AW188" s="934"/>
      <c r="AX188" s="934"/>
      <c r="AY188" s="934">
        <v>2</v>
      </c>
      <c r="AZ188" s="934"/>
      <c r="BA188" s="934">
        <f t="shared" si="136"/>
        <v>0</v>
      </c>
      <c r="BB188" s="1061">
        <f t="shared" si="137"/>
        <v>40.299999999999997</v>
      </c>
      <c r="BC188" s="934"/>
      <c r="BD188" s="934"/>
      <c r="BE188" s="934"/>
      <c r="BF188" s="934">
        <v>2</v>
      </c>
      <c r="BG188" s="1085">
        <f t="shared" si="138"/>
        <v>0</v>
      </c>
      <c r="BH188" s="1085">
        <f t="shared" si="139"/>
        <v>0</v>
      </c>
      <c r="BI188" s="1085">
        <f t="shared" si="140"/>
        <v>1</v>
      </c>
      <c r="BJ188" s="934"/>
      <c r="BK188" s="934"/>
      <c r="BL188" s="934">
        <v>2</v>
      </c>
      <c r="BM188" s="934"/>
      <c r="BN188" s="934"/>
      <c r="BO188" s="1048"/>
      <c r="BP188" s="1048"/>
      <c r="BQ188" s="1048"/>
      <c r="BR188" s="1048"/>
      <c r="BS188" s="1048"/>
      <c r="BT188" s="934"/>
      <c r="BU188" s="934"/>
      <c r="BV188" s="934"/>
      <c r="BW188" s="934"/>
      <c r="BX188" s="934"/>
      <c r="BY188" s="934"/>
      <c r="CA188" s="1072"/>
    </row>
    <row r="189" spans="4:79" s="977" customFormat="1" ht="21.6">
      <c r="E189" s="1056" t="s">
        <v>618</v>
      </c>
      <c r="F189" s="1073" t="s">
        <v>374</v>
      </c>
      <c r="G189" s="1073" t="s">
        <v>374</v>
      </c>
      <c r="H189" s="1066">
        <v>59.4</v>
      </c>
      <c r="I189" s="1082">
        <f t="shared" si="144"/>
        <v>59.4</v>
      </c>
      <c r="J189" s="1082">
        <f t="shared" si="133"/>
        <v>59.4</v>
      </c>
      <c r="K189" s="1082"/>
      <c r="L189" s="1082">
        <f t="shared" si="134"/>
        <v>59.4</v>
      </c>
      <c r="M189" s="1178"/>
      <c r="N189" s="1057"/>
      <c r="O189" s="1058">
        <f>N189+M189</f>
        <v>0</v>
      </c>
      <c r="P189" s="934"/>
      <c r="Q189" s="934"/>
      <c r="R189" s="934">
        <v>1</v>
      </c>
      <c r="S189" s="934"/>
      <c r="T189" s="934"/>
      <c r="U189" s="934"/>
      <c r="V189" s="934"/>
      <c r="W189" s="934">
        <v>2</v>
      </c>
      <c r="X189" s="934"/>
      <c r="Y189" s="934"/>
      <c r="Z189" s="934"/>
      <c r="AA189" s="934">
        <v>1</v>
      </c>
      <c r="AB189" s="934"/>
      <c r="AC189" s="934"/>
      <c r="AD189" s="1048"/>
      <c r="AE189" s="1048"/>
      <c r="AF189" s="1086">
        <f t="shared" si="142"/>
        <v>0</v>
      </c>
      <c r="AG189" s="1048"/>
      <c r="AH189" s="934"/>
      <c r="AI189" s="934"/>
      <c r="AJ189" s="1074"/>
      <c r="AK189" s="1074"/>
      <c r="AL189" s="1074"/>
      <c r="AM189" s="1074"/>
      <c r="AN189" s="1071">
        <f t="shared" si="135"/>
        <v>0</v>
      </c>
      <c r="AO189" s="1049"/>
      <c r="AP189" s="1049"/>
      <c r="AQ189" s="1049"/>
      <c r="AR189" s="1049"/>
      <c r="AS189" s="934"/>
      <c r="AT189" s="934"/>
      <c r="AU189" s="1085">
        <f t="shared" si="143"/>
        <v>0</v>
      </c>
      <c r="AV189" s="934"/>
      <c r="AW189" s="934"/>
      <c r="AX189" s="934"/>
      <c r="AY189" s="934">
        <v>2</v>
      </c>
      <c r="AZ189" s="934"/>
      <c r="BA189" s="934">
        <f t="shared" si="136"/>
        <v>0</v>
      </c>
      <c r="BB189" s="1061">
        <f t="shared" si="137"/>
        <v>59.4</v>
      </c>
      <c r="BC189" s="934"/>
      <c r="BD189" s="934"/>
      <c r="BE189" s="934"/>
      <c r="BF189" s="934">
        <v>2</v>
      </c>
      <c r="BG189" s="1085">
        <f t="shared" si="138"/>
        <v>0</v>
      </c>
      <c r="BH189" s="1085">
        <f t="shared" si="139"/>
        <v>0</v>
      </c>
      <c r="BI189" s="1085">
        <f t="shared" si="140"/>
        <v>1</v>
      </c>
      <c r="BJ189" s="934"/>
      <c r="BK189" s="934"/>
      <c r="BL189" s="934">
        <v>2</v>
      </c>
      <c r="BM189" s="934"/>
      <c r="BN189" s="934"/>
      <c r="BO189" s="1048"/>
      <c r="BP189" s="1048"/>
      <c r="BQ189" s="1048"/>
      <c r="BR189" s="1048"/>
      <c r="BS189" s="1048"/>
      <c r="BT189" s="934"/>
      <c r="BU189" s="934"/>
      <c r="BV189" s="934"/>
      <c r="BW189" s="934"/>
      <c r="BX189" s="934"/>
      <c r="BY189" s="934"/>
      <c r="BZ189" s="1077"/>
      <c r="CA189" s="1072"/>
    </row>
    <row r="190" spans="4:79" s="977" customFormat="1" ht="21.6">
      <c r="E190" s="1080" t="s">
        <v>619</v>
      </c>
      <c r="F190" s="1081" t="s">
        <v>80</v>
      </c>
      <c r="G190" s="1081" t="s">
        <v>80</v>
      </c>
      <c r="H190" s="1082">
        <v>57</v>
      </c>
      <c r="I190" s="1082">
        <f t="shared" si="144"/>
        <v>57</v>
      </c>
      <c r="J190" s="1082">
        <f t="shared" si="133"/>
        <v>57</v>
      </c>
      <c r="K190" s="1082"/>
      <c r="L190" s="1082">
        <f t="shared" si="134"/>
        <v>57</v>
      </c>
      <c r="M190" s="1182"/>
      <c r="N190" s="1083"/>
      <c r="O190" s="1084"/>
      <c r="P190" s="1085"/>
      <c r="Q190" s="1085"/>
      <c r="R190" s="1085"/>
      <c r="S190" s="1085"/>
      <c r="T190" s="1085"/>
      <c r="U190" s="1085"/>
      <c r="V190" s="1085">
        <v>1</v>
      </c>
      <c r="W190" s="1085">
        <v>1</v>
      </c>
      <c r="X190" s="1085"/>
      <c r="Y190" s="1085"/>
      <c r="Z190" s="1085"/>
      <c r="AA190" s="1085"/>
      <c r="AB190" s="1085"/>
      <c r="AC190" s="1085"/>
      <c r="AD190" s="1086"/>
      <c r="AE190" s="1086"/>
      <c r="AF190" s="1086">
        <f t="shared" si="142"/>
        <v>0</v>
      </c>
      <c r="AG190" s="1086"/>
      <c r="AH190" s="1085"/>
      <c r="AI190" s="1085"/>
      <c r="AJ190" s="1087"/>
      <c r="AK190" s="1087"/>
      <c r="AL190" s="1087"/>
      <c r="AM190" s="1087"/>
      <c r="AN190" s="1071">
        <f t="shared" si="135"/>
        <v>0</v>
      </c>
      <c r="AO190" s="1071"/>
      <c r="AP190" s="1071"/>
      <c r="AQ190" s="1071"/>
      <c r="AR190" s="1071"/>
      <c r="AS190" s="1085"/>
      <c r="AT190" s="1085"/>
      <c r="AU190" s="1085">
        <f t="shared" si="143"/>
        <v>0</v>
      </c>
      <c r="AV190" s="1085"/>
      <c r="AW190" s="1085"/>
      <c r="AX190" s="1085">
        <v>1</v>
      </c>
      <c r="AY190" s="1085"/>
      <c r="AZ190" s="1085"/>
      <c r="BA190" s="934">
        <f t="shared" si="136"/>
        <v>0</v>
      </c>
      <c r="BB190" s="1061">
        <f t="shared" si="137"/>
        <v>57</v>
      </c>
      <c r="BC190" s="1085"/>
      <c r="BD190" s="1085"/>
      <c r="BE190" s="1085">
        <v>2</v>
      </c>
      <c r="BF190" s="1085"/>
      <c r="BG190" s="1085">
        <f t="shared" si="138"/>
        <v>0</v>
      </c>
      <c r="BH190" s="1085">
        <f t="shared" si="139"/>
        <v>0</v>
      </c>
      <c r="BI190" s="1085">
        <f t="shared" si="140"/>
        <v>0</v>
      </c>
      <c r="BJ190" s="1085"/>
      <c r="BK190" s="1085"/>
      <c r="BL190" s="1085">
        <v>1</v>
      </c>
      <c r="BM190" s="1085"/>
      <c r="BN190" s="1085"/>
      <c r="BO190" s="1086"/>
      <c r="BP190" s="1086"/>
      <c r="BQ190" s="1086"/>
      <c r="BR190" s="1086"/>
      <c r="BS190" s="1086"/>
      <c r="BT190" s="1085"/>
      <c r="BU190" s="1085"/>
      <c r="BV190" s="1085"/>
      <c r="BW190" s="1085"/>
      <c r="BX190" s="1085"/>
      <c r="BY190" s="1085"/>
      <c r="CA190" s="1072"/>
    </row>
    <row r="191" spans="4:79" s="977" customFormat="1" ht="21.6">
      <c r="E191" s="1056" t="s">
        <v>620</v>
      </c>
      <c r="F191" s="1073" t="s">
        <v>80</v>
      </c>
      <c r="G191" s="1073" t="s">
        <v>80</v>
      </c>
      <c r="H191" s="1066">
        <v>74.900000000000006</v>
      </c>
      <c r="I191" s="1082">
        <f t="shared" si="144"/>
        <v>74.900000000000006</v>
      </c>
      <c r="J191" s="1082">
        <f t="shared" si="133"/>
        <v>74.900000000000006</v>
      </c>
      <c r="K191" s="1082"/>
      <c r="L191" s="1082">
        <f t="shared" si="134"/>
        <v>74.900000000000006</v>
      </c>
      <c r="M191" s="1178"/>
      <c r="N191" s="1057"/>
      <c r="O191" s="1058">
        <f>N191+M191</f>
        <v>0</v>
      </c>
      <c r="P191" s="934"/>
      <c r="Q191" s="934"/>
      <c r="R191" s="934"/>
      <c r="S191" s="934"/>
      <c r="T191" s="934">
        <f t="shared" ref="T191:T194" si="146">R191</f>
        <v>0</v>
      </c>
      <c r="U191" s="934"/>
      <c r="V191" s="934">
        <v>1</v>
      </c>
      <c r="W191" s="934">
        <v>1</v>
      </c>
      <c r="X191" s="934"/>
      <c r="Y191" s="934"/>
      <c r="Z191" s="934"/>
      <c r="AA191" s="934"/>
      <c r="AB191" s="934"/>
      <c r="AC191" s="934"/>
      <c r="AD191" s="1048"/>
      <c r="AE191" s="1048"/>
      <c r="AF191" s="1086">
        <f t="shared" si="142"/>
        <v>0</v>
      </c>
      <c r="AG191" s="1048"/>
      <c r="AH191" s="934"/>
      <c r="AI191" s="934"/>
      <c r="AJ191" s="1074"/>
      <c r="AK191" s="1074"/>
      <c r="AL191" s="1074"/>
      <c r="AM191" s="1074"/>
      <c r="AN191" s="1071">
        <f t="shared" si="135"/>
        <v>0</v>
      </c>
      <c r="AO191" s="1049"/>
      <c r="AP191" s="1049"/>
      <c r="AQ191" s="1049"/>
      <c r="AR191" s="1049"/>
      <c r="AS191" s="934"/>
      <c r="AT191" s="934"/>
      <c r="AU191" s="1085">
        <f t="shared" si="143"/>
        <v>0</v>
      </c>
      <c r="AV191" s="934"/>
      <c r="AW191" s="934"/>
      <c r="AX191" s="934">
        <v>1</v>
      </c>
      <c r="AY191" s="934"/>
      <c r="AZ191" s="934"/>
      <c r="BA191" s="934">
        <f t="shared" si="136"/>
        <v>0</v>
      </c>
      <c r="BB191" s="1061">
        <f t="shared" si="137"/>
        <v>74.900000000000006</v>
      </c>
      <c r="BC191" s="934"/>
      <c r="BD191" s="934"/>
      <c r="BE191" s="934">
        <v>2</v>
      </c>
      <c r="BF191" s="934"/>
      <c r="BG191" s="1085">
        <f t="shared" si="138"/>
        <v>0</v>
      </c>
      <c r="BH191" s="1085">
        <f t="shared" si="139"/>
        <v>0</v>
      </c>
      <c r="BI191" s="1085">
        <f t="shared" si="140"/>
        <v>0</v>
      </c>
      <c r="BJ191" s="934"/>
      <c r="BK191" s="934"/>
      <c r="BL191" s="934">
        <v>1</v>
      </c>
      <c r="BM191" s="934"/>
      <c r="BN191" s="934"/>
      <c r="BO191" s="1048"/>
      <c r="BP191" s="1048"/>
      <c r="BQ191" s="1048"/>
      <c r="BR191" s="1048"/>
      <c r="BS191" s="1048"/>
      <c r="BT191" s="934"/>
      <c r="BU191" s="934"/>
      <c r="BV191" s="934"/>
      <c r="BW191" s="934"/>
      <c r="BX191" s="934"/>
      <c r="BY191" s="1076"/>
      <c r="BZ191" s="1077"/>
      <c r="CA191" s="1072"/>
    </row>
    <row r="192" spans="4:79" s="977" customFormat="1" ht="21.6">
      <c r="E192" s="1056" t="s">
        <v>621</v>
      </c>
      <c r="F192" s="1073" t="s">
        <v>80</v>
      </c>
      <c r="G192" s="1073" t="s">
        <v>80</v>
      </c>
      <c r="H192" s="1066">
        <v>76.5</v>
      </c>
      <c r="I192" s="1082">
        <f t="shared" si="144"/>
        <v>76.5</v>
      </c>
      <c r="J192" s="1082">
        <f t="shared" si="133"/>
        <v>76.5</v>
      </c>
      <c r="K192" s="1082"/>
      <c r="L192" s="1082">
        <f t="shared" si="134"/>
        <v>76.5</v>
      </c>
      <c r="M192" s="1178"/>
      <c r="N192" s="1057"/>
      <c r="O192" s="1058">
        <f>N192+M192</f>
        <v>0</v>
      </c>
      <c r="P192" s="934"/>
      <c r="Q192" s="934"/>
      <c r="R192" s="934"/>
      <c r="S192" s="934"/>
      <c r="T192" s="934">
        <f t="shared" si="146"/>
        <v>0</v>
      </c>
      <c r="U192" s="934"/>
      <c r="V192" s="934">
        <v>1</v>
      </c>
      <c r="W192" s="934">
        <v>1</v>
      </c>
      <c r="X192" s="934"/>
      <c r="Y192" s="934"/>
      <c r="Z192" s="934"/>
      <c r="AA192" s="934"/>
      <c r="AB192" s="934"/>
      <c r="AC192" s="934"/>
      <c r="AD192" s="1048"/>
      <c r="AE192" s="1048"/>
      <c r="AF192" s="1086">
        <f t="shared" si="142"/>
        <v>0</v>
      </c>
      <c r="AG192" s="1048"/>
      <c r="AH192" s="934"/>
      <c r="AI192" s="934"/>
      <c r="AJ192" s="1074"/>
      <c r="AK192" s="1074"/>
      <c r="AL192" s="1074"/>
      <c r="AM192" s="1074"/>
      <c r="AN192" s="1071">
        <f t="shared" si="135"/>
        <v>0</v>
      </c>
      <c r="AO192" s="1049"/>
      <c r="AP192" s="1049"/>
      <c r="AQ192" s="1049"/>
      <c r="AR192" s="1049"/>
      <c r="AS192" s="934"/>
      <c r="AT192" s="934"/>
      <c r="AU192" s="1085">
        <f t="shared" si="143"/>
        <v>0</v>
      </c>
      <c r="AV192" s="934"/>
      <c r="AW192" s="934"/>
      <c r="AX192" s="934">
        <v>1</v>
      </c>
      <c r="AY192" s="934"/>
      <c r="AZ192" s="934"/>
      <c r="BA192" s="934">
        <f t="shared" si="136"/>
        <v>0</v>
      </c>
      <c r="BB192" s="1061">
        <f t="shared" si="137"/>
        <v>76.5</v>
      </c>
      <c r="BC192" s="934"/>
      <c r="BD192" s="934"/>
      <c r="BE192" s="934">
        <v>2</v>
      </c>
      <c r="BF192" s="934"/>
      <c r="BG192" s="1085">
        <f t="shared" si="138"/>
        <v>0</v>
      </c>
      <c r="BH192" s="1085">
        <f t="shared" si="139"/>
        <v>0</v>
      </c>
      <c r="BI192" s="1085">
        <f t="shared" si="140"/>
        <v>0</v>
      </c>
      <c r="BJ192" s="934"/>
      <c r="BK192" s="934"/>
      <c r="BL192" s="934">
        <v>1</v>
      </c>
      <c r="BM192" s="934"/>
      <c r="BN192" s="934"/>
      <c r="BO192" s="1048"/>
      <c r="BP192" s="1048"/>
      <c r="BQ192" s="1048"/>
      <c r="BR192" s="1048"/>
      <c r="BS192" s="1048"/>
      <c r="BT192" s="934"/>
      <c r="BU192" s="934"/>
      <c r="BV192" s="934"/>
      <c r="BW192" s="934"/>
      <c r="BX192" s="934"/>
      <c r="BY192" s="1076"/>
      <c r="BZ192" s="1077"/>
      <c r="CA192" s="1072"/>
    </row>
    <row r="193" spans="5:79" s="977" customFormat="1" ht="21.6">
      <c r="E193" s="1056" t="s">
        <v>622</v>
      </c>
      <c r="F193" s="1073" t="s">
        <v>374</v>
      </c>
      <c r="G193" s="1073" t="s">
        <v>374</v>
      </c>
      <c r="H193" s="1066">
        <v>75.5</v>
      </c>
      <c r="I193" s="1082">
        <f t="shared" si="144"/>
        <v>75.5</v>
      </c>
      <c r="J193" s="1082">
        <f t="shared" si="133"/>
        <v>75.5</v>
      </c>
      <c r="K193" s="1082"/>
      <c r="L193" s="1082">
        <f t="shared" si="134"/>
        <v>75.5</v>
      </c>
      <c r="M193" s="1178"/>
      <c r="N193" s="1057"/>
      <c r="O193" s="1058">
        <f>N193+M193</f>
        <v>0</v>
      </c>
      <c r="P193" s="934"/>
      <c r="Q193" s="934">
        <v>1</v>
      </c>
      <c r="R193" s="934"/>
      <c r="S193" s="934"/>
      <c r="T193" s="934">
        <f t="shared" si="146"/>
        <v>0</v>
      </c>
      <c r="U193" s="934"/>
      <c r="V193" s="934"/>
      <c r="W193" s="934">
        <v>2</v>
      </c>
      <c r="X193" s="934"/>
      <c r="Y193" s="934"/>
      <c r="Z193" s="934"/>
      <c r="AA193" s="934">
        <v>1</v>
      </c>
      <c r="AB193" s="934"/>
      <c r="AC193" s="934"/>
      <c r="AD193" s="1048"/>
      <c r="AE193" s="1048"/>
      <c r="AF193" s="1086">
        <f t="shared" si="142"/>
        <v>0</v>
      </c>
      <c r="AG193" s="1048"/>
      <c r="AH193" s="934"/>
      <c r="AI193" s="934"/>
      <c r="AJ193" s="1074"/>
      <c r="AK193" s="1074"/>
      <c r="AL193" s="1074"/>
      <c r="AM193" s="1074"/>
      <c r="AN193" s="1071">
        <f t="shared" si="135"/>
        <v>0</v>
      </c>
      <c r="AO193" s="1049"/>
      <c r="AP193" s="1049"/>
      <c r="AQ193" s="1049"/>
      <c r="AR193" s="1049"/>
      <c r="AS193" s="934"/>
      <c r="AT193" s="934"/>
      <c r="AU193" s="1085">
        <f t="shared" si="143"/>
        <v>0</v>
      </c>
      <c r="AV193" s="934"/>
      <c r="AW193" s="934"/>
      <c r="AX193" s="934"/>
      <c r="AY193" s="934">
        <v>2</v>
      </c>
      <c r="AZ193" s="934"/>
      <c r="BA193" s="934">
        <f t="shared" si="136"/>
        <v>0</v>
      </c>
      <c r="BB193" s="1061">
        <f t="shared" si="137"/>
        <v>75.5</v>
      </c>
      <c r="BC193" s="934"/>
      <c r="BD193" s="934"/>
      <c r="BE193" s="934"/>
      <c r="BF193" s="934">
        <v>2</v>
      </c>
      <c r="BG193" s="1085">
        <f t="shared" si="138"/>
        <v>0</v>
      </c>
      <c r="BH193" s="1085">
        <f t="shared" si="139"/>
        <v>1</v>
      </c>
      <c r="BI193" s="1085">
        <f t="shared" si="140"/>
        <v>0</v>
      </c>
      <c r="BJ193" s="934"/>
      <c r="BK193" s="934"/>
      <c r="BL193" s="934">
        <v>2</v>
      </c>
      <c r="BM193" s="934"/>
      <c r="BN193" s="934"/>
      <c r="BO193" s="1048"/>
      <c r="BP193" s="1048"/>
      <c r="BQ193" s="1048"/>
      <c r="BR193" s="1048"/>
      <c r="BS193" s="1048"/>
      <c r="BT193" s="934"/>
      <c r="BU193" s="934"/>
      <c r="BV193" s="934"/>
      <c r="BW193" s="934"/>
      <c r="BX193" s="934"/>
      <c r="BY193" s="934"/>
      <c r="CA193" s="1072"/>
    </row>
    <row r="194" spans="5:79" s="1187" customFormat="1" ht="21.6">
      <c r="E194" s="1189" t="s">
        <v>768</v>
      </c>
      <c r="F194" s="1190"/>
      <c r="G194" s="1190" t="s">
        <v>148</v>
      </c>
      <c r="H194" s="1191">
        <v>42.2</v>
      </c>
      <c r="I194" s="1204">
        <f t="shared" si="144"/>
        <v>42.2</v>
      </c>
      <c r="J194" s="1204">
        <f t="shared" si="133"/>
        <v>42.2</v>
      </c>
      <c r="K194" s="1204"/>
      <c r="L194" s="1204">
        <f t="shared" si="134"/>
        <v>42.2</v>
      </c>
      <c r="M194" s="1178">
        <v>1</v>
      </c>
      <c r="N194" s="1178"/>
      <c r="O194" s="1194">
        <f>N194+M194</f>
        <v>1</v>
      </c>
      <c r="P194" s="1195"/>
      <c r="Q194" s="1195">
        <v>2</v>
      </c>
      <c r="R194" s="1195"/>
      <c r="S194" s="1195">
        <v>2</v>
      </c>
      <c r="T194" s="1195">
        <f t="shared" si="146"/>
        <v>0</v>
      </c>
      <c r="U194" s="1195">
        <v>1</v>
      </c>
      <c r="V194" s="1195"/>
      <c r="W194" s="1195"/>
      <c r="X194" s="1195">
        <v>1</v>
      </c>
      <c r="Y194" s="1195"/>
      <c r="Z194" s="1195"/>
      <c r="AA194" s="1195"/>
      <c r="AB194" s="1195">
        <v>1</v>
      </c>
      <c r="AC194" s="1195"/>
      <c r="AD194" s="1196">
        <v>2</v>
      </c>
      <c r="AE194" s="1196"/>
      <c r="AF194" s="1086">
        <f t="shared" si="142"/>
        <v>2</v>
      </c>
      <c r="AG194" s="1196"/>
      <c r="AH194" s="1195"/>
      <c r="AI194" s="1195"/>
      <c r="AJ194" s="1197"/>
      <c r="AK194" s="1197"/>
      <c r="AL194" s="1197"/>
      <c r="AM194" s="1197"/>
      <c r="AN194" s="1071">
        <f t="shared" si="135"/>
        <v>0</v>
      </c>
      <c r="AO194" s="1193"/>
      <c r="AP194" s="1193"/>
      <c r="AQ194" s="1193"/>
      <c r="AR194" s="1193"/>
      <c r="AS194" s="1195"/>
      <c r="AT194" s="1195"/>
      <c r="AU194" s="1085">
        <f t="shared" si="143"/>
        <v>0</v>
      </c>
      <c r="AV194" s="1195"/>
      <c r="AW194" s="1195"/>
      <c r="AX194" s="1195">
        <v>1</v>
      </c>
      <c r="AY194" s="1195"/>
      <c r="AZ194" s="1195"/>
      <c r="BA194" s="934">
        <f t="shared" si="136"/>
        <v>0</v>
      </c>
      <c r="BB194" s="1061">
        <f t="shared" si="137"/>
        <v>42.2</v>
      </c>
      <c r="BC194" s="1195"/>
      <c r="BD194" s="1195"/>
      <c r="BE194" s="1195"/>
      <c r="BF194" s="1195"/>
      <c r="BG194" s="1085">
        <f t="shared" ref="BG194:BG218" si="147">P194</f>
        <v>0</v>
      </c>
      <c r="BH194" s="1085"/>
      <c r="BI194" s="1085">
        <f t="shared" ref="BI194:BI218" si="148">R194</f>
        <v>0</v>
      </c>
      <c r="BJ194" s="1195"/>
      <c r="BK194" s="1195"/>
      <c r="BL194" s="1195"/>
      <c r="BM194" s="1195"/>
      <c r="BN194" s="1195"/>
      <c r="BO194" s="1196"/>
      <c r="BP194" s="1196"/>
      <c r="BQ194" s="1196"/>
      <c r="BR194" s="1196"/>
      <c r="BS194" s="1196"/>
      <c r="BT194" s="1195"/>
      <c r="BU194" s="1195"/>
      <c r="BV194" s="1195"/>
      <c r="BW194" s="1195"/>
      <c r="BX194" s="1195"/>
      <c r="BY194" s="1195"/>
      <c r="BZ194" s="1202"/>
      <c r="CA194" s="1200"/>
    </row>
    <row r="195" spans="5:79" s="977" customFormat="1" ht="21.6">
      <c r="E195" s="1056" t="s">
        <v>623</v>
      </c>
      <c r="F195" s="1073" t="s">
        <v>80</v>
      </c>
      <c r="G195" s="1073" t="s">
        <v>80</v>
      </c>
      <c r="H195" s="1066">
        <v>42.2</v>
      </c>
      <c r="I195" s="1082">
        <f t="shared" si="144"/>
        <v>42.2</v>
      </c>
      <c r="J195" s="1082">
        <f t="shared" si="133"/>
        <v>42.2</v>
      </c>
      <c r="K195" s="1082">
        <f>I195</f>
        <v>42.2</v>
      </c>
      <c r="L195" s="1082">
        <f t="shared" si="134"/>
        <v>42.2</v>
      </c>
      <c r="M195" s="1178"/>
      <c r="N195" s="1057"/>
      <c r="O195" s="1058"/>
      <c r="P195" s="934"/>
      <c r="Q195" s="934"/>
      <c r="R195" s="934"/>
      <c r="S195" s="934"/>
      <c r="T195" s="934"/>
      <c r="U195" s="934"/>
      <c r="V195" s="934">
        <v>1</v>
      </c>
      <c r="W195" s="934">
        <v>1</v>
      </c>
      <c r="X195" s="934"/>
      <c r="Y195" s="934"/>
      <c r="Z195" s="934"/>
      <c r="AA195" s="934"/>
      <c r="AB195" s="934"/>
      <c r="AC195" s="934"/>
      <c r="AD195" s="1048"/>
      <c r="AE195" s="1048"/>
      <c r="AF195" s="1086">
        <f t="shared" si="142"/>
        <v>0</v>
      </c>
      <c r="AG195" s="1048">
        <v>2</v>
      </c>
      <c r="AH195" s="934">
        <v>2</v>
      </c>
      <c r="AI195" s="934"/>
      <c r="AJ195" s="1074">
        <v>1</v>
      </c>
      <c r="AK195" s="1074">
        <v>1</v>
      </c>
      <c r="AL195" s="1074"/>
      <c r="AM195" s="1074"/>
      <c r="AN195" s="1071">
        <f t="shared" si="135"/>
        <v>1</v>
      </c>
      <c r="AO195" s="1049"/>
      <c r="AP195" s="1049"/>
      <c r="AQ195" s="1049"/>
      <c r="AR195" s="1049"/>
      <c r="AS195" s="934"/>
      <c r="AT195" s="934"/>
      <c r="AU195" s="1085">
        <f t="shared" si="143"/>
        <v>0</v>
      </c>
      <c r="AV195" s="934"/>
      <c r="AW195" s="934"/>
      <c r="AX195" s="934">
        <v>1</v>
      </c>
      <c r="AY195" s="934"/>
      <c r="AZ195" s="934"/>
      <c r="BA195" s="934">
        <f t="shared" si="136"/>
        <v>0</v>
      </c>
      <c r="BB195" s="1061"/>
      <c r="BC195" s="934"/>
      <c r="BD195" s="934"/>
      <c r="BE195" s="934">
        <v>2</v>
      </c>
      <c r="BF195" s="934"/>
      <c r="BG195" s="1085">
        <f t="shared" si="147"/>
        <v>0</v>
      </c>
      <c r="BH195" s="1085">
        <f t="shared" ref="BH195:BH218" si="149">Q195</f>
        <v>0</v>
      </c>
      <c r="BI195" s="1085">
        <f t="shared" si="148"/>
        <v>0</v>
      </c>
      <c r="BJ195" s="934"/>
      <c r="BK195" s="934"/>
      <c r="BL195" s="934">
        <v>1</v>
      </c>
      <c r="BM195" s="934"/>
      <c r="BN195" s="934"/>
      <c r="BO195" s="1048"/>
      <c r="BP195" s="1048"/>
      <c r="BQ195" s="1048"/>
      <c r="BR195" s="1048"/>
      <c r="BS195" s="1048"/>
      <c r="BT195" s="934">
        <v>1</v>
      </c>
      <c r="BU195" s="934"/>
      <c r="BV195" s="934"/>
      <c r="BW195" s="934"/>
      <c r="BX195" s="934"/>
      <c r="BY195" s="934" t="s">
        <v>887</v>
      </c>
      <c r="CA195" s="1072"/>
    </row>
    <row r="196" spans="5:79" s="1187" customFormat="1" ht="21.6">
      <c r="E196" s="1189" t="s">
        <v>812</v>
      </c>
      <c r="F196" s="1190"/>
      <c r="G196" s="1190" t="s">
        <v>80</v>
      </c>
      <c r="H196" s="1191">
        <v>41.9</v>
      </c>
      <c r="I196" s="1204">
        <f t="shared" si="144"/>
        <v>41.9</v>
      </c>
      <c r="J196" s="1204">
        <f t="shared" si="133"/>
        <v>41.9</v>
      </c>
      <c r="K196" s="1082">
        <f t="shared" ref="K196:K206" si="150">I196</f>
        <v>41.9</v>
      </c>
      <c r="L196" s="1204">
        <f t="shared" si="134"/>
        <v>41.9</v>
      </c>
      <c r="M196" s="1178">
        <v>1</v>
      </c>
      <c r="N196" s="1178"/>
      <c r="O196" s="1194">
        <f>N196+M196</f>
        <v>1</v>
      </c>
      <c r="P196" s="1195"/>
      <c r="Q196" s="1195"/>
      <c r="R196" s="1195"/>
      <c r="S196" s="1195"/>
      <c r="T196" s="1195">
        <f t="shared" ref="T196" si="151">R196</f>
        <v>0</v>
      </c>
      <c r="U196" s="1195"/>
      <c r="V196" s="1195"/>
      <c r="W196" s="1195"/>
      <c r="X196" s="1195">
        <v>1</v>
      </c>
      <c r="Y196" s="1195"/>
      <c r="Z196" s="1195"/>
      <c r="AA196" s="1195"/>
      <c r="AB196" s="1195">
        <v>1</v>
      </c>
      <c r="AC196" s="1195"/>
      <c r="AD196" s="1196"/>
      <c r="AE196" s="1196"/>
      <c r="AF196" s="1086">
        <f t="shared" si="142"/>
        <v>0</v>
      </c>
      <c r="AG196" s="1196"/>
      <c r="AH196" s="1195"/>
      <c r="AI196" s="1195"/>
      <c r="AJ196" s="1197"/>
      <c r="AK196" s="1197"/>
      <c r="AL196" s="1197"/>
      <c r="AM196" s="1197"/>
      <c r="AN196" s="1071">
        <f t="shared" si="135"/>
        <v>0</v>
      </c>
      <c r="AO196" s="1193"/>
      <c r="AP196" s="1193"/>
      <c r="AQ196" s="1193"/>
      <c r="AR196" s="1193"/>
      <c r="AS196" s="1195"/>
      <c r="AT196" s="1195"/>
      <c r="AU196" s="1085">
        <f t="shared" si="143"/>
        <v>0</v>
      </c>
      <c r="AV196" s="1195"/>
      <c r="AW196" s="1195"/>
      <c r="AX196" s="1195">
        <v>1</v>
      </c>
      <c r="AY196" s="1195"/>
      <c r="AZ196" s="1195"/>
      <c r="BA196" s="934">
        <f t="shared" si="136"/>
        <v>0</v>
      </c>
      <c r="BB196" s="1061"/>
      <c r="BC196" s="1195"/>
      <c r="BD196" s="1195"/>
      <c r="BE196" s="1195"/>
      <c r="BF196" s="1195"/>
      <c r="BG196" s="1085">
        <f t="shared" si="147"/>
        <v>0</v>
      </c>
      <c r="BH196" s="1085">
        <f t="shared" si="149"/>
        <v>0</v>
      </c>
      <c r="BI196" s="1085">
        <f t="shared" si="148"/>
        <v>0</v>
      </c>
      <c r="BJ196" s="1195"/>
      <c r="BK196" s="1195"/>
      <c r="BL196" s="1195"/>
      <c r="BM196" s="1195"/>
      <c r="BN196" s="1195"/>
      <c r="BO196" s="1196"/>
      <c r="BP196" s="1196"/>
      <c r="BQ196" s="1196"/>
      <c r="BR196" s="1196"/>
      <c r="BS196" s="1196"/>
      <c r="BT196" s="1195"/>
      <c r="BU196" s="1195"/>
      <c r="BV196" s="1195"/>
      <c r="BW196" s="1195"/>
      <c r="BX196" s="1195"/>
      <c r="BY196" s="1198"/>
      <c r="BZ196" s="1202"/>
      <c r="CA196" s="1200"/>
    </row>
    <row r="197" spans="5:79" s="977" customFormat="1" ht="21.6">
      <c r="E197" s="1056" t="s">
        <v>624</v>
      </c>
      <c r="F197" s="1073" t="s">
        <v>80</v>
      </c>
      <c r="G197" s="1073" t="s">
        <v>80</v>
      </c>
      <c r="H197" s="1066">
        <v>41.8</v>
      </c>
      <c r="I197" s="1082">
        <f t="shared" si="144"/>
        <v>41.8</v>
      </c>
      <c r="J197" s="1082">
        <f t="shared" si="133"/>
        <v>41.8</v>
      </c>
      <c r="K197" s="1082">
        <f t="shared" si="150"/>
        <v>41.8</v>
      </c>
      <c r="L197" s="1082">
        <f t="shared" si="134"/>
        <v>41.8</v>
      </c>
      <c r="M197" s="1178"/>
      <c r="N197" s="1057"/>
      <c r="O197" s="1058">
        <f>N197+M197</f>
        <v>0</v>
      </c>
      <c r="P197" s="934"/>
      <c r="Q197" s="934"/>
      <c r="R197" s="934"/>
      <c r="S197" s="934"/>
      <c r="T197" s="934">
        <f t="shared" ref="T197:T199" si="152">R197</f>
        <v>0</v>
      </c>
      <c r="U197" s="934"/>
      <c r="V197" s="934">
        <v>1</v>
      </c>
      <c r="W197" s="934">
        <v>1</v>
      </c>
      <c r="X197" s="934"/>
      <c r="Y197" s="934"/>
      <c r="Z197" s="934"/>
      <c r="AA197" s="934"/>
      <c r="AB197" s="934"/>
      <c r="AC197" s="934"/>
      <c r="AD197" s="1048"/>
      <c r="AE197" s="1048"/>
      <c r="AF197" s="1086">
        <f t="shared" si="142"/>
        <v>0</v>
      </c>
      <c r="AG197" s="1048"/>
      <c r="AH197" s="934"/>
      <c r="AI197" s="934"/>
      <c r="AJ197" s="1074"/>
      <c r="AK197" s="1074"/>
      <c r="AL197" s="1074"/>
      <c r="AM197" s="1074"/>
      <c r="AN197" s="1071">
        <f t="shared" si="135"/>
        <v>0</v>
      </c>
      <c r="AO197" s="1049"/>
      <c r="AP197" s="1049"/>
      <c r="AQ197" s="1049"/>
      <c r="AR197" s="1049"/>
      <c r="AS197" s="934"/>
      <c r="AT197" s="934"/>
      <c r="AU197" s="1085">
        <f t="shared" si="143"/>
        <v>0</v>
      </c>
      <c r="AV197" s="934"/>
      <c r="AW197" s="934"/>
      <c r="AX197" s="934">
        <v>1</v>
      </c>
      <c r="AY197" s="934"/>
      <c r="AZ197" s="934"/>
      <c r="BA197" s="934">
        <f t="shared" si="136"/>
        <v>0</v>
      </c>
      <c r="BB197" s="1061"/>
      <c r="BC197" s="934"/>
      <c r="BD197" s="934"/>
      <c r="BE197" s="934">
        <v>2</v>
      </c>
      <c r="BF197" s="934"/>
      <c r="BG197" s="1085">
        <f t="shared" si="147"/>
        <v>0</v>
      </c>
      <c r="BH197" s="1085">
        <f t="shared" si="149"/>
        <v>0</v>
      </c>
      <c r="BI197" s="1085">
        <f t="shared" si="148"/>
        <v>0</v>
      </c>
      <c r="BJ197" s="934"/>
      <c r="BK197" s="934"/>
      <c r="BL197" s="934">
        <v>1</v>
      </c>
      <c r="BM197" s="934"/>
      <c r="BN197" s="934"/>
      <c r="BO197" s="1048"/>
      <c r="BP197" s="1048"/>
      <c r="BQ197" s="1048"/>
      <c r="BR197" s="1048"/>
      <c r="BS197" s="1048"/>
      <c r="BT197" s="934"/>
      <c r="BU197" s="934"/>
      <c r="BV197" s="934"/>
      <c r="BW197" s="934"/>
      <c r="BX197" s="934"/>
      <c r="BY197" s="1076"/>
      <c r="BZ197" s="1077"/>
      <c r="CA197" s="1072"/>
    </row>
    <row r="198" spans="5:79" s="1187" customFormat="1" ht="21.6">
      <c r="E198" s="1189" t="s">
        <v>816</v>
      </c>
      <c r="F198" s="1190"/>
      <c r="G198" s="1190" t="s">
        <v>80</v>
      </c>
      <c r="H198" s="1191">
        <v>41</v>
      </c>
      <c r="I198" s="1204">
        <f t="shared" si="144"/>
        <v>41</v>
      </c>
      <c r="J198" s="1204">
        <f t="shared" si="133"/>
        <v>41</v>
      </c>
      <c r="K198" s="1082">
        <f t="shared" si="150"/>
        <v>41</v>
      </c>
      <c r="L198" s="1204">
        <f t="shared" si="134"/>
        <v>41</v>
      </c>
      <c r="M198" s="1178">
        <v>1</v>
      </c>
      <c r="N198" s="1178"/>
      <c r="O198" s="1194">
        <f>N198+M198</f>
        <v>1</v>
      </c>
      <c r="P198" s="1195"/>
      <c r="Q198" s="1195"/>
      <c r="R198" s="1195"/>
      <c r="S198" s="1195"/>
      <c r="T198" s="1195">
        <f t="shared" si="152"/>
        <v>0</v>
      </c>
      <c r="U198" s="1195"/>
      <c r="V198" s="1195"/>
      <c r="W198" s="1195"/>
      <c r="X198" s="1195">
        <v>1</v>
      </c>
      <c r="Y198" s="1195"/>
      <c r="Z198" s="1195"/>
      <c r="AA198" s="1195"/>
      <c r="AB198" s="1195">
        <v>1</v>
      </c>
      <c r="AC198" s="1195"/>
      <c r="AD198" s="1196"/>
      <c r="AE198" s="1196"/>
      <c r="AF198" s="1086">
        <f t="shared" si="142"/>
        <v>0</v>
      </c>
      <c r="AG198" s="1196"/>
      <c r="AH198" s="1195"/>
      <c r="AI198" s="1195"/>
      <c r="AJ198" s="1197"/>
      <c r="AK198" s="1197"/>
      <c r="AL198" s="1197"/>
      <c r="AM198" s="1197"/>
      <c r="AN198" s="1071">
        <f t="shared" si="135"/>
        <v>0</v>
      </c>
      <c r="AO198" s="1193"/>
      <c r="AP198" s="1193"/>
      <c r="AQ198" s="1193"/>
      <c r="AR198" s="1193"/>
      <c r="AS198" s="1195"/>
      <c r="AT198" s="1195"/>
      <c r="AU198" s="1085">
        <f t="shared" si="143"/>
        <v>0</v>
      </c>
      <c r="AV198" s="1195"/>
      <c r="AW198" s="1195"/>
      <c r="AX198" s="1195">
        <v>1</v>
      </c>
      <c r="AY198" s="1195"/>
      <c r="AZ198" s="1195"/>
      <c r="BA198" s="934">
        <f t="shared" si="136"/>
        <v>0</v>
      </c>
      <c r="BB198" s="1061"/>
      <c r="BC198" s="1195"/>
      <c r="BD198" s="1195"/>
      <c r="BE198" s="1195"/>
      <c r="BF198" s="1195"/>
      <c r="BG198" s="1085">
        <f t="shared" si="147"/>
        <v>0</v>
      </c>
      <c r="BH198" s="1085">
        <f t="shared" si="149"/>
        <v>0</v>
      </c>
      <c r="BI198" s="1085">
        <f t="shared" si="148"/>
        <v>0</v>
      </c>
      <c r="BJ198" s="1195"/>
      <c r="BK198" s="1195"/>
      <c r="BL198" s="1195"/>
      <c r="BM198" s="1195"/>
      <c r="BN198" s="1195"/>
      <c r="BO198" s="1196"/>
      <c r="BP198" s="1196"/>
      <c r="BQ198" s="1196"/>
      <c r="BR198" s="1196"/>
      <c r="BS198" s="1196"/>
      <c r="BT198" s="1195"/>
      <c r="BU198" s="1195"/>
      <c r="BV198" s="1195"/>
      <c r="BW198" s="1195"/>
      <c r="BX198" s="1195"/>
      <c r="BY198" s="1195"/>
      <c r="CA198" s="1200"/>
    </row>
    <row r="199" spans="5:79" s="977" customFormat="1" ht="21.6">
      <c r="E199" s="1056" t="s">
        <v>625</v>
      </c>
      <c r="F199" s="1073" t="s">
        <v>80</v>
      </c>
      <c r="G199" s="1073" t="s">
        <v>80</v>
      </c>
      <c r="H199" s="1066">
        <v>41</v>
      </c>
      <c r="I199" s="1082">
        <f t="shared" si="144"/>
        <v>41</v>
      </c>
      <c r="J199" s="1082">
        <f t="shared" si="133"/>
        <v>41</v>
      </c>
      <c r="K199" s="1082">
        <f t="shared" si="150"/>
        <v>41</v>
      </c>
      <c r="L199" s="1082">
        <f t="shared" si="134"/>
        <v>41</v>
      </c>
      <c r="M199" s="1178"/>
      <c r="N199" s="1057"/>
      <c r="O199" s="1058">
        <f>N199+M199</f>
        <v>0</v>
      </c>
      <c r="P199" s="934"/>
      <c r="Q199" s="934"/>
      <c r="R199" s="934"/>
      <c r="S199" s="934"/>
      <c r="T199" s="934">
        <f t="shared" si="152"/>
        <v>0</v>
      </c>
      <c r="U199" s="934"/>
      <c r="V199" s="934">
        <v>1</v>
      </c>
      <c r="W199" s="934">
        <v>1</v>
      </c>
      <c r="X199" s="934"/>
      <c r="Y199" s="934"/>
      <c r="Z199" s="934"/>
      <c r="AA199" s="934"/>
      <c r="AB199" s="934"/>
      <c r="AC199" s="934"/>
      <c r="AD199" s="1048"/>
      <c r="AE199" s="1048"/>
      <c r="AF199" s="1086">
        <f t="shared" si="142"/>
        <v>0</v>
      </c>
      <c r="AG199" s="1048"/>
      <c r="AH199" s="934"/>
      <c r="AI199" s="934"/>
      <c r="AJ199" s="1074"/>
      <c r="AK199" s="1074"/>
      <c r="AL199" s="1074"/>
      <c r="AM199" s="1074"/>
      <c r="AN199" s="1071">
        <f t="shared" si="135"/>
        <v>0</v>
      </c>
      <c r="AO199" s="1049"/>
      <c r="AP199" s="1049"/>
      <c r="AQ199" s="1049"/>
      <c r="AR199" s="1049"/>
      <c r="AS199" s="934"/>
      <c r="AT199" s="934"/>
      <c r="AU199" s="1085">
        <f t="shared" si="143"/>
        <v>0</v>
      </c>
      <c r="AV199" s="934"/>
      <c r="AW199" s="934"/>
      <c r="AX199" s="934">
        <v>1</v>
      </c>
      <c r="AY199" s="934"/>
      <c r="AZ199" s="934"/>
      <c r="BA199" s="934">
        <f t="shared" si="136"/>
        <v>0</v>
      </c>
      <c r="BB199" s="1061"/>
      <c r="BC199" s="934"/>
      <c r="BD199" s="934"/>
      <c r="BE199" s="934">
        <v>2</v>
      </c>
      <c r="BF199" s="934"/>
      <c r="BG199" s="1085">
        <f t="shared" si="147"/>
        <v>0</v>
      </c>
      <c r="BH199" s="1085">
        <f t="shared" si="149"/>
        <v>0</v>
      </c>
      <c r="BI199" s="1085">
        <f t="shared" si="148"/>
        <v>0</v>
      </c>
      <c r="BJ199" s="934"/>
      <c r="BK199" s="934"/>
      <c r="BL199" s="934">
        <v>1</v>
      </c>
      <c r="BM199" s="934"/>
      <c r="BN199" s="934"/>
      <c r="BO199" s="1048"/>
      <c r="BP199" s="1048"/>
      <c r="BQ199" s="1048"/>
      <c r="BR199" s="1048"/>
      <c r="BS199" s="1048"/>
      <c r="BT199" s="934"/>
      <c r="BU199" s="934"/>
      <c r="BV199" s="934"/>
      <c r="BW199" s="934"/>
      <c r="BX199" s="934"/>
      <c r="BY199" s="934"/>
      <c r="BZ199" s="1077"/>
      <c r="CA199" s="1072"/>
    </row>
    <row r="200" spans="5:79" s="977" customFormat="1" ht="21.6">
      <c r="E200" s="1056" t="s">
        <v>626</v>
      </c>
      <c r="F200" s="1073" t="s">
        <v>80</v>
      </c>
      <c r="G200" s="1073" t="s">
        <v>80</v>
      </c>
      <c r="H200" s="1066">
        <v>77.900000000000006</v>
      </c>
      <c r="I200" s="1082">
        <f t="shared" si="144"/>
        <v>77.900000000000006</v>
      </c>
      <c r="J200" s="1082">
        <f t="shared" si="133"/>
        <v>77.900000000000006</v>
      </c>
      <c r="K200" s="1082">
        <f t="shared" si="150"/>
        <v>77.900000000000006</v>
      </c>
      <c r="L200" s="1082">
        <f t="shared" si="134"/>
        <v>77.900000000000006</v>
      </c>
      <c r="M200" s="1178"/>
      <c r="N200" s="1057"/>
      <c r="O200" s="1058"/>
      <c r="P200" s="934"/>
      <c r="Q200" s="934"/>
      <c r="R200" s="934"/>
      <c r="S200" s="934"/>
      <c r="T200" s="934"/>
      <c r="U200" s="934"/>
      <c r="V200" s="934">
        <v>1</v>
      </c>
      <c r="W200" s="934">
        <v>1</v>
      </c>
      <c r="X200" s="934"/>
      <c r="Y200" s="934"/>
      <c r="Z200" s="934"/>
      <c r="AA200" s="934"/>
      <c r="AB200" s="934"/>
      <c r="AC200" s="934"/>
      <c r="AD200" s="1048"/>
      <c r="AE200" s="1048"/>
      <c r="AF200" s="1086">
        <f t="shared" si="142"/>
        <v>0</v>
      </c>
      <c r="AG200" s="1048"/>
      <c r="AH200" s="934"/>
      <c r="AI200" s="934"/>
      <c r="AJ200" s="1074"/>
      <c r="AK200" s="1074"/>
      <c r="AL200" s="1074"/>
      <c r="AM200" s="1074"/>
      <c r="AN200" s="1071">
        <f t="shared" si="135"/>
        <v>0</v>
      </c>
      <c r="AO200" s="1049"/>
      <c r="AP200" s="1049"/>
      <c r="AQ200" s="1049"/>
      <c r="AR200" s="1049"/>
      <c r="AS200" s="934"/>
      <c r="AT200" s="934"/>
      <c r="AU200" s="1085">
        <f t="shared" si="143"/>
        <v>0</v>
      </c>
      <c r="AV200" s="934"/>
      <c r="AW200" s="934"/>
      <c r="AX200" s="934">
        <v>1</v>
      </c>
      <c r="AY200" s="934"/>
      <c r="AZ200" s="934"/>
      <c r="BA200" s="934">
        <f t="shared" si="136"/>
        <v>0</v>
      </c>
      <c r="BB200" s="1061"/>
      <c r="BC200" s="934"/>
      <c r="BD200" s="934"/>
      <c r="BE200" s="934">
        <v>2</v>
      </c>
      <c r="BF200" s="934"/>
      <c r="BG200" s="1085">
        <f t="shared" si="147"/>
        <v>0</v>
      </c>
      <c r="BH200" s="1085">
        <f t="shared" si="149"/>
        <v>0</v>
      </c>
      <c r="BI200" s="1085">
        <f t="shared" si="148"/>
        <v>0</v>
      </c>
      <c r="BJ200" s="934"/>
      <c r="BK200" s="934"/>
      <c r="BL200" s="934">
        <v>1</v>
      </c>
      <c r="BM200" s="934"/>
      <c r="BN200" s="934"/>
      <c r="BO200" s="1048"/>
      <c r="BP200" s="1048"/>
      <c r="BQ200" s="1048"/>
      <c r="BR200" s="1048"/>
      <c r="BS200" s="1048"/>
      <c r="BT200" s="934"/>
      <c r="BU200" s="934"/>
      <c r="BV200" s="934"/>
      <c r="BW200" s="934"/>
      <c r="BX200" s="934"/>
      <c r="BY200" s="934"/>
      <c r="CA200" s="1072"/>
    </row>
    <row r="201" spans="5:79" s="1187" customFormat="1" ht="21.6">
      <c r="E201" s="1189" t="s">
        <v>817</v>
      </c>
      <c r="F201" s="1190"/>
      <c r="G201" s="1190" t="s">
        <v>80</v>
      </c>
      <c r="H201" s="1191">
        <v>40.4</v>
      </c>
      <c r="I201" s="1204">
        <f t="shared" si="144"/>
        <v>40.4</v>
      </c>
      <c r="J201" s="1204">
        <f t="shared" si="133"/>
        <v>40.4</v>
      </c>
      <c r="K201" s="1082">
        <f t="shared" si="150"/>
        <v>40.4</v>
      </c>
      <c r="L201" s="1204">
        <f t="shared" si="134"/>
        <v>40.4</v>
      </c>
      <c r="M201" s="1178">
        <v>1</v>
      </c>
      <c r="N201" s="1178"/>
      <c r="O201" s="1194">
        <f>N201+M201</f>
        <v>1</v>
      </c>
      <c r="P201" s="1195"/>
      <c r="Q201" s="1195"/>
      <c r="R201" s="1195"/>
      <c r="S201" s="1195"/>
      <c r="T201" s="1195">
        <f t="shared" ref="T201:T203" si="153">R201</f>
        <v>0</v>
      </c>
      <c r="U201" s="1195">
        <v>1</v>
      </c>
      <c r="V201" s="1195"/>
      <c r="W201" s="1195"/>
      <c r="X201" s="1195">
        <v>1</v>
      </c>
      <c r="Y201" s="1195"/>
      <c r="Z201" s="1195"/>
      <c r="AA201" s="1195"/>
      <c r="AB201" s="1195">
        <v>1</v>
      </c>
      <c r="AC201" s="1195"/>
      <c r="AD201" s="1196"/>
      <c r="AE201" s="1196"/>
      <c r="AF201" s="1086">
        <f t="shared" si="142"/>
        <v>0</v>
      </c>
      <c r="AG201" s="1196"/>
      <c r="AH201" s="1195"/>
      <c r="AI201" s="1195"/>
      <c r="AJ201" s="1197"/>
      <c r="AK201" s="1197"/>
      <c r="AL201" s="1197"/>
      <c r="AM201" s="1197"/>
      <c r="AN201" s="1071">
        <f t="shared" si="135"/>
        <v>0</v>
      </c>
      <c r="AO201" s="1193"/>
      <c r="AP201" s="1193"/>
      <c r="AQ201" s="1193"/>
      <c r="AR201" s="1193"/>
      <c r="AS201" s="1195"/>
      <c r="AT201" s="1195"/>
      <c r="AU201" s="1085">
        <f t="shared" si="143"/>
        <v>0</v>
      </c>
      <c r="AV201" s="1195"/>
      <c r="AW201" s="1195"/>
      <c r="AX201" s="1195">
        <v>1</v>
      </c>
      <c r="AY201" s="1195"/>
      <c r="AZ201" s="1195"/>
      <c r="BA201" s="934">
        <f t="shared" si="136"/>
        <v>0</v>
      </c>
      <c r="BB201" s="1061"/>
      <c r="BC201" s="1195"/>
      <c r="BD201" s="1195"/>
      <c r="BE201" s="1195"/>
      <c r="BF201" s="1195"/>
      <c r="BG201" s="1085">
        <f t="shared" si="147"/>
        <v>0</v>
      </c>
      <c r="BH201" s="1085">
        <f t="shared" si="149"/>
        <v>0</v>
      </c>
      <c r="BI201" s="1085">
        <f t="shared" si="148"/>
        <v>0</v>
      </c>
      <c r="BJ201" s="1195"/>
      <c r="BK201" s="1195"/>
      <c r="BL201" s="1195"/>
      <c r="BM201" s="1195"/>
      <c r="BN201" s="1195"/>
      <c r="BO201" s="1196"/>
      <c r="BP201" s="1196"/>
      <c r="BQ201" s="1196"/>
      <c r="BR201" s="1196"/>
      <c r="BS201" s="1196"/>
      <c r="BT201" s="1195"/>
      <c r="BU201" s="1195"/>
      <c r="BV201" s="1195"/>
      <c r="BW201" s="1195"/>
      <c r="BX201" s="1195"/>
      <c r="BY201" s="1198"/>
      <c r="BZ201" s="1202"/>
      <c r="CA201" s="1200"/>
    </row>
    <row r="202" spans="5:79" s="977" customFormat="1" ht="21.6">
      <c r="E202" s="1056" t="s">
        <v>627</v>
      </c>
      <c r="F202" s="1073" t="s">
        <v>148</v>
      </c>
      <c r="G202" s="1073" t="s">
        <v>148</v>
      </c>
      <c r="H202" s="1066">
        <v>40.4</v>
      </c>
      <c r="I202" s="1082">
        <f t="shared" si="144"/>
        <v>40.4</v>
      </c>
      <c r="J202" s="1082">
        <f t="shared" si="133"/>
        <v>40.4</v>
      </c>
      <c r="K202" s="1082">
        <f t="shared" si="150"/>
        <v>40.4</v>
      </c>
      <c r="L202" s="1082">
        <f t="shared" si="134"/>
        <v>40.4</v>
      </c>
      <c r="M202" s="1178"/>
      <c r="N202" s="1057"/>
      <c r="O202" s="1058">
        <f>N202+M202</f>
        <v>0</v>
      </c>
      <c r="P202" s="934"/>
      <c r="Q202" s="934">
        <v>2</v>
      </c>
      <c r="R202" s="934"/>
      <c r="S202" s="934"/>
      <c r="T202" s="934">
        <f t="shared" si="153"/>
        <v>0</v>
      </c>
      <c r="U202" s="934"/>
      <c r="V202" s="934"/>
      <c r="W202" s="934"/>
      <c r="X202" s="934">
        <v>1</v>
      </c>
      <c r="Y202" s="934"/>
      <c r="Z202" s="934"/>
      <c r="AA202" s="934"/>
      <c r="AB202" s="934"/>
      <c r="AC202" s="934">
        <v>2</v>
      </c>
      <c r="AD202" s="1048">
        <v>2</v>
      </c>
      <c r="AE202" s="1048"/>
      <c r="AF202" s="1086">
        <f t="shared" si="142"/>
        <v>2</v>
      </c>
      <c r="AG202" s="1048"/>
      <c r="AH202" s="934"/>
      <c r="AI202" s="934"/>
      <c r="AJ202" s="1074"/>
      <c r="AK202" s="1074"/>
      <c r="AL202" s="1074"/>
      <c r="AM202" s="1074"/>
      <c r="AN202" s="1071">
        <f t="shared" si="135"/>
        <v>0</v>
      </c>
      <c r="AO202" s="1049"/>
      <c r="AP202" s="1049"/>
      <c r="AQ202" s="1049"/>
      <c r="AR202" s="1049"/>
      <c r="AS202" s="934"/>
      <c r="AT202" s="934"/>
      <c r="AU202" s="1085">
        <f t="shared" si="143"/>
        <v>0</v>
      </c>
      <c r="AV202" s="934"/>
      <c r="AW202" s="934"/>
      <c r="AX202" s="934">
        <v>1</v>
      </c>
      <c r="AY202" s="934"/>
      <c r="AZ202" s="934"/>
      <c r="BA202" s="934">
        <f t="shared" si="136"/>
        <v>2</v>
      </c>
      <c r="BB202" s="1061"/>
      <c r="BC202" s="934"/>
      <c r="BD202" s="934"/>
      <c r="BE202" s="934"/>
      <c r="BF202" s="934"/>
      <c r="BG202" s="1085">
        <f t="shared" si="147"/>
        <v>0</v>
      </c>
      <c r="BH202" s="1085">
        <f t="shared" si="149"/>
        <v>2</v>
      </c>
      <c r="BI202" s="1085">
        <f t="shared" si="148"/>
        <v>0</v>
      </c>
      <c r="BJ202" s="934"/>
      <c r="BK202" s="934">
        <v>2</v>
      </c>
      <c r="BL202" s="934"/>
      <c r="BM202" s="934"/>
      <c r="BN202" s="934"/>
      <c r="BO202" s="1048">
        <v>2</v>
      </c>
      <c r="BP202" s="1048"/>
      <c r="BQ202" s="1048"/>
      <c r="BR202" s="1048"/>
      <c r="BS202" s="1048"/>
      <c r="BT202" s="934"/>
      <c r="BU202" s="934"/>
      <c r="BV202" s="934"/>
      <c r="BW202" s="934"/>
      <c r="BX202" s="934"/>
      <c r="BY202" s="934"/>
      <c r="CA202" s="1072"/>
    </row>
    <row r="203" spans="5:79" s="977" customFormat="1" ht="21.6">
      <c r="E203" s="1056" t="s">
        <v>657</v>
      </c>
      <c r="F203" s="1073" t="s">
        <v>374</v>
      </c>
      <c r="G203" s="1073" t="s">
        <v>374</v>
      </c>
      <c r="H203" s="1066">
        <v>74</v>
      </c>
      <c r="I203" s="1082">
        <f t="shared" si="144"/>
        <v>74</v>
      </c>
      <c r="J203" s="1082">
        <f t="shared" si="133"/>
        <v>74</v>
      </c>
      <c r="K203" s="1082">
        <f t="shared" si="150"/>
        <v>74</v>
      </c>
      <c r="L203" s="1082">
        <f t="shared" si="134"/>
        <v>74</v>
      </c>
      <c r="M203" s="1178"/>
      <c r="N203" s="1057"/>
      <c r="O203" s="1058">
        <f>N203+M203</f>
        <v>0</v>
      </c>
      <c r="P203" s="934"/>
      <c r="Q203" s="934">
        <v>1</v>
      </c>
      <c r="R203" s="934"/>
      <c r="S203" s="934"/>
      <c r="T203" s="934">
        <f t="shared" si="153"/>
        <v>0</v>
      </c>
      <c r="U203" s="934"/>
      <c r="V203" s="934"/>
      <c r="W203" s="934">
        <v>2</v>
      </c>
      <c r="X203" s="934"/>
      <c r="Y203" s="934"/>
      <c r="Z203" s="934"/>
      <c r="AA203" s="934">
        <v>1</v>
      </c>
      <c r="AB203" s="934"/>
      <c r="AC203" s="934"/>
      <c r="AD203" s="1048"/>
      <c r="AE203" s="1048"/>
      <c r="AF203" s="1086">
        <f t="shared" si="142"/>
        <v>0</v>
      </c>
      <c r="AG203" s="1048"/>
      <c r="AH203" s="934"/>
      <c r="AI203" s="934"/>
      <c r="AJ203" s="1074"/>
      <c r="AK203" s="1074"/>
      <c r="AL203" s="1074"/>
      <c r="AM203" s="1074"/>
      <c r="AN203" s="1071">
        <f t="shared" si="135"/>
        <v>0</v>
      </c>
      <c r="AO203" s="1049"/>
      <c r="AP203" s="1049"/>
      <c r="AQ203" s="1049"/>
      <c r="AR203" s="1049"/>
      <c r="AS203" s="934"/>
      <c r="AT203" s="934"/>
      <c r="AU203" s="1085">
        <f t="shared" si="143"/>
        <v>0</v>
      </c>
      <c r="AV203" s="934"/>
      <c r="AW203" s="934"/>
      <c r="AX203" s="934"/>
      <c r="AY203" s="934">
        <v>2</v>
      </c>
      <c r="AZ203" s="934"/>
      <c r="BA203" s="934">
        <f t="shared" si="136"/>
        <v>0</v>
      </c>
      <c r="BB203" s="1061"/>
      <c r="BC203" s="934"/>
      <c r="BD203" s="934"/>
      <c r="BE203" s="934"/>
      <c r="BF203" s="934">
        <v>2</v>
      </c>
      <c r="BG203" s="1085">
        <f t="shared" si="147"/>
        <v>0</v>
      </c>
      <c r="BH203" s="1085">
        <f t="shared" si="149"/>
        <v>1</v>
      </c>
      <c r="BI203" s="1085">
        <f t="shared" si="148"/>
        <v>0</v>
      </c>
      <c r="BJ203" s="934"/>
      <c r="BK203" s="934"/>
      <c r="BL203" s="934">
        <v>2</v>
      </c>
      <c r="BM203" s="934"/>
      <c r="BN203" s="934"/>
      <c r="BO203" s="1048"/>
      <c r="BP203" s="1048"/>
      <c r="BQ203" s="1048"/>
      <c r="BR203" s="1048"/>
      <c r="BS203" s="1048"/>
      <c r="BT203" s="934"/>
      <c r="BU203" s="934"/>
      <c r="BV203" s="934"/>
      <c r="BW203" s="934"/>
      <c r="BX203" s="934"/>
      <c r="BY203" s="934"/>
      <c r="BZ203" s="1077"/>
      <c r="CA203" s="1072"/>
    </row>
    <row r="204" spans="5:79" s="977" customFormat="1" ht="21.6">
      <c r="E204" s="1080" t="s">
        <v>658</v>
      </c>
      <c r="F204" s="1081" t="s">
        <v>80</v>
      </c>
      <c r="G204" s="1081" t="s">
        <v>80</v>
      </c>
      <c r="H204" s="1082">
        <v>74.400000000000006</v>
      </c>
      <c r="I204" s="1082">
        <f t="shared" si="144"/>
        <v>74.400000000000006</v>
      </c>
      <c r="J204" s="1082">
        <f t="shared" si="133"/>
        <v>74.400000000000006</v>
      </c>
      <c r="K204" s="1082">
        <f t="shared" si="150"/>
        <v>74.400000000000006</v>
      </c>
      <c r="L204" s="1082">
        <f t="shared" si="134"/>
        <v>74.400000000000006</v>
      </c>
      <c r="M204" s="1182"/>
      <c r="N204" s="1083"/>
      <c r="O204" s="1084"/>
      <c r="P204" s="1085"/>
      <c r="Q204" s="1085"/>
      <c r="R204" s="1085"/>
      <c r="S204" s="1085"/>
      <c r="T204" s="1085"/>
      <c r="U204" s="1085"/>
      <c r="V204" s="1085">
        <v>1</v>
      </c>
      <c r="W204" s="1085">
        <v>1</v>
      </c>
      <c r="X204" s="1085"/>
      <c r="Y204" s="1085"/>
      <c r="Z204" s="1085"/>
      <c r="AA204" s="1085"/>
      <c r="AB204" s="1085"/>
      <c r="AC204" s="1085"/>
      <c r="AD204" s="1086"/>
      <c r="AE204" s="1086"/>
      <c r="AF204" s="1086">
        <f t="shared" si="142"/>
        <v>0</v>
      </c>
      <c r="AG204" s="1086"/>
      <c r="AH204" s="1085"/>
      <c r="AI204" s="1085"/>
      <c r="AJ204" s="1087"/>
      <c r="AK204" s="1087"/>
      <c r="AL204" s="1087"/>
      <c r="AM204" s="1087"/>
      <c r="AN204" s="1071">
        <f t="shared" si="135"/>
        <v>0</v>
      </c>
      <c r="AO204" s="1071"/>
      <c r="AP204" s="1071"/>
      <c r="AQ204" s="1071"/>
      <c r="AR204" s="1071"/>
      <c r="AS204" s="1085"/>
      <c r="AT204" s="1085"/>
      <c r="AU204" s="1085">
        <f t="shared" si="143"/>
        <v>0</v>
      </c>
      <c r="AV204" s="1085"/>
      <c r="AW204" s="1085"/>
      <c r="AX204" s="1085">
        <v>1</v>
      </c>
      <c r="AY204" s="1085"/>
      <c r="AZ204" s="1085"/>
      <c r="BA204" s="934">
        <f t="shared" si="136"/>
        <v>0</v>
      </c>
      <c r="BB204" s="1061"/>
      <c r="BC204" s="1085"/>
      <c r="BD204" s="1085"/>
      <c r="BE204" s="1085">
        <v>2</v>
      </c>
      <c r="BF204" s="1085"/>
      <c r="BG204" s="1085">
        <f t="shared" si="147"/>
        <v>0</v>
      </c>
      <c r="BH204" s="1085">
        <f t="shared" si="149"/>
        <v>0</v>
      </c>
      <c r="BI204" s="1085">
        <f t="shared" si="148"/>
        <v>0</v>
      </c>
      <c r="BJ204" s="1085"/>
      <c r="BK204" s="1085"/>
      <c r="BL204" s="1085">
        <v>1</v>
      </c>
      <c r="BM204" s="1085"/>
      <c r="BN204" s="1085"/>
      <c r="BO204" s="1086"/>
      <c r="BP204" s="1086"/>
      <c r="BQ204" s="1086"/>
      <c r="BR204" s="1086"/>
      <c r="BS204" s="1086"/>
      <c r="BT204" s="1085"/>
      <c r="BU204" s="1085"/>
      <c r="BV204" s="1085"/>
      <c r="BW204" s="1085"/>
      <c r="BX204" s="1085"/>
      <c r="BY204" s="1085"/>
      <c r="CA204" s="1072"/>
    </row>
    <row r="205" spans="5:79" s="977" customFormat="1" ht="21.6">
      <c r="E205" s="1056" t="s">
        <v>659</v>
      </c>
      <c r="F205" s="1073" t="s">
        <v>80</v>
      </c>
      <c r="G205" s="1073" t="s">
        <v>80</v>
      </c>
      <c r="H205" s="1066">
        <v>74.599999999999994</v>
      </c>
      <c r="I205" s="1082">
        <f t="shared" si="144"/>
        <v>74.599999999999994</v>
      </c>
      <c r="J205" s="1082">
        <f t="shared" si="133"/>
        <v>74.599999999999994</v>
      </c>
      <c r="K205" s="1082">
        <f t="shared" si="150"/>
        <v>74.599999999999994</v>
      </c>
      <c r="L205" s="1082">
        <f t="shared" si="134"/>
        <v>74.599999999999994</v>
      </c>
      <c r="M205" s="1178"/>
      <c r="N205" s="1057"/>
      <c r="O205" s="1058">
        <f>N205+M205</f>
        <v>0</v>
      </c>
      <c r="P205" s="934"/>
      <c r="Q205" s="934"/>
      <c r="R205" s="934"/>
      <c r="S205" s="934"/>
      <c r="T205" s="934">
        <f t="shared" ref="T205" si="154">R205</f>
        <v>0</v>
      </c>
      <c r="U205" s="934"/>
      <c r="V205" s="934">
        <v>1</v>
      </c>
      <c r="W205" s="934">
        <v>1</v>
      </c>
      <c r="X205" s="934"/>
      <c r="Y205" s="934"/>
      <c r="Z205" s="934"/>
      <c r="AA205" s="934"/>
      <c r="AB205" s="934"/>
      <c r="AC205" s="934"/>
      <c r="AD205" s="1048"/>
      <c r="AE205" s="1048"/>
      <c r="AF205" s="1086">
        <f t="shared" si="142"/>
        <v>0</v>
      </c>
      <c r="AG205" s="1048"/>
      <c r="AH205" s="934"/>
      <c r="AI205" s="934"/>
      <c r="AJ205" s="1074"/>
      <c r="AK205" s="1074"/>
      <c r="AL205" s="1074"/>
      <c r="AM205" s="1074"/>
      <c r="AN205" s="1071">
        <f t="shared" si="135"/>
        <v>0</v>
      </c>
      <c r="AO205" s="1049"/>
      <c r="AP205" s="1049"/>
      <c r="AQ205" s="1049"/>
      <c r="AR205" s="1049"/>
      <c r="AS205" s="934"/>
      <c r="AT205" s="934"/>
      <c r="AU205" s="1085">
        <f t="shared" si="143"/>
        <v>0</v>
      </c>
      <c r="AV205" s="934"/>
      <c r="AW205" s="934"/>
      <c r="AX205" s="934">
        <v>1</v>
      </c>
      <c r="AY205" s="934"/>
      <c r="AZ205" s="934"/>
      <c r="BA205" s="934">
        <f t="shared" si="136"/>
        <v>0</v>
      </c>
      <c r="BB205" s="1061"/>
      <c r="BC205" s="934"/>
      <c r="BD205" s="934"/>
      <c r="BE205" s="934">
        <v>2</v>
      </c>
      <c r="BF205" s="934"/>
      <c r="BG205" s="1085">
        <f t="shared" si="147"/>
        <v>0</v>
      </c>
      <c r="BH205" s="1085">
        <f t="shared" si="149"/>
        <v>0</v>
      </c>
      <c r="BI205" s="1085">
        <f t="shared" si="148"/>
        <v>0</v>
      </c>
      <c r="BJ205" s="934"/>
      <c r="BK205" s="934"/>
      <c r="BL205" s="934">
        <v>1</v>
      </c>
      <c r="BM205" s="934"/>
      <c r="BN205" s="934"/>
      <c r="BO205" s="1048"/>
      <c r="BP205" s="1048"/>
      <c r="BQ205" s="1048"/>
      <c r="BR205" s="1048"/>
      <c r="BS205" s="1048"/>
      <c r="BT205" s="934"/>
      <c r="BU205" s="934"/>
      <c r="BV205" s="934"/>
      <c r="BW205" s="934"/>
      <c r="BX205" s="934"/>
      <c r="BY205" s="1076"/>
      <c r="BZ205" s="1077"/>
      <c r="CA205" s="1072"/>
    </row>
    <row r="206" spans="5:79" s="977" customFormat="1" ht="21.6">
      <c r="E206" s="1056" t="s">
        <v>660</v>
      </c>
      <c r="F206" s="1073" t="s">
        <v>80</v>
      </c>
      <c r="G206" s="1073" t="s">
        <v>80</v>
      </c>
      <c r="H206" s="1066">
        <v>76.8</v>
      </c>
      <c r="I206" s="1082">
        <f t="shared" si="144"/>
        <v>76.8</v>
      </c>
      <c r="J206" s="1082">
        <f t="shared" si="133"/>
        <v>76.8</v>
      </c>
      <c r="K206" s="1082">
        <f t="shared" si="150"/>
        <v>76.8</v>
      </c>
      <c r="L206" s="1082">
        <f t="shared" si="134"/>
        <v>76.8</v>
      </c>
      <c r="M206" s="1178"/>
      <c r="N206" s="1057"/>
      <c r="O206" s="1058">
        <f>N206+M206</f>
        <v>0</v>
      </c>
      <c r="P206" s="934"/>
      <c r="Q206" s="934"/>
      <c r="R206" s="934"/>
      <c r="S206" s="934"/>
      <c r="T206" s="934">
        <f t="shared" ref="T206:T208" si="155">R206</f>
        <v>0</v>
      </c>
      <c r="U206" s="934"/>
      <c r="V206" s="934">
        <v>1</v>
      </c>
      <c r="W206" s="934">
        <v>1</v>
      </c>
      <c r="X206" s="934"/>
      <c r="Y206" s="934"/>
      <c r="Z206" s="934"/>
      <c r="AA206" s="934"/>
      <c r="AB206" s="934"/>
      <c r="AC206" s="934">
        <v>2</v>
      </c>
      <c r="AD206" s="1048"/>
      <c r="AE206" s="1048"/>
      <c r="AF206" s="1086">
        <f t="shared" si="142"/>
        <v>0</v>
      </c>
      <c r="AG206" s="1048"/>
      <c r="AH206" s="934"/>
      <c r="AI206" s="934"/>
      <c r="AJ206" s="1074"/>
      <c r="AK206" s="1074"/>
      <c r="AL206" s="1074"/>
      <c r="AM206" s="1074"/>
      <c r="AN206" s="1071">
        <f t="shared" si="135"/>
        <v>0</v>
      </c>
      <c r="AO206" s="1049"/>
      <c r="AP206" s="1049"/>
      <c r="AQ206" s="1049"/>
      <c r="AR206" s="1049"/>
      <c r="AS206" s="934"/>
      <c r="AT206" s="934"/>
      <c r="AU206" s="1085">
        <f t="shared" si="143"/>
        <v>0</v>
      </c>
      <c r="AV206" s="934"/>
      <c r="AW206" s="934"/>
      <c r="AX206" s="934">
        <v>1</v>
      </c>
      <c r="AY206" s="934"/>
      <c r="AZ206" s="934"/>
      <c r="BA206" s="934">
        <f t="shared" si="136"/>
        <v>0</v>
      </c>
      <c r="BB206" s="1061"/>
      <c r="BC206" s="934"/>
      <c r="BD206" s="934"/>
      <c r="BE206" s="934">
        <v>2</v>
      </c>
      <c r="BF206" s="934"/>
      <c r="BG206" s="1085">
        <f t="shared" si="147"/>
        <v>0</v>
      </c>
      <c r="BH206" s="1085">
        <f t="shared" si="149"/>
        <v>0</v>
      </c>
      <c r="BI206" s="1085">
        <f t="shared" si="148"/>
        <v>0</v>
      </c>
      <c r="BJ206" s="934"/>
      <c r="BK206" s="934"/>
      <c r="BL206" s="934">
        <v>1</v>
      </c>
      <c r="BM206" s="934"/>
      <c r="BN206" s="934"/>
      <c r="BO206" s="1048"/>
      <c r="BP206" s="1048"/>
      <c r="BQ206" s="1048"/>
      <c r="BR206" s="1048"/>
      <c r="BS206" s="1048"/>
      <c r="BT206" s="934"/>
      <c r="BU206" s="934"/>
      <c r="BV206" s="934"/>
      <c r="BW206" s="934"/>
      <c r="BX206" s="934"/>
      <c r="BY206" s="1076" t="s">
        <v>894</v>
      </c>
      <c r="BZ206" s="1077"/>
      <c r="CA206" s="1072"/>
    </row>
    <row r="207" spans="5:79" s="977" customFormat="1" ht="21.6">
      <c r="E207" s="1056" t="s">
        <v>661</v>
      </c>
      <c r="F207" s="1073" t="s">
        <v>80</v>
      </c>
      <c r="G207" s="1073" t="s">
        <v>80</v>
      </c>
      <c r="H207" s="1066">
        <v>75.3</v>
      </c>
      <c r="I207" s="1082">
        <f t="shared" si="144"/>
        <v>75.3</v>
      </c>
      <c r="J207" s="1082">
        <f t="shared" si="133"/>
        <v>75.3</v>
      </c>
      <c r="K207" s="1082"/>
      <c r="L207" s="1082">
        <f t="shared" si="134"/>
        <v>75.3</v>
      </c>
      <c r="M207" s="1178"/>
      <c r="N207" s="1057"/>
      <c r="O207" s="1058">
        <f>N207+M207</f>
        <v>0</v>
      </c>
      <c r="P207" s="934"/>
      <c r="Q207" s="934"/>
      <c r="R207" s="934"/>
      <c r="S207" s="934"/>
      <c r="T207" s="934">
        <f t="shared" si="155"/>
        <v>0</v>
      </c>
      <c r="U207" s="934">
        <v>1</v>
      </c>
      <c r="V207" s="934">
        <v>1</v>
      </c>
      <c r="W207" s="934">
        <v>1</v>
      </c>
      <c r="X207" s="934"/>
      <c r="Y207" s="934"/>
      <c r="Z207" s="934"/>
      <c r="AA207" s="934"/>
      <c r="AB207" s="934"/>
      <c r="AC207" s="934"/>
      <c r="AD207" s="1048"/>
      <c r="AE207" s="1048"/>
      <c r="AF207" s="1086">
        <f t="shared" si="142"/>
        <v>0</v>
      </c>
      <c r="AG207" s="1048"/>
      <c r="AH207" s="934"/>
      <c r="AI207" s="934"/>
      <c r="AJ207" s="1074"/>
      <c r="AK207" s="1074"/>
      <c r="AL207" s="1074"/>
      <c r="AM207" s="1074"/>
      <c r="AN207" s="1071">
        <f t="shared" si="135"/>
        <v>0</v>
      </c>
      <c r="AO207" s="1049"/>
      <c r="AP207" s="1049"/>
      <c r="AQ207" s="1049"/>
      <c r="AR207" s="1049"/>
      <c r="AS207" s="934"/>
      <c r="AT207" s="934"/>
      <c r="AU207" s="1085">
        <f t="shared" si="143"/>
        <v>0</v>
      </c>
      <c r="AV207" s="934"/>
      <c r="AW207" s="934"/>
      <c r="AX207" s="934">
        <v>1</v>
      </c>
      <c r="AY207" s="934"/>
      <c r="AZ207" s="934"/>
      <c r="BA207" s="934">
        <f t="shared" si="136"/>
        <v>0</v>
      </c>
      <c r="BB207" s="1061">
        <f t="shared" ref="BB207:BB218" si="156">H207</f>
        <v>75.3</v>
      </c>
      <c r="BC207" s="934"/>
      <c r="BD207" s="934"/>
      <c r="BE207" s="934">
        <v>2</v>
      </c>
      <c r="BF207" s="934"/>
      <c r="BG207" s="1085">
        <f t="shared" si="147"/>
        <v>0</v>
      </c>
      <c r="BH207" s="1085">
        <f t="shared" si="149"/>
        <v>0</v>
      </c>
      <c r="BI207" s="1085">
        <f t="shared" si="148"/>
        <v>0</v>
      </c>
      <c r="BJ207" s="934"/>
      <c r="BK207" s="934"/>
      <c r="BL207" s="934">
        <v>1</v>
      </c>
      <c r="BM207" s="934"/>
      <c r="BN207" s="934"/>
      <c r="BO207" s="1048"/>
      <c r="BP207" s="1048"/>
      <c r="BQ207" s="1048"/>
      <c r="BR207" s="1048"/>
      <c r="BS207" s="1048"/>
      <c r="BT207" s="934"/>
      <c r="BU207" s="934"/>
      <c r="BV207" s="934"/>
      <c r="BW207" s="934"/>
      <c r="BX207" s="934"/>
      <c r="BY207" s="934"/>
      <c r="CA207" s="1072"/>
    </row>
    <row r="208" spans="5:79" s="977" customFormat="1" ht="21.6">
      <c r="E208" s="1056" t="s">
        <v>662</v>
      </c>
      <c r="F208" s="1073" t="s">
        <v>80</v>
      </c>
      <c r="G208" s="1073" t="s">
        <v>80</v>
      </c>
      <c r="H208" s="1066">
        <v>73.7</v>
      </c>
      <c r="I208" s="1082">
        <f t="shared" si="144"/>
        <v>73.7</v>
      </c>
      <c r="J208" s="1082">
        <f t="shared" si="133"/>
        <v>73.7</v>
      </c>
      <c r="K208" s="1082"/>
      <c r="L208" s="1082">
        <f t="shared" si="134"/>
        <v>73.7</v>
      </c>
      <c r="M208" s="1178"/>
      <c r="N208" s="1057"/>
      <c r="O208" s="1058">
        <f>N208+M208</f>
        <v>0</v>
      </c>
      <c r="P208" s="934"/>
      <c r="Q208" s="934"/>
      <c r="R208" s="934"/>
      <c r="S208" s="934"/>
      <c r="T208" s="934">
        <f t="shared" si="155"/>
        <v>0</v>
      </c>
      <c r="U208" s="934"/>
      <c r="V208" s="934">
        <v>1</v>
      </c>
      <c r="W208" s="934">
        <v>1</v>
      </c>
      <c r="X208" s="934"/>
      <c r="Y208" s="934"/>
      <c r="Z208" s="934"/>
      <c r="AA208" s="934"/>
      <c r="AB208" s="934"/>
      <c r="AC208" s="934"/>
      <c r="AD208" s="1048"/>
      <c r="AE208" s="1048"/>
      <c r="AF208" s="1086">
        <f t="shared" si="142"/>
        <v>0</v>
      </c>
      <c r="AG208" s="1048"/>
      <c r="AH208" s="934"/>
      <c r="AI208" s="934"/>
      <c r="AJ208" s="1074"/>
      <c r="AK208" s="1074"/>
      <c r="AL208" s="1074"/>
      <c r="AM208" s="1074"/>
      <c r="AN208" s="1071">
        <f t="shared" si="135"/>
        <v>0</v>
      </c>
      <c r="AO208" s="1049"/>
      <c r="AP208" s="1049"/>
      <c r="AQ208" s="1049"/>
      <c r="AR208" s="1049"/>
      <c r="AS208" s="934"/>
      <c r="AT208" s="934"/>
      <c r="AU208" s="1085">
        <f t="shared" si="143"/>
        <v>0</v>
      </c>
      <c r="AV208" s="934"/>
      <c r="AW208" s="934"/>
      <c r="AX208" s="934">
        <v>1</v>
      </c>
      <c r="AY208" s="934"/>
      <c r="AZ208" s="934"/>
      <c r="BA208" s="934">
        <f t="shared" si="136"/>
        <v>0</v>
      </c>
      <c r="BB208" s="1061">
        <f t="shared" si="156"/>
        <v>73.7</v>
      </c>
      <c r="BC208" s="934"/>
      <c r="BD208" s="934"/>
      <c r="BE208" s="934">
        <v>2</v>
      </c>
      <c r="BF208" s="934"/>
      <c r="BG208" s="1085">
        <f t="shared" si="147"/>
        <v>0</v>
      </c>
      <c r="BH208" s="1085">
        <f t="shared" si="149"/>
        <v>0</v>
      </c>
      <c r="BI208" s="1085">
        <f t="shared" si="148"/>
        <v>0</v>
      </c>
      <c r="BJ208" s="934"/>
      <c r="BK208" s="934"/>
      <c r="BL208" s="934">
        <v>1</v>
      </c>
      <c r="BM208" s="934"/>
      <c r="BN208" s="934"/>
      <c r="BO208" s="1048"/>
      <c r="BP208" s="1048"/>
      <c r="BQ208" s="1048"/>
      <c r="BR208" s="1048"/>
      <c r="BS208" s="1048"/>
      <c r="BT208" s="934"/>
      <c r="BU208" s="934"/>
      <c r="BV208" s="934"/>
      <c r="BW208" s="934"/>
      <c r="BX208" s="934"/>
      <c r="BY208" s="934"/>
      <c r="BZ208" s="1077"/>
      <c r="CA208" s="1072"/>
    </row>
    <row r="209" spans="4:79" s="977" customFormat="1" ht="21.6">
      <c r="E209" s="1056" t="s">
        <v>663</v>
      </c>
      <c r="F209" s="1073" t="s">
        <v>80</v>
      </c>
      <c r="G209" s="1073" t="s">
        <v>80</v>
      </c>
      <c r="H209" s="1066">
        <v>76.8</v>
      </c>
      <c r="I209" s="1082">
        <f t="shared" si="144"/>
        <v>76.8</v>
      </c>
      <c r="J209" s="1082">
        <f t="shared" si="133"/>
        <v>76.8</v>
      </c>
      <c r="K209" s="1082"/>
      <c r="L209" s="1082">
        <f t="shared" si="134"/>
        <v>76.8</v>
      </c>
      <c r="M209" s="1178"/>
      <c r="N209" s="1057"/>
      <c r="O209" s="1058"/>
      <c r="P209" s="934"/>
      <c r="Q209" s="934"/>
      <c r="R209" s="934"/>
      <c r="S209" s="934"/>
      <c r="T209" s="934"/>
      <c r="U209" s="934"/>
      <c r="V209" s="934">
        <v>1</v>
      </c>
      <c r="W209" s="934">
        <v>1</v>
      </c>
      <c r="X209" s="934"/>
      <c r="Y209" s="934"/>
      <c r="Z209" s="934"/>
      <c r="AA209" s="934"/>
      <c r="AB209" s="934"/>
      <c r="AC209" s="934"/>
      <c r="AD209" s="1048"/>
      <c r="AE209" s="1048"/>
      <c r="AF209" s="1086">
        <f t="shared" si="142"/>
        <v>0</v>
      </c>
      <c r="AG209" s="1048"/>
      <c r="AH209" s="934"/>
      <c r="AI209" s="934"/>
      <c r="AJ209" s="1074">
        <v>1</v>
      </c>
      <c r="AK209" s="1074">
        <v>1</v>
      </c>
      <c r="AL209" s="1074"/>
      <c r="AM209" s="1074"/>
      <c r="AN209" s="1071">
        <f t="shared" si="135"/>
        <v>1</v>
      </c>
      <c r="AO209" s="1049"/>
      <c r="AP209" s="1049"/>
      <c r="AQ209" s="1049"/>
      <c r="AR209" s="1049"/>
      <c r="AS209" s="934"/>
      <c r="AT209" s="934"/>
      <c r="AU209" s="1085">
        <f t="shared" si="143"/>
        <v>0</v>
      </c>
      <c r="AV209" s="934"/>
      <c r="AW209" s="934"/>
      <c r="AX209" s="934">
        <v>1</v>
      </c>
      <c r="AY209" s="934"/>
      <c r="AZ209" s="934"/>
      <c r="BA209" s="934">
        <f t="shared" si="136"/>
        <v>0</v>
      </c>
      <c r="BB209" s="1061">
        <f t="shared" si="156"/>
        <v>76.8</v>
      </c>
      <c r="BC209" s="934"/>
      <c r="BD209" s="934"/>
      <c r="BE209" s="934">
        <v>2</v>
      </c>
      <c r="BF209" s="934"/>
      <c r="BG209" s="1085">
        <f t="shared" si="147"/>
        <v>0</v>
      </c>
      <c r="BH209" s="1085">
        <f t="shared" si="149"/>
        <v>0</v>
      </c>
      <c r="BI209" s="1085">
        <f t="shared" si="148"/>
        <v>0</v>
      </c>
      <c r="BJ209" s="934"/>
      <c r="BK209" s="934"/>
      <c r="BL209" s="934">
        <v>1</v>
      </c>
      <c r="BM209" s="934"/>
      <c r="BN209" s="934"/>
      <c r="BO209" s="1048"/>
      <c r="BP209" s="1048"/>
      <c r="BQ209" s="1048"/>
      <c r="BR209" s="1048"/>
      <c r="BS209" s="1048"/>
      <c r="BT209" s="934">
        <v>1</v>
      </c>
      <c r="BU209" s="934"/>
      <c r="BV209" s="934"/>
      <c r="BW209" s="934"/>
      <c r="BX209" s="934"/>
      <c r="BY209" s="934" t="s">
        <v>888</v>
      </c>
      <c r="CA209" s="1072"/>
    </row>
    <row r="210" spans="4:79" s="1187" customFormat="1" ht="21.6">
      <c r="E210" s="1189" t="s">
        <v>818</v>
      </c>
      <c r="F210" s="1190"/>
      <c r="G210" s="1190" t="s">
        <v>80</v>
      </c>
      <c r="H210" s="1191">
        <v>43.8</v>
      </c>
      <c r="I210" s="1204">
        <f t="shared" si="144"/>
        <v>43.8</v>
      </c>
      <c r="J210" s="1204">
        <f t="shared" si="133"/>
        <v>43.8</v>
      </c>
      <c r="K210" s="1204"/>
      <c r="L210" s="1204">
        <f t="shared" si="134"/>
        <v>43.8</v>
      </c>
      <c r="M210" s="1178">
        <v>1</v>
      </c>
      <c r="N210" s="1178"/>
      <c r="O210" s="1194">
        <f>N210+M210</f>
        <v>1</v>
      </c>
      <c r="P210" s="1195"/>
      <c r="Q210" s="1195"/>
      <c r="R210" s="1195"/>
      <c r="S210" s="1195"/>
      <c r="T210" s="1195">
        <f t="shared" ref="T210:T212" si="157">R210</f>
        <v>0</v>
      </c>
      <c r="U210" s="1195"/>
      <c r="V210" s="1195"/>
      <c r="W210" s="1195"/>
      <c r="X210" s="1195">
        <v>1</v>
      </c>
      <c r="Y210" s="1195"/>
      <c r="Z210" s="1195"/>
      <c r="AA210" s="1195"/>
      <c r="AB210" s="1195">
        <v>1</v>
      </c>
      <c r="AC210" s="1195"/>
      <c r="AD210" s="1196"/>
      <c r="AE210" s="1196"/>
      <c r="AF210" s="1086">
        <f t="shared" si="142"/>
        <v>0</v>
      </c>
      <c r="AG210" s="1196"/>
      <c r="AH210" s="1195"/>
      <c r="AI210" s="1195"/>
      <c r="AJ210" s="1197"/>
      <c r="AK210" s="1197"/>
      <c r="AL210" s="1197"/>
      <c r="AM210" s="1197"/>
      <c r="AN210" s="1071">
        <f t="shared" si="135"/>
        <v>0</v>
      </c>
      <c r="AO210" s="1193"/>
      <c r="AP210" s="1193"/>
      <c r="AQ210" s="1193"/>
      <c r="AR210" s="1193"/>
      <c r="AS210" s="1195"/>
      <c r="AT210" s="1195"/>
      <c r="AU210" s="1085">
        <f t="shared" si="143"/>
        <v>0</v>
      </c>
      <c r="AV210" s="1195"/>
      <c r="AW210" s="1195"/>
      <c r="AX210" s="1195">
        <v>1</v>
      </c>
      <c r="AY210" s="1195"/>
      <c r="AZ210" s="1195"/>
      <c r="BA210" s="934">
        <f t="shared" si="136"/>
        <v>0</v>
      </c>
      <c r="BB210" s="1061">
        <f t="shared" si="156"/>
        <v>43.8</v>
      </c>
      <c r="BC210" s="1195"/>
      <c r="BD210" s="1195"/>
      <c r="BE210" s="1195"/>
      <c r="BF210" s="1195"/>
      <c r="BG210" s="1085">
        <f t="shared" si="147"/>
        <v>0</v>
      </c>
      <c r="BH210" s="1085">
        <f t="shared" si="149"/>
        <v>0</v>
      </c>
      <c r="BI210" s="1085">
        <f t="shared" si="148"/>
        <v>0</v>
      </c>
      <c r="BJ210" s="1195"/>
      <c r="BK210" s="1195"/>
      <c r="BL210" s="1195"/>
      <c r="BM210" s="1195"/>
      <c r="BN210" s="1195"/>
      <c r="BO210" s="1196"/>
      <c r="BP210" s="1196"/>
      <c r="BQ210" s="1196"/>
      <c r="BR210" s="1196"/>
      <c r="BS210" s="1196"/>
      <c r="BT210" s="1195"/>
      <c r="BU210" s="1195"/>
      <c r="BV210" s="1195"/>
      <c r="BW210" s="1195"/>
      <c r="BX210" s="1195"/>
      <c r="BY210" s="1198"/>
      <c r="BZ210" s="1202"/>
      <c r="CA210" s="1200"/>
    </row>
    <row r="211" spans="4:79" s="977" customFormat="1" ht="21.6">
      <c r="E211" s="1056" t="s">
        <v>664</v>
      </c>
      <c r="F211" s="1073" t="s">
        <v>80</v>
      </c>
      <c r="G211" s="1073" t="s">
        <v>80</v>
      </c>
      <c r="H211" s="1066">
        <v>43.8</v>
      </c>
      <c r="I211" s="1082">
        <f t="shared" si="144"/>
        <v>43.8</v>
      </c>
      <c r="J211" s="1082">
        <f t="shared" si="133"/>
        <v>43.8</v>
      </c>
      <c r="K211" s="1082"/>
      <c r="L211" s="1082">
        <f t="shared" si="134"/>
        <v>43.8</v>
      </c>
      <c r="M211" s="1178"/>
      <c r="N211" s="1057"/>
      <c r="O211" s="1058">
        <f>N211+M211</f>
        <v>0</v>
      </c>
      <c r="P211" s="934"/>
      <c r="Q211" s="934"/>
      <c r="R211" s="934"/>
      <c r="S211" s="934"/>
      <c r="T211" s="934">
        <f t="shared" si="157"/>
        <v>0</v>
      </c>
      <c r="U211" s="934"/>
      <c r="V211" s="934">
        <v>1</v>
      </c>
      <c r="W211" s="934">
        <v>1</v>
      </c>
      <c r="X211" s="934"/>
      <c r="Y211" s="934"/>
      <c r="Z211" s="934"/>
      <c r="AA211" s="934"/>
      <c r="AB211" s="934"/>
      <c r="AC211" s="934"/>
      <c r="AD211" s="1048"/>
      <c r="AE211" s="1048"/>
      <c r="AF211" s="1086">
        <f t="shared" si="142"/>
        <v>0</v>
      </c>
      <c r="AG211" s="1048"/>
      <c r="AH211" s="934"/>
      <c r="AI211" s="934"/>
      <c r="AJ211" s="1074"/>
      <c r="AK211" s="1074"/>
      <c r="AL211" s="1074"/>
      <c r="AM211" s="1074"/>
      <c r="AN211" s="1071">
        <f t="shared" si="135"/>
        <v>0</v>
      </c>
      <c r="AO211" s="1049"/>
      <c r="AP211" s="1049"/>
      <c r="AQ211" s="1049"/>
      <c r="AR211" s="1049"/>
      <c r="AS211" s="934"/>
      <c r="AT211" s="934"/>
      <c r="AU211" s="1085">
        <f t="shared" si="143"/>
        <v>0</v>
      </c>
      <c r="AV211" s="934"/>
      <c r="AW211" s="934"/>
      <c r="AX211" s="934">
        <v>1</v>
      </c>
      <c r="AY211" s="934"/>
      <c r="AZ211" s="934"/>
      <c r="BA211" s="934">
        <f t="shared" si="136"/>
        <v>0</v>
      </c>
      <c r="BB211" s="1061">
        <f t="shared" si="156"/>
        <v>43.8</v>
      </c>
      <c r="BC211" s="934"/>
      <c r="BD211" s="934"/>
      <c r="BE211" s="934">
        <v>2</v>
      </c>
      <c r="BF211" s="934"/>
      <c r="BG211" s="1085">
        <f t="shared" si="147"/>
        <v>0</v>
      </c>
      <c r="BH211" s="1085">
        <f t="shared" si="149"/>
        <v>0</v>
      </c>
      <c r="BI211" s="1085">
        <f t="shared" si="148"/>
        <v>0</v>
      </c>
      <c r="BJ211" s="934"/>
      <c r="BK211" s="934"/>
      <c r="BL211" s="934">
        <v>1</v>
      </c>
      <c r="BM211" s="934"/>
      <c r="BN211" s="934"/>
      <c r="BO211" s="1048"/>
      <c r="BP211" s="1048"/>
      <c r="BQ211" s="1048"/>
      <c r="BR211" s="1048"/>
      <c r="BS211" s="1048"/>
      <c r="BT211" s="934"/>
      <c r="BU211" s="934"/>
      <c r="BV211" s="934"/>
      <c r="BW211" s="934"/>
      <c r="BX211" s="934"/>
      <c r="BY211" s="934"/>
      <c r="CA211" s="1072"/>
    </row>
    <row r="212" spans="4:79" s="977" customFormat="1" ht="21.6">
      <c r="E212" s="1056" t="s">
        <v>665</v>
      </c>
      <c r="F212" s="1073" t="s">
        <v>80</v>
      </c>
      <c r="G212" s="1073" t="s">
        <v>80</v>
      </c>
      <c r="H212" s="1066">
        <v>59.4</v>
      </c>
      <c r="I212" s="1082">
        <f t="shared" si="144"/>
        <v>59.4</v>
      </c>
      <c r="J212" s="1082">
        <f t="shared" si="133"/>
        <v>59.4</v>
      </c>
      <c r="K212" s="1082"/>
      <c r="L212" s="1082">
        <f t="shared" si="134"/>
        <v>59.4</v>
      </c>
      <c r="M212" s="1178"/>
      <c r="N212" s="1057"/>
      <c r="O212" s="1058">
        <f>N212+M212</f>
        <v>0</v>
      </c>
      <c r="P212" s="934"/>
      <c r="Q212" s="934"/>
      <c r="R212" s="934"/>
      <c r="S212" s="934"/>
      <c r="T212" s="934">
        <f t="shared" si="157"/>
        <v>0</v>
      </c>
      <c r="U212" s="934"/>
      <c r="V212" s="934">
        <v>1</v>
      </c>
      <c r="W212" s="934">
        <v>1</v>
      </c>
      <c r="X212" s="934"/>
      <c r="Y212" s="934"/>
      <c r="Z212" s="934"/>
      <c r="AA212" s="934"/>
      <c r="AB212" s="934"/>
      <c r="AC212" s="934"/>
      <c r="AD212" s="1048"/>
      <c r="AE212" s="1048"/>
      <c r="AF212" s="1086">
        <f t="shared" si="142"/>
        <v>0</v>
      </c>
      <c r="AG212" s="1048"/>
      <c r="AH212" s="934"/>
      <c r="AI212" s="934"/>
      <c r="AJ212" s="1074"/>
      <c r="AK212" s="1074"/>
      <c r="AL212" s="1074"/>
      <c r="AM212" s="1074"/>
      <c r="AN212" s="1071">
        <f t="shared" si="135"/>
        <v>0</v>
      </c>
      <c r="AO212" s="1049"/>
      <c r="AP212" s="1049"/>
      <c r="AQ212" s="1049"/>
      <c r="AR212" s="1049"/>
      <c r="AS212" s="934"/>
      <c r="AT212" s="934"/>
      <c r="AU212" s="1085">
        <f t="shared" si="143"/>
        <v>0</v>
      </c>
      <c r="AV212" s="934"/>
      <c r="AW212" s="934"/>
      <c r="AX212" s="934">
        <v>1</v>
      </c>
      <c r="AY212" s="934"/>
      <c r="AZ212" s="934"/>
      <c r="BA212" s="934">
        <f t="shared" si="136"/>
        <v>0</v>
      </c>
      <c r="BB212" s="1061">
        <f t="shared" si="156"/>
        <v>59.4</v>
      </c>
      <c r="BC212" s="934"/>
      <c r="BD212" s="934"/>
      <c r="BE212" s="934">
        <v>2</v>
      </c>
      <c r="BF212" s="934"/>
      <c r="BG212" s="1085">
        <f t="shared" si="147"/>
        <v>0</v>
      </c>
      <c r="BH212" s="1085">
        <f t="shared" si="149"/>
        <v>0</v>
      </c>
      <c r="BI212" s="1085">
        <f t="shared" si="148"/>
        <v>0</v>
      </c>
      <c r="BJ212" s="934"/>
      <c r="BK212" s="934"/>
      <c r="BL212" s="934">
        <v>1</v>
      </c>
      <c r="BM212" s="934"/>
      <c r="BN212" s="934"/>
      <c r="BO212" s="1048"/>
      <c r="BP212" s="1048"/>
      <c r="BQ212" s="1048"/>
      <c r="BR212" s="1048"/>
      <c r="BS212" s="1048"/>
      <c r="BT212" s="934"/>
      <c r="BU212" s="934"/>
      <c r="BV212" s="934"/>
      <c r="BW212" s="934"/>
      <c r="BX212" s="934"/>
      <c r="BY212" s="934"/>
      <c r="BZ212" s="1077"/>
      <c r="CA212" s="1072"/>
    </row>
    <row r="213" spans="4:79" s="977" customFormat="1" ht="21.6">
      <c r="E213" s="1080" t="s">
        <v>666</v>
      </c>
      <c r="F213" s="1081" t="s">
        <v>148</v>
      </c>
      <c r="G213" s="1081" t="s">
        <v>148</v>
      </c>
      <c r="H213" s="1082">
        <v>74</v>
      </c>
      <c r="I213" s="1082">
        <f t="shared" si="144"/>
        <v>74</v>
      </c>
      <c r="J213" s="1082">
        <f t="shared" si="133"/>
        <v>74</v>
      </c>
      <c r="K213" s="1082"/>
      <c r="L213" s="1082">
        <f t="shared" si="134"/>
        <v>74</v>
      </c>
      <c r="M213" s="1182"/>
      <c r="N213" s="1083"/>
      <c r="O213" s="1084"/>
      <c r="P213" s="1085"/>
      <c r="Q213" s="1085">
        <v>2</v>
      </c>
      <c r="R213" s="1085"/>
      <c r="S213" s="1085"/>
      <c r="T213" s="1085"/>
      <c r="U213" s="1085"/>
      <c r="V213" s="1085"/>
      <c r="W213" s="1085"/>
      <c r="X213" s="1085">
        <v>1</v>
      </c>
      <c r="Y213" s="1085"/>
      <c r="Z213" s="1085"/>
      <c r="AA213" s="1085"/>
      <c r="AB213" s="1085"/>
      <c r="AC213" s="1085">
        <v>2</v>
      </c>
      <c r="AD213" s="1086">
        <v>2</v>
      </c>
      <c r="AE213" s="1086"/>
      <c r="AF213" s="1086">
        <f t="shared" si="142"/>
        <v>2</v>
      </c>
      <c r="AG213" s="1086"/>
      <c r="AH213" s="1085"/>
      <c r="AI213" s="1085"/>
      <c r="AJ213" s="1087"/>
      <c r="AK213" s="1087"/>
      <c r="AL213" s="1087"/>
      <c r="AM213" s="1087"/>
      <c r="AN213" s="1071">
        <f t="shared" si="135"/>
        <v>0</v>
      </c>
      <c r="AO213" s="1071"/>
      <c r="AP213" s="1071"/>
      <c r="AQ213" s="1071"/>
      <c r="AR213" s="1071"/>
      <c r="AS213" s="1085"/>
      <c r="AT213" s="1085"/>
      <c r="AU213" s="1085">
        <f t="shared" si="143"/>
        <v>0</v>
      </c>
      <c r="AV213" s="1085"/>
      <c r="AW213" s="1085"/>
      <c r="AX213" s="1085">
        <v>1</v>
      </c>
      <c r="AY213" s="1085"/>
      <c r="AZ213" s="1085"/>
      <c r="BA213" s="934">
        <f t="shared" si="136"/>
        <v>2</v>
      </c>
      <c r="BB213" s="1061">
        <f t="shared" si="156"/>
        <v>74</v>
      </c>
      <c r="BC213" s="1085"/>
      <c r="BD213" s="1085"/>
      <c r="BE213" s="1085"/>
      <c r="BF213" s="1085"/>
      <c r="BG213" s="1085">
        <f t="shared" si="147"/>
        <v>0</v>
      </c>
      <c r="BH213" s="1085">
        <f t="shared" si="149"/>
        <v>2</v>
      </c>
      <c r="BI213" s="1085">
        <f t="shared" si="148"/>
        <v>0</v>
      </c>
      <c r="BJ213" s="1085"/>
      <c r="BK213" s="1085">
        <v>2</v>
      </c>
      <c r="BL213" s="1085"/>
      <c r="BM213" s="1085"/>
      <c r="BN213" s="1085"/>
      <c r="BO213" s="1086">
        <v>2</v>
      </c>
      <c r="BP213" s="1086"/>
      <c r="BQ213" s="1086"/>
      <c r="BR213" s="1086"/>
      <c r="BS213" s="1086"/>
      <c r="BT213" s="1085"/>
      <c r="BU213" s="1085"/>
      <c r="BV213" s="1085"/>
      <c r="BW213" s="1085"/>
      <c r="BX213" s="1085"/>
      <c r="BY213" s="1085"/>
      <c r="CA213" s="1072"/>
    </row>
    <row r="214" spans="4:79" s="977" customFormat="1" ht="21.6">
      <c r="E214" s="1056" t="s">
        <v>667</v>
      </c>
      <c r="F214" s="1073" t="s">
        <v>148</v>
      </c>
      <c r="G214" s="1073" t="s">
        <v>148</v>
      </c>
      <c r="H214" s="1066">
        <v>48.4</v>
      </c>
      <c r="I214" s="1082">
        <f t="shared" si="144"/>
        <v>48.4</v>
      </c>
      <c r="J214" s="1082">
        <f t="shared" si="133"/>
        <v>48.4</v>
      </c>
      <c r="K214" s="1082"/>
      <c r="L214" s="1082">
        <f t="shared" si="134"/>
        <v>48.4</v>
      </c>
      <c r="M214" s="1178"/>
      <c r="N214" s="1057"/>
      <c r="O214" s="1058">
        <f>N214+M214</f>
        <v>0</v>
      </c>
      <c r="P214" s="934"/>
      <c r="Q214" s="934">
        <v>2</v>
      </c>
      <c r="R214" s="934"/>
      <c r="S214" s="934"/>
      <c r="T214" s="934">
        <f t="shared" ref="T214:T216" si="158">R214</f>
        <v>0</v>
      </c>
      <c r="U214" s="934"/>
      <c r="V214" s="934"/>
      <c r="W214" s="934"/>
      <c r="X214" s="934">
        <v>1</v>
      </c>
      <c r="Y214" s="934"/>
      <c r="Z214" s="934"/>
      <c r="AA214" s="934"/>
      <c r="AB214" s="934"/>
      <c r="AC214" s="934">
        <v>2</v>
      </c>
      <c r="AD214" s="1048">
        <v>2</v>
      </c>
      <c r="AE214" s="1048"/>
      <c r="AF214" s="1086">
        <f t="shared" si="142"/>
        <v>2</v>
      </c>
      <c r="AG214" s="1048"/>
      <c r="AH214" s="934"/>
      <c r="AI214" s="934"/>
      <c r="AJ214" s="1074"/>
      <c r="AK214" s="1074"/>
      <c r="AL214" s="1074"/>
      <c r="AM214" s="1074"/>
      <c r="AN214" s="1071">
        <f t="shared" si="135"/>
        <v>0</v>
      </c>
      <c r="AO214" s="1049"/>
      <c r="AP214" s="1049"/>
      <c r="AQ214" s="1049"/>
      <c r="AR214" s="1049"/>
      <c r="AS214" s="934"/>
      <c r="AT214" s="934"/>
      <c r="AU214" s="1085">
        <f t="shared" si="143"/>
        <v>0</v>
      </c>
      <c r="AV214" s="934"/>
      <c r="AW214" s="934"/>
      <c r="AX214" s="934">
        <v>1</v>
      </c>
      <c r="AY214" s="934"/>
      <c r="AZ214" s="934"/>
      <c r="BA214" s="934">
        <f t="shared" si="136"/>
        <v>2</v>
      </c>
      <c r="BB214" s="1061">
        <f t="shared" si="156"/>
        <v>48.4</v>
      </c>
      <c r="BC214" s="934"/>
      <c r="BD214" s="934"/>
      <c r="BE214" s="934"/>
      <c r="BF214" s="934"/>
      <c r="BG214" s="1085">
        <f t="shared" si="147"/>
        <v>0</v>
      </c>
      <c r="BH214" s="1085">
        <f t="shared" si="149"/>
        <v>2</v>
      </c>
      <c r="BI214" s="1085">
        <f t="shared" si="148"/>
        <v>0</v>
      </c>
      <c r="BJ214" s="934"/>
      <c r="BK214" s="934">
        <v>2</v>
      </c>
      <c r="BL214" s="934"/>
      <c r="BM214" s="934"/>
      <c r="BN214" s="934"/>
      <c r="BO214" s="1048">
        <v>2</v>
      </c>
      <c r="BP214" s="1048"/>
      <c r="BQ214" s="1048"/>
      <c r="BR214" s="1048"/>
      <c r="BS214" s="1048"/>
      <c r="BT214" s="934"/>
      <c r="BU214" s="934"/>
      <c r="BV214" s="934"/>
      <c r="BW214" s="934"/>
      <c r="BX214" s="934"/>
      <c r="BY214" s="1076"/>
      <c r="BZ214" s="1077"/>
      <c r="CA214" s="1072"/>
    </row>
    <row r="215" spans="4:79" s="977" customFormat="1" ht="21.6">
      <c r="E215" s="1056" t="s">
        <v>668</v>
      </c>
      <c r="F215" s="1073" t="s">
        <v>80</v>
      </c>
      <c r="G215" s="1073" t="s">
        <v>80</v>
      </c>
      <c r="H215" s="1066">
        <v>59.2</v>
      </c>
      <c r="I215" s="1082">
        <f t="shared" si="144"/>
        <v>59.2</v>
      </c>
      <c r="J215" s="1082">
        <f t="shared" si="133"/>
        <v>59.2</v>
      </c>
      <c r="K215" s="1082"/>
      <c r="L215" s="1082">
        <f t="shared" si="134"/>
        <v>59.2</v>
      </c>
      <c r="M215" s="1178"/>
      <c r="N215" s="1057"/>
      <c r="O215" s="1058">
        <f>N215+M215</f>
        <v>0</v>
      </c>
      <c r="P215" s="934"/>
      <c r="Q215" s="934"/>
      <c r="R215" s="934"/>
      <c r="S215" s="934"/>
      <c r="T215" s="934">
        <f t="shared" si="158"/>
        <v>0</v>
      </c>
      <c r="U215" s="934">
        <v>1</v>
      </c>
      <c r="V215" s="934">
        <v>1</v>
      </c>
      <c r="W215" s="934">
        <v>1</v>
      </c>
      <c r="X215" s="934"/>
      <c r="Y215" s="934"/>
      <c r="Z215" s="934"/>
      <c r="AA215" s="934"/>
      <c r="AB215" s="934"/>
      <c r="AC215" s="934"/>
      <c r="AD215" s="1048"/>
      <c r="AE215" s="1048"/>
      <c r="AF215" s="1086">
        <f t="shared" si="142"/>
        <v>0</v>
      </c>
      <c r="AG215" s="1048"/>
      <c r="AH215" s="934"/>
      <c r="AI215" s="934"/>
      <c r="AJ215" s="1074"/>
      <c r="AK215" s="1074"/>
      <c r="AL215" s="1074"/>
      <c r="AM215" s="1074"/>
      <c r="AN215" s="1071">
        <f t="shared" si="135"/>
        <v>0</v>
      </c>
      <c r="AO215" s="1049"/>
      <c r="AP215" s="1049"/>
      <c r="AQ215" s="1049"/>
      <c r="AR215" s="1049"/>
      <c r="AS215" s="934"/>
      <c r="AT215" s="934"/>
      <c r="AU215" s="1085">
        <f t="shared" si="143"/>
        <v>0</v>
      </c>
      <c r="AV215" s="934"/>
      <c r="AW215" s="934"/>
      <c r="AX215" s="934">
        <v>1</v>
      </c>
      <c r="AY215" s="934"/>
      <c r="AZ215" s="934"/>
      <c r="BA215" s="934">
        <f t="shared" si="136"/>
        <v>0</v>
      </c>
      <c r="BB215" s="1061">
        <f t="shared" si="156"/>
        <v>59.2</v>
      </c>
      <c r="BC215" s="934"/>
      <c r="BD215" s="934"/>
      <c r="BE215" s="934">
        <v>2</v>
      </c>
      <c r="BF215" s="934"/>
      <c r="BG215" s="1085">
        <f t="shared" si="147"/>
        <v>0</v>
      </c>
      <c r="BH215" s="1085">
        <f t="shared" si="149"/>
        <v>0</v>
      </c>
      <c r="BI215" s="1085">
        <f t="shared" si="148"/>
        <v>0</v>
      </c>
      <c r="BJ215" s="934"/>
      <c r="BK215" s="934"/>
      <c r="BL215" s="934">
        <v>1</v>
      </c>
      <c r="BM215" s="934"/>
      <c r="BN215" s="934"/>
      <c r="BO215" s="1048"/>
      <c r="BP215" s="1048"/>
      <c r="BQ215" s="1048"/>
      <c r="BR215" s="1048"/>
      <c r="BS215" s="1048"/>
      <c r="BT215" s="934"/>
      <c r="BU215" s="934"/>
      <c r="BV215" s="934"/>
      <c r="BW215" s="934"/>
      <c r="BX215" s="934"/>
      <c r="BY215" s="934"/>
      <c r="CA215" s="1072"/>
    </row>
    <row r="216" spans="4:79" s="977" customFormat="1" ht="21.6">
      <c r="E216" s="1056" t="s">
        <v>669</v>
      </c>
      <c r="F216" s="1073" t="s">
        <v>80</v>
      </c>
      <c r="G216" s="1073" t="s">
        <v>80</v>
      </c>
      <c r="H216" s="1066">
        <v>60.3</v>
      </c>
      <c r="I216" s="1082">
        <f t="shared" si="144"/>
        <v>60.3</v>
      </c>
      <c r="J216" s="1082">
        <f t="shared" si="133"/>
        <v>60.3</v>
      </c>
      <c r="K216" s="1082"/>
      <c r="L216" s="1082">
        <f t="shared" si="134"/>
        <v>60.3</v>
      </c>
      <c r="M216" s="1178"/>
      <c r="N216" s="1057"/>
      <c r="O216" s="1058">
        <f>N216+M216</f>
        <v>0</v>
      </c>
      <c r="P216" s="934"/>
      <c r="Q216" s="934"/>
      <c r="R216" s="934"/>
      <c r="S216" s="934"/>
      <c r="T216" s="934">
        <f t="shared" si="158"/>
        <v>0</v>
      </c>
      <c r="U216" s="934"/>
      <c r="V216" s="934">
        <v>1</v>
      </c>
      <c r="W216" s="934">
        <v>1</v>
      </c>
      <c r="X216" s="934"/>
      <c r="Y216" s="934"/>
      <c r="Z216" s="934"/>
      <c r="AA216" s="934"/>
      <c r="AB216" s="934"/>
      <c r="AC216" s="934"/>
      <c r="AD216" s="1048"/>
      <c r="AE216" s="1048"/>
      <c r="AF216" s="1086">
        <f t="shared" si="142"/>
        <v>0</v>
      </c>
      <c r="AG216" s="1048"/>
      <c r="AH216" s="934"/>
      <c r="AI216" s="934"/>
      <c r="AJ216" s="1074"/>
      <c r="AK216" s="1074"/>
      <c r="AL216" s="1074"/>
      <c r="AM216" s="1074"/>
      <c r="AN216" s="1071">
        <f t="shared" si="135"/>
        <v>0</v>
      </c>
      <c r="AO216" s="1049"/>
      <c r="AP216" s="1049"/>
      <c r="AQ216" s="1049"/>
      <c r="AR216" s="1049"/>
      <c r="AS216" s="934"/>
      <c r="AT216" s="934"/>
      <c r="AU216" s="1085">
        <f t="shared" si="143"/>
        <v>0</v>
      </c>
      <c r="AV216" s="934"/>
      <c r="AW216" s="934"/>
      <c r="AX216" s="934">
        <v>1</v>
      </c>
      <c r="AY216" s="934"/>
      <c r="AZ216" s="934"/>
      <c r="BA216" s="934">
        <f t="shared" si="136"/>
        <v>0</v>
      </c>
      <c r="BB216" s="1061">
        <f t="shared" si="156"/>
        <v>60.3</v>
      </c>
      <c r="BC216" s="934"/>
      <c r="BD216" s="934"/>
      <c r="BE216" s="934">
        <v>2</v>
      </c>
      <c r="BF216" s="934"/>
      <c r="BG216" s="1085">
        <f t="shared" si="147"/>
        <v>0</v>
      </c>
      <c r="BH216" s="1085">
        <f t="shared" si="149"/>
        <v>0</v>
      </c>
      <c r="BI216" s="1085">
        <f t="shared" si="148"/>
        <v>0</v>
      </c>
      <c r="BJ216" s="934"/>
      <c r="BK216" s="934"/>
      <c r="BL216" s="934">
        <v>1</v>
      </c>
      <c r="BM216" s="934"/>
      <c r="BN216" s="934"/>
      <c r="BO216" s="1048"/>
      <c r="BP216" s="1048"/>
      <c r="BQ216" s="1048"/>
      <c r="BR216" s="1048"/>
      <c r="BS216" s="1048"/>
      <c r="BT216" s="934"/>
      <c r="BU216" s="934"/>
      <c r="BV216" s="934"/>
      <c r="BW216" s="934"/>
      <c r="BX216" s="934"/>
      <c r="BY216" s="934"/>
      <c r="BZ216" s="1077"/>
      <c r="CA216" s="1072"/>
    </row>
    <row r="217" spans="4:79" s="977" customFormat="1" ht="21.6">
      <c r="E217" s="1056" t="s">
        <v>674</v>
      </c>
      <c r="F217" s="1073" t="s">
        <v>80</v>
      </c>
      <c r="G217" s="1073" t="s">
        <v>80</v>
      </c>
      <c r="H217" s="1066">
        <v>59.9</v>
      </c>
      <c r="I217" s="1082">
        <f t="shared" si="144"/>
        <v>59.9</v>
      </c>
      <c r="J217" s="1082">
        <f t="shared" si="133"/>
        <v>59.9</v>
      </c>
      <c r="K217" s="1082"/>
      <c r="L217" s="1082">
        <f t="shared" si="134"/>
        <v>59.9</v>
      </c>
      <c r="M217" s="1178"/>
      <c r="N217" s="1057"/>
      <c r="O217" s="1058"/>
      <c r="P217" s="934"/>
      <c r="Q217" s="934"/>
      <c r="R217" s="934"/>
      <c r="S217" s="934"/>
      <c r="T217" s="934"/>
      <c r="U217" s="934"/>
      <c r="V217" s="934">
        <v>1</v>
      </c>
      <c r="W217" s="934">
        <v>1</v>
      </c>
      <c r="X217" s="934"/>
      <c r="Y217" s="934"/>
      <c r="Z217" s="934"/>
      <c r="AA217" s="934"/>
      <c r="AB217" s="934"/>
      <c r="AC217" s="934"/>
      <c r="AD217" s="1048"/>
      <c r="AE217" s="1048"/>
      <c r="AF217" s="1086">
        <f t="shared" si="142"/>
        <v>0</v>
      </c>
      <c r="AG217" s="1048"/>
      <c r="AH217" s="934"/>
      <c r="AI217" s="934"/>
      <c r="AJ217" s="1074"/>
      <c r="AK217" s="1074"/>
      <c r="AL217" s="1074"/>
      <c r="AM217" s="1074"/>
      <c r="AN217" s="1071">
        <f t="shared" si="135"/>
        <v>0</v>
      </c>
      <c r="AO217" s="1049"/>
      <c r="AP217" s="1049"/>
      <c r="AQ217" s="1049"/>
      <c r="AR217" s="1049"/>
      <c r="AS217" s="934"/>
      <c r="AT217" s="934"/>
      <c r="AU217" s="1085">
        <f t="shared" si="143"/>
        <v>0</v>
      </c>
      <c r="AV217" s="934"/>
      <c r="AW217" s="934"/>
      <c r="AX217" s="934">
        <v>1</v>
      </c>
      <c r="AY217" s="934"/>
      <c r="AZ217" s="934"/>
      <c r="BA217" s="934">
        <f t="shared" si="136"/>
        <v>0</v>
      </c>
      <c r="BB217" s="1061">
        <f t="shared" si="156"/>
        <v>59.9</v>
      </c>
      <c r="BC217" s="934"/>
      <c r="BD217" s="934"/>
      <c r="BE217" s="934">
        <v>2</v>
      </c>
      <c r="BF217" s="934"/>
      <c r="BG217" s="1085">
        <f t="shared" si="147"/>
        <v>0</v>
      </c>
      <c r="BH217" s="1085">
        <f t="shared" si="149"/>
        <v>0</v>
      </c>
      <c r="BI217" s="1085">
        <f t="shared" si="148"/>
        <v>0</v>
      </c>
      <c r="BJ217" s="934"/>
      <c r="BK217" s="934"/>
      <c r="BL217" s="934">
        <v>1</v>
      </c>
      <c r="BM217" s="934"/>
      <c r="BN217" s="934"/>
      <c r="BO217" s="1048"/>
      <c r="BP217" s="1048"/>
      <c r="BQ217" s="1048"/>
      <c r="BR217" s="1048"/>
      <c r="BS217" s="1048"/>
      <c r="BT217" s="934"/>
      <c r="BU217" s="934"/>
      <c r="BV217" s="934"/>
      <c r="BW217" s="934"/>
      <c r="BX217" s="934"/>
      <c r="BY217" s="934"/>
      <c r="CA217" s="1072"/>
    </row>
    <row r="218" spans="4:79" s="977" customFormat="1" ht="21.6">
      <c r="E218" s="1144" t="s">
        <v>675</v>
      </c>
      <c r="F218" s="1145" t="s">
        <v>377</v>
      </c>
      <c r="G218" s="1145" t="s">
        <v>377</v>
      </c>
      <c r="H218" s="1146">
        <v>62.9</v>
      </c>
      <c r="I218" s="1082">
        <f t="shared" si="144"/>
        <v>62.9</v>
      </c>
      <c r="J218" s="1147">
        <f t="shared" si="133"/>
        <v>62.9</v>
      </c>
      <c r="K218" s="1147"/>
      <c r="L218" s="1147">
        <f t="shared" si="134"/>
        <v>62.9</v>
      </c>
      <c r="M218" s="1185"/>
      <c r="N218" s="1149"/>
      <c r="O218" s="1150">
        <f>N218+M218</f>
        <v>0</v>
      </c>
      <c r="P218" s="1151"/>
      <c r="Q218" s="1151">
        <v>1</v>
      </c>
      <c r="R218" s="1151"/>
      <c r="S218" s="1151"/>
      <c r="T218" s="1151">
        <f t="shared" ref="T218:T221" si="159">R218</f>
        <v>0</v>
      </c>
      <c r="U218" s="1151"/>
      <c r="V218" s="1151"/>
      <c r="W218" s="1151"/>
      <c r="X218" s="1151"/>
      <c r="Y218" s="1151"/>
      <c r="Z218" s="1151"/>
      <c r="AA218" s="1151"/>
      <c r="AB218" s="1151"/>
      <c r="AC218" s="1151">
        <v>1</v>
      </c>
      <c r="AD218" s="1152">
        <v>1</v>
      </c>
      <c r="AE218" s="1152"/>
      <c r="AF218" s="1086">
        <f t="shared" si="142"/>
        <v>1</v>
      </c>
      <c r="AG218" s="1152"/>
      <c r="AH218" s="1151"/>
      <c r="AI218" s="1151"/>
      <c r="AJ218" s="1153">
        <v>1</v>
      </c>
      <c r="AK218" s="1153"/>
      <c r="AL218" s="1153"/>
      <c r="AM218" s="1153"/>
      <c r="AN218" s="1071">
        <f t="shared" si="135"/>
        <v>1</v>
      </c>
      <c r="AO218" s="1148"/>
      <c r="AP218" s="1148"/>
      <c r="AQ218" s="1148"/>
      <c r="AR218" s="1148"/>
      <c r="AS218" s="1151"/>
      <c r="AT218" s="1151"/>
      <c r="AU218" s="1085">
        <f t="shared" si="143"/>
        <v>0</v>
      </c>
      <c r="AV218" s="1151"/>
      <c r="AW218" s="1151"/>
      <c r="AX218" s="1151"/>
      <c r="AY218" s="1151"/>
      <c r="AZ218" s="1151"/>
      <c r="BA218" s="934">
        <f t="shared" si="136"/>
        <v>1</v>
      </c>
      <c r="BB218" s="1061">
        <f t="shared" si="156"/>
        <v>62.9</v>
      </c>
      <c r="BC218" s="1151"/>
      <c r="BD218" s="1151"/>
      <c r="BE218" s="1151"/>
      <c r="BF218" s="1151"/>
      <c r="BG218" s="1085">
        <f t="shared" si="147"/>
        <v>0</v>
      </c>
      <c r="BH218" s="1085">
        <f t="shared" si="149"/>
        <v>1</v>
      </c>
      <c r="BI218" s="1085">
        <f t="shared" si="148"/>
        <v>0</v>
      </c>
      <c r="BJ218" s="1151"/>
      <c r="BK218" s="1151">
        <v>1</v>
      </c>
      <c r="BL218" s="1151"/>
      <c r="BM218" s="1151"/>
      <c r="BN218" s="1151"/>
      <c r="BO218" s="1152">
        <v>1</v>
      </c>
      <c r="BP218" s="1152"/>
      <c r="BQ218" s="1152"/>
      <c r="BR218" s="1152"/>
      <c r="BS218" s="1152"/>
      <c r="BT218" s="1151">
        <v>1</v>
      </c>
      <c r="BU218" s="1151"/>
      <c r="BV218" s="1151"/>
      <c r="BW218" s="1151"/>
      <c r="BX218" s="1151"/>
      <c r="BY218" s="1154" t="s">
        <v>886</v>
      </c>
      <c r="BZ218" s="1077"/>
      <c r="CA218" s="1072"/>
    </row>
    <row r="219" spans="4:79" s="940" customFormat="1" ht="21.6">
      <c r="D219" s="1373" t="s">
        <v>935</v>
      </c>
      <c r="E219" s="1129" t="s">
        <v>527</v>
      </c>
      <c r="F219" s="1130"/>
      <c r="G219" s="1130"/>
      <c r="H219" s="1100">
        <f>SUM(H182:H218)</f>
        <v>2036</v>
      </c>
      <c r="I219" s="1100">
        <f t="shared" ref="I219:BT219" si="160">SUM(I182:I218)</f>
        <v>2036</v>
      </c>
      <c r="J219" s="1100">
        <f t="shared" si="160"/>
        <v>2036</v>
      </c>
      <c r="K219" s="1100">
        <f t="shared" si="160"/>
        <v>666.39999999999986</v>
      </c>
      <c r="L219" s="1100">
        <f t="shared" si="160"/>
        <v>2036</v>
      </c>
      <c r="M219" s="1100">
        <f t="shared" si="160"/>
        <v>7</v>
      </c>
      <c r="N219" s="1100">
        <f t="shared" si="160"/>
        <v>0</v>
      </c>
      <c r="O219" s="1100">
        <f t="shared" si="160"/>
        <v>7</v>
      </c>
      <c r="P219" s="1100">
        <f t="shared" si="160"/>
        <v>0</v>
      </c>
      <c r="Q219" s="1100">
        <f t="shared" si="160"/>
        <v>12</v>
      </c>
      <c r="R219" s="1100">
        <f t="shared" si="160"/>
        <v>2</v>
      </c>
      <c r="S219" s="1100">
        <f t="shared" si="160"/>
        <v>2</v>
      </c>
      <c r="T219" s="1100">
        <f t="shared" si="160"/>
        <v>0</v>
      </c>
      <c r="U219" s="1100">
        <f t="shared" si="160"/>
        <v>6</v>
      </c>
      <c r="V219" s="1100">
        <f t="shared" si="160"/>
        <v>20</v>
      </c>
      <c r="W219" s="1100">
        <f t="shared" si="160"/>
        <v>28</v>
      </c>
      <c r="X219" s="1100">
        <f t="shared" si="160"/>
        <v>10</v>
      </c>
      <c r="Y219" s="1100">
        <f t="shared" si="160"/>
        <v>0</v>
      </c>
      <c r="Z219" s="1100">
        <f t="shared" si="160"/>
        <v>0</v>
      </c>
      <c r="AA219" s="1100">
        <f t="shared" si="160"/>
        <v>4</v>
      </c>
      <c r="AB219" s="1100">
        <f t="shared" si="160"/>
        <v>7</v>
      </c>
      <c r="AC219" s="1100">
        <f t="shared" si="160"/>
        <v>12</v>
      </c>
      <c r="AD219" s="1100">
        <f t="shared" si="160"/>
        <v>12</v>
      </c>
      <c r="AE219" s="1100">
        <f t="shared" si="160"/>
        <v>0</v>
      </c>
      <c r="AF219" s="1100">
        <f t="shared" si="160"/>
        <v>12</v>
      </c>
      <c r="AG219" s="1100">
        <f t="shared" si="160"/>
        <v>2</v>
      </c>
      <c r="AH219" s="1100">
        <f t="shared" si="160"/>
        <v>2</v>
      </c>
      <c r="AI219" s="1100">
        <f t="shared" si="160"/>
        <v>0</v>
      </c>
      <c r="AJ219" s="1100">
        <f t="shared" si="160"/>
        <v>4</v>
      </c>
      <c r="AK219" s="1100">
        <f t="shared" si="160"/>
        <v>2</v>
      </c>
      <c r="AL219" s="1100">
        <f t="shared" si="160"/>
        <v>1</v>
      </c>
      <c r="AM219" s="1100">
        <f t="shared" si="160"/>
        <v>1</v>
      </c>
      <c r="AN219" s="1100">
        <f t="shared" si="160"/>
        <v>5</v>
      </c>
      <c r="AO219" s="1100">
        <f t="shared" si="160"/>
        <v>1</v>
      </c>
      <c r="AP219" s="1100">
        <f t="shared" si="160"/>
        <v>1</v>
      </c>
      <c r="AQ219" s="1100">
        <f t="shared" si="160"/>
        <v>0</v>
      </c>
      <c r="AR219" s="1100">
        <f t="shared" si="160"/>
        <v>1</v>
      </c>
      <c r="AS219" s="1100">
        <f t="shared" si="160"/>
        <v>1.5</v>
      </c>
      <c r="AT219" s="1100">
        <f t="shared" si="160"/>
        <v>0</v>
      </c>
      <c r="AU219" s="1100">
        <f t="shared" si="160"/>
        <v>1.5</v>
      </c>
      <c r="AV219" s="1100">
        <f t="shared" si="160"/>
        <v>0</v>
      </c>
      <c r="AW219" s="1100">
        <f t="shared" si="160"/>
        <v>3</v>
      </c>
      <c r="AX219" s="1100">
        <f t="shared" si="160"/>
        <v>30</v>
      </c>
      <c r="AY219" s="1100">
        <f t="shared" si="160"/>
        <v>8</v>
      </c>
      <c r="AZ219" s="1100">
        <f t="shared" si="160"/>
        <v>1</v>
      </c>
      <c r="BA219" s="1100">
        <f t="shared" si="160"/>
        <v>10</v>
      </c>
      <c r="BB219" s="1100">
        <f t="shared" si="160"/>
        <v>1369.6000000000001</v>
      </c>
      <c r="BC219" s="1100">
        <f t="shared" si="160"/>
        <v>0</v>
      </c>
      <c r="BD219" s="1100">
        <f t="shared" si="160"/>
        <v>0</v>
      </c>
      <c r="BE219" s="1100">
        <f t="shared" si="160"/>
        <v>40</v>
      </c>
      <c r="BF219" s="1100">
        <f t="shared" si="160"/>
        <v>8</v>
      </c>
      <c r="BG219" s="1100">
        <f t="shared" si="160"/>
        <v>0</v>
      </c>
      <c r="BH219" s="1100">
        <f t="shared" si="160"/>
        <v>10</v>
      </c>
      <c r="BI219" s="1100">
        <f t="shared" si="160"/>
        <v>2</v>
      </c>
      <c r="BJ219" s="1100">
        <f t="shared" si="160"/>
        <v>0</v>
      </c>
      <c r="BK219" s="1100">
        <f t="shared" si="160"/>
        <v>10</v>
      </c>
      <c r="BL219" s="1100">
        <f t="shared" si="160"/>
        <v>28</v>
      </c>
      <c r="BM219" s="1100">
        <f t="shared" si="160"/>
        <v>0</v>
      </c>
      <c r="BN219" s="1100">
        <f t="shared" si="160"/>
        <v>0</v>
      </c>
      <c r="BO219" s="1100">
        <f t="shared" si="160"/>
        <v>10</v>
      </c>
      <c r="BP219" s="1100">
        <f t="shared" si="160"/>
        <v>0</v>
      </c>
      <c r="BQ219" s="1100">
        <f t="shared" si="160"/>
        <v>0</v>
      </c>
      <c r="BR219" s="1100">
        <f t="shared" si="160"/>
        <v>0</v>
      </c>
      <c r="BS219" s="1100">
        <f t="shared" si="160"/>
        <v>0</v>
      </c>
      <c r="BT219" s="1100">
        <f t="shared" si="160"/>
        <v>7</v>
      </c>
      <c r="BU219" s="1100">
        <f t="shared" ref="BU219:BV219" si="161">SUM(BU182:BU218)</f>
        <v>0</v>
      </c>
      <c r="BV219" s="1100">
        <f t="shared" si="161"/>
        <v>0</v>
      </c>
      <c r="BW219" s="1100">
        <f>SUM(BW182:BW218)</f>
        <v>1</v>
      </c>
      <c r="BX219" s="1157"/>
      <c r="BY219" s="1133"/>
      <c r="BZ219" s="1090"/>
      <c r="CA219" s="1091"/>
    </row>
    <row r="220" spans="4:79" s="940" customFormat="1" ht="21.6">
      <c r="D220" s="1372" t="s">
        <v>935</v>
      </c>
      <c r="E220" s="1118" t="s">
        <v>819</v>
      </c>
      <c r="F220" s="1139"/>
      <c r="G220" s="1139"/>
      <c r="H220" s="1140"/>
      <c r="I220" s="1140"/>
      <c r="J220" s="1140"/>
      <c r="K220" s="1140"/>
      <c r="L220" s="1140"/>
      <c r="M220" s="1186"/>
      <c r="N220" s="1159"/>
      <c r="O220" s="1160"/>
      <c r="P220" s="1161"/>
      <c r="Q220" s="1161"/>
      <c r="R220" s="1161"/>
      <c r="S220" s="1161"/>
      <c r="T220" s="1161"/>
      <c r="U220" s="1161"/>
      <c r="V220" s="1161"/>
      <c r="W220" s="1161"/>
      <c r="X220" s="1161"/>
      <c r="Y220" s="1161"/>
      <c r="Z220" s="1161"/>
      <c r="AA220" s="1161"/>
      <c r="AB220" s="1161"/>
      <c r="AC220" s="1161"/>
      <c r="AD220" s="1162"/>
      <c r="AE220" s="1162"/>
      <c r="AF220" s="1162"/>
      <c r="AG220" s="1162"/>
      <c r="AH220" s="1161"/>
      <c r="AI220" s="1161"/>
      <c r="AJ220" s="1163"/>
      <c r="AK220" s="1163"/>
      <c r="AL220" s="1163"/>
      <c r="AM220" s="1163"/>
      <c r="AN220" s="1158"/>
      <c r="AO220" s="1158"/>
      <c r="AP220" s="1158"/>
      <c r="AQ220" s="1158"/>
      <c r="AR220" s="1158"/>
      <c r="AS220" s="1161"/>
      <c r="AT220" s="1161"/>
      <c r="AU220" s="1161"/>
      <c r="AV220" s="1161"/>
      <c r="AW220" s="1161"/>
      <c r="AX220" s="1161"/>
      <c r="AY220" s="1161"/>
      <c r="AZ220" s="1161"/>
      <c r="BA220" s="1161"/>
      <c r="BB220" s="1164"/>
      <c r="BC220" s="1161"/>
      <c r="BD220" s="1161"/>
      <c r="BE220" s="1161"/>
      <c r="BF220" s="1161"/>
      <c r="BG220" s="1161"/>
      <c r="BH220" s="1161"/>
      <c r="BI220" s="1161"/>
      <c r="BJ220" s="1161"/>
      <c r="BK220" s="1161"/>
      <c r="BL220" s="1161"/>
      <c r="BM220" s="1161"/>
      <c r="BN220" s="1161"/>
      <c r="BO220" s="1162"/>
      <c r="BP220" s="1162"/>
      <c r="BQ220" s="1162"/>
      <c r="BR220" s="1162"/>
      <c r="BS220" s="1162"/>
      <c r="BT220" s="1161"/>
      <c r="BU220" s="1161"/>
      <c r="BV220" s="1161"/>
      <c r="BW220" s="1161"/>
      <c r="BX220" s="1161"/>
      <c r="BY220" s="1143"/>
      <c r="BZ220" s="1090"/>
      <c r="CA220" s="1091"/>
    </row>
    <row r="221" spans="4:79" s="977" customFormat="1" ht="21.6">
      <c r="E221" s="1080" t="s">
        <v>809</v>
      </c>
      <c r="F221" s="1081" t="s">
        <v>377</v>
      </c>
      <c r="G221" s="1081" t="s">
        <v>377</v>
      </c>
      <c r="H221" s="1082"/>
      <c r="I221" s="1082">
        <f>H221</f>
        <v>0</v>
      </c>
      <c r="J221" s="1082">
        <f t="shared" ref="J221:J245" si="162">H221</f>
        <v>0</v>
      </c>
      <c r="K221" s="1082"/>
      <c r="L221" s="1082">
        <f t="shared" ref="L221:L245" si="163">I221</f>
        <v>0</v>
      </c>
      <c r="M221" s="1182"/>
      <c r="N221" s="1083"/>
      <c r="O221" s="1084">
        <f>N221+M221</f>
        <v>0</v>
      </c>
      <c r="P221" s="1085">
        <v>1</v>
      </c>
      <c r="Q221" s="1085">
        <v>1</v>
      </c>
      <c r="R221" s="1085"/>
      <c r="S221" s="1085"/>
      <c r="T221" s="1085">
        <f t="shared" si="159"/>
        <v>0</v>
      </c>
      <c r="U221" s="1085">
        <v>1</v>
      </c>
      <c r="V221" s="1085"/>
      <c r="W221" s="1085"/>
      <c r="X221" s="1085"/>
      <c r="Y221" s="1085"/>
      <c r="Z221" s="1085"/>
      <c r="AA221" s="1085"/>
      <c r="AB221" s="1085"/>
      <c r="AC221" s="1085">
        <v>1</v>
      </c>
      <c r="AD221" s="1086">
        <v>1</v>
      </c>
      <c r="AE221" s="1086"/>
      <c r="AF221" s="1086">
        <f t="shared" ref="AF221:AF244" si="164">AE221+AD221</f>
        <v>1</v>
      </c>
      <c r="AG221" s="1086"/>
      <c r="AH221" s="1085"/>
      <c r="AI221" s="1085"/>
      <c r="AJ221" s="1087"/>
      <c r="AK221" s="1087"/>
      <c r="AL221" s="1087"/>
      <c r="AM221" s="1087"/>
      <c r="AN221" s="1071">
        <f t="shared" ref="AN221:AN228" si="165">AM221+AJ221</f>
        <v>0</v>
      </c>
      <c r="AO221" s="1071">
        <v>1</v>
      </c>
      <c r="AP221" s="1071">
        <v>1</v>
      </c>
      <c r="AQ221" s="1071"/>
      <c r="AR221" s="1071">
        <v>1</v>
      </c>
      <c r="AS221" s="1085">
        <v>0.5</v>
      </c>
      <c r="AT221" s="1085"/>
      <c r="AU221" s="1085">
        <f>AT221+AS221</f>
        <v>0.5</v>
      </c>
      <c r="AV221" s="1085"/>
      <c r="AW221" s="1085">
        <v>2</v>
      </c>
      <c r="AX221" s="1085"/>
      <c r="AY221" s="1085"/>
      <c r="AZ221" s="1085">
        <v>1</v>
      </c>
      <c r="BA221" s="934">
        <f t="shared" ref="BA221:BA245" si="166">IF(F221="2DT",2,IF(F221="DT",1,IF(F221="2DT-90",2,0)))</f>
        <v>1</v>
      </c>
      <c r="BB221" s="1089">
        <f t="shared" ref="BB221:BB228" si="167">H221</f>
        <v>0</v>
      </c>
      <c r="BC221" s="1085"/>
      <c r="BD221" s="1085">
        <v>1</v>
      </c>
      <c r="BE221" s="1085"/>
      <c r="BF221" s="1085"/>
      <c r="BG221" s="1085">
        <f t="shared" ref="BG221:BG245" si="168">P221</f>
        <v>1</v>
      </c>
      <c r="BH221" s="1085">
        <f t="shared" ref="BH221:BH245" si="169">Q221</f>
        <v>1</v>
      </c>
      <c r="BI221" s="1085">
        <f t="shared" ref="BI221:BI245" si="170">R221</f>
        <v>0</v>
      </c>
      <c r="BJ221" s="1085"/>
      <c r="BK221" s="1085"/>
      <c r="BL221" s="1085"/>
      <c r="BM221" s="1085"/>
      <c r="BN221" s="1085"/>
      <c r="BO221" s="1086">
        <v>1</v>
      </c>
      <c r="BP221" s="1086"/>
      <c r="BQ221" s="1086"/>
      <c r="BR221" s="1086"/>
      <c r="BS221" s="1086">
        <v>2</v>
      </c>
      <c r="BT221" s="1085">
        <v>2</v>
      </c>
      <c r="BU221" s="1085"/>
      <c r="BV221" s="1085"/>
      <c r="BW221" s="1085">
        <v>1</v>
      </c>
      <c r="BX221" s="1085"/>
      <c r="BY221" s="1085" t="s">
        <v>889</v>
      </c>
      <c r="CA221" s="1072"/>
    </row>
    <row r="222" spans="4:79" s="977" customFormat="1" ht="21.6">
      <c r="E222" s="1080" t="s">
        <v>614</v>
      </c>
      <c r="F222" s="1081" t="s">
        <v>374</v>
      </c>
      <c r="G222" s="1081" t="s">
        <v>374</v>
      </c>
      <c r="H222" s="1082">
        <v>69.599999999999994</v>
      </c>
      <c r="I222" s="1082">
        <f>H222</f>
        <v>69.599999999999994</v>
      </c>
      <c r="J222" s="1082">
        <f t="shared" si="162"/>
        <v>69.599999999999994</v>
      </c>
      <c r="K222" s="1082"/>
      <c r="L222" s="1082">
        <f t="shared" si="163"/>
        <v>69.599999999999994</v>
      </c>
      <c r="M222" s="1182"/>
      <c r="N222" s="1083"/>
      <c r="O222" s="1084"/>
      <c r="P222" s="1085"/>
      <c r="Q222" s="1085">
        <v>1</v>
      </c>
      <c r="R222" s="1085"/>
      <c r="S222" s="1085"/>
      <c r="T222" s="1085"/>
      <c r="U222" s="1085"/>
      <c r="V222" s="1085"/>
      <c r="W222" s="1085">
        <v>2</v>
      </c>
      <c r="X222" s="1085"/>
      <c r="Y222" s="1085"/>
      <c r="Z222" s="1085"/>
      <c r="AA222" s="1085">
        <v>1</v>
      </c>
      <c r="AB222" s="1085"/>
      <c r="AC222" s="1085"/>
      <c r="AD222" s="1086"/>
      <c r="AE222" s="1086"/>
      <c r="AF222" s="1086">
        <f t="shared" si="164"/>
        <v>0</v>
      </c>
      <c r="AG222" s="1086"/>
      <c r="AH222" s="1085"/>
      <c r="AI222" s="1085"/>
      <c r="AJ222" s="1087"/>
      <c r="AK222" s="1087"/>
      <c r="AL222" s="1087"/>
      <c r="AM222" s="1087">
        <v>1</v>
      </c>
      <c r="AN222" s="1071">
        <f t="shared" si="165"/>
        <v>1</v>
      </c>
      <c r="AO222" s="1071"/>
      <c r="AP222" s="1071"/>
      <c r="AQ222" s="1071"/>
      <c r="AR222" s="1071"/>
      <c r="AS222" s="1085"/>
      <c r="AT222" s="1085"/>
      <c r="AU222" s="1085">
        <f t="shared" ref="AU222:AU245" si="171">AT222+AS222</f>
        <v>0</v>
      </c>
      <c r="AV222" s="1085"/>
      <c r="AW222" s="1085"/>
      <c r="AX222" s="1085"/>
      <c r="AY222" s="1085">
        <v>2</v>
      </c>
      <c r="AZ222" s="1085"/>
      <c r="BA222" s="934">
        <f t="shared" si="166"/>
        <v>0</v>
      </c>
      <c r="BB222" s="1089">
        <f t="shared" si="167"/>
        <v>69.599999999999994</v>
      </c>
      <c r="BC222" s="1085"/>
      <c r="BD222" s="1085"/>
      <c r="BE222" s="1085"/>
      <c r="BF222" s="1085">
        <v>2</v>
      </c>
      <c r="BG222" s="1085">
        <f t="shared" si="168"/>
        <v>0</v>
      </c>
      <c r="BH222" s="1085">
        <f t="shared" si="169"/>
        <v>1</v>
      </c>
      <c r="BI222" s="1085">
        <f t="shared" si="170"/>
        <v>0</v>
      </c>
      <c r="BJ222" s="1085"/>
      <c r="BK222" s="1085"/>
      <c r="BL222" s="1085">
        <v>2</v>
      </c>
      <c r="BM222" s="1085"/>
      <c r="BN222" s="1085"/>
      <c r="BO222" s="1086"/>
      <c r="BP222" s="1086"/>
      <c r="BQ222" s="1086"/>
      <c r="BR222" s="1086"/>
      <c r="BS222" s="1086"/>
      <c r="BT222" s="1085"/>
      <c r="BU222" s="1085"/>
      <c r="BV222" s="1085"/>
      <c r="BW222" s="1085"/>
      <c r="BX222" s="1085"/>
      <c r="BY222" s="1085"/>
      <c r="CA222" s="1072"/>
    </row>
    <row r="223" spans="4:79" s="977" customFormat="1" ht="21.6">
      <c r="E223" s="1080" t="s">
        <v>615</v>
      </c>
      <c r="F223" s="1081" t="s">
        <v>374</v>
      </c>
      <c r="G223" s="1081" t="s">
        <v>374</v>
      </c>
      <c r="H223" s="1082">
        <v>66.7</v>
      </c>
      <c r="I223" s="1082">
        <f t="shared" ref="I223:I245" si="172">H223</f>
        <v>66.7</v>
      </c>
      <c r="J223" s="1082">
        <f t="shared" si="162"/>
        <v>66.7</v>
      </c>
      <c r="K223" s="1082"/>
      <c r="L223" s="1082">
        <f t="shared" si="163"/>
        <v>66.7</v>
      </c>
      <c r="M223" s="1182"/>
      <c r="N223" s="1083"/>
      <c r="O223" s="1084"/>
      <c r="P223" s="1085"/>
      <c r="Q223" s="1085"/>
      <c r="R223" s="1085">
        <v>1</v>
      </c>
      <c r="S223" s="1085"/>
      <c r="T223" s="1085"/>
      <c r="U223" s="1085"/>
      <c r="V223" s="1085"/>
      <c r="W223" s="1085">
        <v>2</v>
      </c>
      <c r="X223" s="1085"/>
      <c r="Y223" s="1085"/>
      <c r="Z223" s="1085"/>
      <c r="AA223" s="1085">
        <v>1</v>
      </c>
      <c r="AB223" s="1085"/>
      <c r="AC223" s="1085"/>
      <c r="AD223" s="1086"/>
      <c r="AE223" s="1086"/>
      <c r="AF223" s="1086">
        <f t="shared" si="164"/>
        <v>0</v>
      </c>
      <c r="AG223" s="1086"/>
      <c r="AH223" s="1085"/>
      <c r="AI223" s="1085"/>
      <c r="AJ223" s="1087"/>
      <c r="AK223" s="1087"/>
      <c r="AL223" s="1087"/>
      <c r="AM223" s="1087"/>
      <c r="AN223" s="1071">
        <f t="shared" si="165"/>
        <v>0</v>
      </c>
      <c r="AO223" s="1071"/>
      <c r="AP223" s="1071"/>
      <c r="AQ223" s="1071"/>
      <c r="AR223" s="1071"/>
      <c r="AS223" s="1085"/>
      <c r="AT223" s="1085"/>
      <c r="AU223" s="1085">
        <f t="shared" si="171"/>
        <v>0</v>
      </c>
      <c r="AV223" s="1085"/>
      <c r="AW223" s="1085"/>
      <c r="AX223" s="1085"/>
      <c r="AY223" s="1085">
        <v>2</v>
      </c>
      <c r="AZ223" s="1085"/>
      <c r="BA223" s="934">
        <f t="shared" si="166"/>
        <v>0</v>
      </c>
      <c r="BB223" s="1089">
        <f t="shared" si="167"/>
        <v>66.7</v>
      </c>
      <c r="BC223" s="1085"/>
      <c r="BD223" s="1085"/>
      <c r="BE223" s="1085"/>
      <c r="BF223" s="1085">
        <v>2</v>
      </c>
      <c r="BG223" s="1085">
        <f t="shared" si="168"/>
        <v>0</v>
      </c>
      <c r="BH223" s="1085">
        <f t="shared" si="169"/>
        <v>0</v>
      </c>
      <c r="BI223" s="1085">
        <f t="shared" si="170"/>
        <v>1</v>
      </c>
      <c r="BJ223" s="1085"/>
      <c r="BK223" s="1085"/>
      <c r="BL223" s="1085">
        <v>2</v>
      </c>
      <c r="BM223" s="1085"/>
      <c r="BN223" s="1085"/>
      <c r="BO223" s="1086"/>
      <c r="BP223" s="1086"/>
      <c r="BQ223" s="1086"/>
      <c r="BR223" s="1086"/>
      <c r="BS223" s="1086"/>
      <c r="BT223" s="1085"/>
      <c r="BU223" s="1085"/>
      <c r="BV223" s="1085"/>
      <c r="BW223" s="1085"/>
      <c r="BX223" s="1085"/>
      <c r="BY223" s="1085"/>
      <c r="CA223" s="1072"/>
    </row>
    <row r="224" spans="4:79" s="977" customFormat="1" ht="21.6">
      <c r="E224" s="1080" t="s">
        <v>616</v>
      </c>
      <c r="F224" s="1081" t="s">
        <v>374</v>
      </c>
      <c r="G224" s="1081" t="s">
        <v>374</v>
      </c>
      <c r="H224" s="1082">
        <v>63</v>
      </c>
      <c r="I224" s="1082">
        <f t="shared" si="172"/>
        <v>63</v>
      </c>
      <c r="J224" s="1082">
        <f t="shared" si="162"/>
        <v>63</v>
      </c>
      <c r="K224" s="1082"/>
      <c r="L224" s="1082">
        <f t="shared" si="163"/>
        <v>63</v>
      </c>
      <c r="M224" s="1182"/>
      <c r="N224" s="1083"/>
      <c r="O224" s="1084"/>
      <c r="P224" s="1085"/>
      <c r="Q224" s="1085"/>
      <c r="R224" s="1085">
        <v>1</v>
      </c>
      <c r="S224" s="1085"/>
      <c r="T224" s="1085"/>
      <c r="U224" s="1085"/>
      <c r="V224" s="1085"/>
      <c r="W224" s="1085">
        <v>2</v>
      </c>
      <c r="X224" s="1085"/>
      <c r="Y224" s="1085"/>
      <c r="Z224" s="1085"/>
      <c r="AA224" s="1085">
        <v>1</v>
      </c>
      <c r="AB224" s="1085"/>
      <c r="AC224" s="1085"/>
      <c r="AD224" s="1086"/>
      <c r="AE224" s="1086"/>
      <c r="AF224" s="1086">
        <f t="shared" si="164"/>
        <v>0</v>
      </c>
      <c r="AG224" s="1086"/>
      <c r="AH224" s="1085"/>
      <c r="AI224" s="1085"/>
      <c r="AJ224" s="1087"/>
      <c r="AK224" s="1087"/>
      <c r="AL224" s="1087"/>
      <c r="AM224" s="1087"/>
      <c r="AN224" s="1071">
        <f t="shared" si="165"/>
        <v>0</v>
      </c>
      <c r="AO224" s="1071"/>
      <c r="AP224" s="1071"/>
      <c r="AQ224" s="1071"/>
      <c r="AR224" s="1071"/>
      <c r="AS224" s="1085"/>
      <c r="AT224" s="1085"/>
      <c r="AU224" s="1085">
        <f t="shared" si="171"/>
        <v>0</v>
      </c>
      <c r="AV224" s="1085"/>
      <c r="AW224" s="1085"/>
      <c r="AX224" s="1085"/>
      <c r="AY224" s="1085">
        <v>2</v>
      </c>
      <c r="AZ224" s="1085"/>
      <c r="BA224" s="934">
        <f t="shared" si="166"/>
        <v>0</v>
      </c>
      <c r="BB224" s="1089">
        <f t="shared" si="167"/>
        <v>63</v>
      </c>
      <c r="BC224" s="1085"/>
      <c r="BD224" s="1085"/>
      <c r="BE224" s="1085"/>
      <c r="BF224" s="1085">
        <v>2</v>
      </c>
      <c r="BG224" s="1085">
        <f t="shared" si="168"/>
        <v>0</v>
      </c>
      <c r="BH224" s="1085">
        <f t="shared" si="169"/>
        <v>0</v>
      </c>
      <c r="BI224" s="1085">
        <f t="shared" si="170"/>
        <v>1</v>
      </c>
      <c r="BJ224" s="1085"/>
      <c r="BK224" s="1085"/>
      <c r="BL224" s="1085">
        <v>2</v>
      </c>
      <c r="BM224" s="1085"/>
      <c r="BN224" s="1085"/>
      <c r="BO224" s="1086"/>
      <c r="BP224" s="1086"/>
      <c r="BQ224" s="1086"/>
      <c r="BR224" s="1086"/>
      <c r="BS224" s="1086"/>
      <c r="BT224" s="1085"/>
      <c r="BU224" s="1085"/>
      <c r="BV224" s="1085"/>
      <c r="BW224" s="1085"/>
      <c r="BX224" s="1085"/>
      <c r="BY224" s="1085"/>
      <c r="CA224" s="1072"/>
    </row>
    <row r="225" spans="5:79" s="977" customFormat="1" ht="21.6">
      <c r="E225" s="1080" t="s">
        <v>617</v>
      </c>
      <c r="F225" s="1081" t="s">
        <v>374</v>
      </c>
      <c r="G225" s="1081" t="s">
        <v>374</v>
      </c>
      <c r="H225" s="1082">
        <v>72.599999999999994</v>
      </c>
      <c r="I225" s="1082">
        <f t="shared" si="172"/>
        <v>72.599999999999994</v>
      </c>
      <c r="J225" s="1082">
        <f t="shared" si="162"/>
        <v>72.599999999999994</v>
      </c>
      <c r="K225" s="1082"/>
      <c r="L225" s="1082">
        <f t="shared" si="163"/>
        <v>72.599999999999994</v>
      </c>
      <c r="M225" s="1182"/>
      <c r="N225" s="1083"/>
      <c r="O225" s="1084"/>
      <c r="P225" s="1085"/>
      <c r="Q225" s="1085"/>
      <c r="R225" s="1085">
        <v>1</v>
      </c>
      <c r="S225" s="1085"/>
      <c r="T225" s="1085"/>
      <c r="U225" s="1085">
        <v>1</v>
      </c>
      <c r="V225" s="1085"/>
      <c r="W225" s="1085">
        <v>2</v>
      </c>
      <c r="X225" s="1085"/>
      <c r="Y225" s="1085"/>
      <c r="Z225" s="1085"/>
      <c r="AA225" s="1085">
        <v>1</v>
      </c>
      <c r="AB225" s="1085"/>
      <c r="AC225" s="1085"/>
      <c r="AD225" s="1086"/>
      <c r="AE225" s="1086"/>
      <c r="AF225" s="1086">
        <f t="shared" si="164"/>
        <v>0</v>
      </c>
      <c r="AG225" s="1086"/>
      <c r="AH225" s="1085"/>
      <c r="AI225" s="1085"/>
      <c r="AJ225" s="1087"/>
      <c r="AK225" s="1087"/>
      <c r="AL225" s="1087"/>
      <c r="AM225" s="1087"/>
      <c r="AN225" s="1071">
        <f t="shared" si="165"/>
        <v>0</v>
      </c>
      <c r="AO225" s="1071"/>
      <c r="AP225" s="1071"/>
      <c r="AQ225" s="1071"/>
      <c r="AR225" s="1071"/>
      <c r="AS225" s="1085"/>
      <c r="AT225" s="1085"/>
      <c r="AU225" s="1085">
        <f t="shared" si="171"/>
        <v>0</v>
      </c>
      <c r="AV225" s="1085"/>
      <c r="AW225" s="1085"/>
      <c r="AX225" s="1085"/>
      <c r="AY225" s="1085">
        <v>2</v>
      </c>
      <c r="AZ225" s="1085"/>
      <c r="BA225" s="934">
        <f t="shared" si="166"/>
        <v>0</v>
      </c>
      <c r="BB225" s="1089">
        <f t="shared" si="167"/>
        <v>72.599999999999994</v>
      </c>
      <c r="BC225" s="1085"/>
      <c r="BD225" s="1085"/>
      <c r="BE225" s="1085"/>
      <c r="BF225" s="1085">
        <v>2</v>
      </c>
      <c r="BG225" s="1085">
        <f t="shared" si="168"/>
        <v>0</v>
      </c>
      <c r="BH225" s="1085">
        <f t="shared" si="169"/>
        <v>0</v>
      </c>
      <c r="BI225" s="1085">
        <f t="shared" si="170"/>
        <v>1</v>
      </c>
      <c r="BJ225" s="1085"/>
      <c r="BK225" s="1085"/>
      <c r="BL225" s="1085">
        <v>2</v>
      </c>
      <c r="BM225" s="1085"/>
      <c r="BN225" s="1085"/>
      <c r="BO225" s="1086"/>
      <c r="BP225" s="1086"/>
      <c r="BQ225" s="1086"/>
      <c r="BR225" s="1086"/>
      <c r="BS225" s="1086"/>
      <c r="BT225" s="1085"/>
      <c r="BU225" s="1085"/>
      <c r="BV225" s="1085"/>
      <c r="BW225" s="1085"/>
      <c r="BX225" s="1085"/>
      <c r="BY225" s="1085"/>
      <c r="CA225" s="1072"/>
    </row>
    <row r="226" spans="5:79" s="977" customFormat="1" ht="21.6">
      <c r="E226" s="1080" t="s">
        <v>618</v>
      </c>
      <c r="F226" s="1081" t="s">
        <v>374</v>
      </c>
      <c r="G226" s="1081" t="s">
        <v>374</v>
      </c>
      <c r="H226" s="1082">
        <v>62.9</v>
      </c>
      <c r="I226" s="1082">
        <f t="shared" si="172"/>
        <v>62.9</v>
      </c>
      <c r="J226" s="1082">
        <f t="shared" si="162"/>
        <v>62.9</v>
      </c>
      <c r="K226" s="1082"/>
      <c r="L226" s="1082">
        <f t="shared" si="163"/>
        <v>62.9</v>
      </c>
      <c r="M226" s="1182"/>
      <c r="N226" s="1083"/>
      <c r="O226" s="1084"/>
      <c r="P226" s="1085"/>
      <c r="Q226" s="1085">
        <v>1</v>
      </c>
      <c r="R226" s="1085"/>
      <c r="S226" s="1085"/>
      <c r="T226" s="1085"/>
      <c r="U226" s="1085"/>
      <c r="V226" s="1085"/>
      <c r="W226" s="1085">
        <v>2</v>
      </c>
      <c r="X226" s="1085"/>
      <c r="Y226" s="1085"/>
      <c r="Z226" s="1085"/>
      <c r="AA226" s="1085">
        <v>1</v>
      </c>
      <c r="AB226" s="1085"/>
      <c r="AC226" s="1085"/>
      <c r="AD226" s="1086"/>
      <c r="AE226" s="1086"/>
      <c r="AF226" s="1086">
        <f t="shared" si="164"/>
        <v>0</v>
      </c>
      <c r="AG226" s="1086"/>
      <c r="AH226" s="1085"/>
      <c r="AI226" s="1085"/>
      <c r="AJ226" s="1087"/>
      <c r="AK226" s="1087"/>
      <c r="AL226" s="1087"/>
      <c r="AM226" s="1087"/>
      <c r="AN226" s="1071">
        <f t="shared" si="165"/>
        <v>0</v>
      </c>
      <c r="AO226" s="1071"/>
      <c r="AP226" s="1071"/>
      <c r="AQ226" s="1071"/>
      <c r="AR226" s="1071"/>
      <c r="AS226" s="1085"/>
      <c r="AT226" s="1085"/>
      <c r="AU226" s="1085">
        <f t="shared" si="171"/>
        <v>0</v>
      </c>
      <c r="AV226" s="1085"/>
      <c r="AW226" s="1085"/>
      <c r="AX226" s="1085"/>
      <c r="AY226" s="1085">
        <v>2</v>
      </c>
      <c r="AZ226" s="1085"/>
      <c r="BA226" s="934">
        <f t="shared" si="166"/>
        <v>0</v>
      </c>
      <c r="BB226" s="1089">
        <f t="shared" si="167"/>
        <v>62.9</v>
      </c>
      <c r="BC226" s="1085"/>
      <c r="BD226" s="1085"/>
      <c r="BE226" s="1085"/>
      <c r="BF226" s="1085">
        <v>2</v>
      </c>
      <c r="BG226" s="1085">
        <f t="shared" si="168"/>
        <v>0</v>
      </c>
      <c r="BH226" s="1085">
        <f t="shared" si="169"/>
        <v>1</v>
      </c>
      <c r="BI226" s="1085">
        <f t="shared" si="170"/>
        <v>0</v>
      </c>
      <c r="BJ226" s="1085"/>
      <c r="BK226" s="1085"/>
      <c r="BL226" s="1085">
        <v>2</v>
      </c>
      <c r="BM226" s="1085"/>
      <c r="BN226" s="1085"/>
      <c r="BO226" s="1086"/>
      <c r="BP226" s="1086"/>
      <c r="BQ226" s="1086"/>
      <c r="BR226" s="1086"/>
      <c r="BS226" s="1086"/>
      <c r="BT226" s="1085"/>
      <c r="BU226" s="1085"/>
      <c r="BV226" s="1085"/>
      <c r="BW226" s="1085"/>
      <c r="BX226" s="1085"/>
      <c r="BY226" s="1085"/>
      <c r="CA226" s="1072"/>
    </row>
    <row r="227" spans="5:79" s="977" customFormat="1" ht="21.6">
      <c r="E227" s="1080" t="s">
        <v>619</v>
      </c>
      <c r="F227" s="1081" t="s">
        <v>374</v>
      </c>
      <c r="G227" s="1081" t="s">
        <v>374</v>
      </c>
      <c r="H227" s="1082">
        <v>66.599999999999994</v>
      </c>
      <c r="I227" s="1082">
        <f t="shared" si="172"/>
        <v>66.599999999999994</v>
      </c>
      <c r="J227" s="1082">
        <f t="shared" si="162"/>
        <v>66.599999999999994</v>
      </c>
      <c r="K227" s="1082"/>
      <c r="L227" s="1082">
        <f t="shared" si="163"/>
        <v>66.599999999999994</v>
      </c>
      <c r="M227" s="1182"/>
      <c r="N227" s="1083"/>
      <c r="O227" s="1084"/>
      <c r="P227" s="1085"/>
      <c r="Q227" s="1085"/>
      <c r="R227" s="1085">
        <v>1</v>
      </c>
      <c r="S227" s="1085"/>
      <c r="T227" s="1085"/>
      <c r="U227" s="1085"/>
      <c r="V227" s="1085"/>
      <c r="W227" s="1085">
        <v>2</v>
      </c>
      <c r="X227" s="1085"/>
      <c r="Y227" s="1085"/>
      <c r="Z227" s="1085"/>
      <c r="AA227" s="1085">
        <v>1</v>
      </c>
      <c r="AB227" s="1085"/>
      <c r="AC227" s="1085"/>
      <c r="AD227" s="1086"/>
      <c r="AE227" s="1086"/>
      <c r="AF227" s="1086">
        <f t="shared" si="164"/>
        <v>0</v>
      </c>
      <c r="AG227" s="1086"/>
      <c r="AH227" s="1085"/>
      <c r="AI227" s="1085"/>
      <c r="AJ227" s="1087"/>
      <c r="AK227" s="1087"/>
      <c r="AL227" s="1087"/>
      <c r="AM227" s="1087"/>
      <c r="AN227" s="1071">
        <f t="shared" si="165"/>
        <v>0</v>
      </c>
      <c r="AO227" s="1071"/>
      <c r="AP227" s="1071"/>
      <c r="AQ227" s="1071"/>
      <c r="AR227" s="1071"/>
      <c r="AS227" s="1085"/>
      <c r="AT227" s="1085"/>
      <c r="AU227" s="1085">
        <f t="shared" si="171"/>
        <v>0</v>
      </c>
      <c r="AV227" s="1085"/>
      <c r="AW227" s="1085"/>
      <c r="AX227" s="1085"/>
      <c r="AY227" s="1085">
        <v>2</v>
      </c>
      <c r="AZ227" s="1085"/>
      <c r="BA227" s="934">
        <f t="shared" si="166"/>
        <v>0</v>
      </c>
      <c r="BB227" s="1089">
        <f t="shared" si="167"/>
        <v>66.599999999999994</v>
      </c>
      <c r="BC227" s="1085"/>
      <c r="BD227" s="1085"/>
      <c r="BE227" s="1085"/>
      <c r="BF227" s="1085">
        <v>2</v>
      </c>
      <c r="BG227" s="1085">
        <f t="shared" si="168"/>
        <v>0</v>
      </c>
      <c r="BH227" s="1085">
        <f t="shared" si="169"/>
        <v>0</v>
      </c>
      <c r="BI227" s="1085">
        <f t="shared" si="170"/>
        <v>1</v>
      </c>
      <c r="BJ227" s="1085"/>
      <c r="BK227" s="1085"/>
      <c r="BL227" s="1085">
        <v>2</v>
      </c>
      <c r="BM227" s="1085"/>
      <c r="BN227" s="1085"/>
      <c r="BO227" s="1086"/>
      <c r="BP227" s="1086"/>
      <c r="BQ227" s="1086"/>
      <c r="BR227" s="1086"/>
      <c r="BS227" s="1086"/>
      <c r="BT227" s="1085"/>
      <c r="BU227" s="1085"/>
      <c r="BV227" s="1085"/>
      <c r="BW227" s="1085"/>
      <c r="BX227" s="1085"/>
      <c r="BY227" s="1085"/>
      <c r="CA227" s="1072"/>
    </row>
    <row r="228" spans="5:79" s="977" customFormat="1" ht="21.6">
      <c r="E228" s="1080" t="s">
        <v>620</v>
      </c>
      <c r="F228" s="1081" t="s">
        <v>374</v>
      </c>
      <c r="G228" s="1081" t="s">
        <v>374</v>
      </c>
      <c r="H228" s="1082">
        <v>59</v>
      </c>
      <c r="I228" s="1082">
        <f t="shared" si="172"/>
        <v>59</v>
      </c>
      <c r="J228" s="1082">
        <f t="shared" si="162"/>
        <v>59</v>
      </c>
      <c r="K228" s="1082"/>
      <c r="L228" s="1082">
        <f t="shared" si="163"/>
        <v>59</v>
      </c>
      <c r="M228" s="1182"/>
      <c r="N228" s="1083"/>
      <c r="O228" s="1084"/>
      <c r="P228" s="1085"/>
      <c r="Q228" s="1085">
        <v>1</v>
      </c>
      <c r="R228" s="1085"/>
      <c r="S228" s="1085"/>
      <c r="T228" s="1085"/>
      <c r="U228" s="1085"/>
      <c r="V228" s="1085"/>
      <c r="W228" s="1085">
        <v>2</v>
      </c>
      <c r="X228" s="1085"/>
      <c r="Y228" s="1085"/>
      <c r="Z228" s="1085"/>
      <c r="AA228" s="1085">
        <v>1</v>
      </c>
      <c r="AB228" s="1085"/>
      <c r="AC228" s="1085"/>
      <c r="AD228" s="1086"/>
      <c r="AE228" s="1086"/>
      <c r="AF228" s="1086">
        <f t="shared" si="164"/>
        <v>0</v>
      </c>
      <c r="AG228" s="1086"/>
      <c r="AH228" s="1085"/>
      <c r="AI228" s="1085"/>
      <c r="AJ228" s="1087"/>
      <c r="AK228" s="1087"/>
      <c r="AL228" s="1087"/>
      <c r="AM228" s="1087"/>
      <c r="AN228" s="1071">
        <f t="shared" si="165"/>
        <v>0</v>
      </c>
      <c r="AO228" s="1071"/>
      <c r="AP228" s="1071"/>
      <c r="AQ228" s="1071"/>
      <c r="AR228" s="1071"/>
      <c r="AS228" s="1085"/>
      <c r="AT228" s="1085"/>
      <c r="AU228" s="1085">
        <f t="shared" si="171"/>
        <v>0</v>
      </c>
      <c r="AV228" s="1085"/>
      <c r="AW228" s="1085"/>
      <c r="AX228" s="1085"/>
      <c r="AY228" s="1085">
        <v>2</v>
      </c>
      <c r="AZ228" s="1085"/>
      <c r="BA228" s="934">
        <f t="shared" si="166"/>
        <v>0</v>
      </c>
      <c r="BB228" s="1089">
        <f t="shared" si="167"/>
        <v>59</v>
      </c>
      <c r="BC228" s="1085"/>
      <c r="BD228" s="1085"/>
      <c r="BE228" s="1085"/>
      <c r="BF228" s="1085">
        <v>2</v>
      </c>
      <c r="BG228" s="1085">
        <f t="shared" si="168"/>
        <v>0</v>
      </c>
      <c r="BH228" s="1085">
        <f t="shared" si="169"/>
        <v>1</v>
      </c>
      <c r="BI228" s="1085">
        <f t="shared" si="170"/>
        <v>0</v>
      </c>
      <c r="BJ228" s="1085"/>
      <c r="BK228" s="1085"/>
      <c r="BL228" s="1085">
        <v>2</v>
      </c>
      <c r="BM228" s="1085"/>
      <c r="BN228" s="1085"/>
      <c r="BO228" s="1086"/>
      <c r="BP228" s="1086"/>
      <c r="BQ228" s="1086"/>
      <c r="BR228" s="1086"/>
      <c r="BS228" s="1086"/>
      <c r="BT228" s="1085"/>
      <c r="BU228" s="1085"/>
      <c r="BV228" s="1085"/>
      <c r="BW228" s="1085"/>
      <c r="BX228" s="1085"/>
      <c r="BY228" s="1085"/>
      <c r="CA228" s="1072"/>
    </row>
    <row r="229" spans="5:79" s="977" customFormat="1" ht="21.6">
      <c r="E229" s="1080" t="s">
        <v>621</v>
      </c>
      <c r="F229" s="1081" t="s">
        <v>374</v>
      </c>
      <c r="G229" s="1081" t="s">
        <v>374</v>
      </c>
      <c r="H229" s="1082">
        <v>64.5</v>
      </c>
      <c r="I229" s="1082">
        <f t="shared" si="172"/>
        <v>64.5</v>
      </c>
      <c r="J229" s="1082">
        <f t="shared" si="162"/>
        <v>64.5</v>
      </c>
      <c r="K229" s="1082">
        <f>I229</f>
        <v>64.5</v>
      </c>
      <c r="L229" s="1082">
        <f t="shared" si="163"/>
        <v>64.5</v>
      </c>
      <c r="M229" s="1182"/>
      <c r="N229" s="1083"/>
      <c r="O229" s="1084"/>
      <c r="P229" s="1085"/>
      <c r="Q229" s="1085">
        <v>1</v>
      </c>
      <c r="R229" s="1085"/>
      <c r="S229" s="1085"/>
      <c r="T229" s="1085"/>
      <c r="U229" s="1085">
        <v>1</v>
      </c>
      <c r="V229" s="1085"/>
      <c r="W229" s="1085">
        <v>2</v>
      </c>
      <c r="X229" s="1085"/>
      <c r="Y229" s="1085"/>
      <c r="Z229" s="1085"/>
      <c r="AA229" s="1085">
        <v>1</v>
      </c>
      <c r="AB229" s="1085"/>
      <c r="AC229" s="1085">
        <v>2</v>
      </c>
      <c r="AD229" s="1086"/>
      <c r="AE229" s="1086"/>
      <c r="AF229" s="1086">
        <f t="shared" si="164"/>
        <v>0</v>
      </c>
      <c r="AG229" s="1086">
        <v>2</v>
      </c>
      <c r="AH229" s="1085">
        <v>2</v>
      </c>
      <c r="AI229" s="1085"/>
      <c r="AJ229" s="1087">
        <v>1</v>
      </c>
      <c r="AK229" s="1087">
        <v>1</v>
      </c>
      <c r="AL229" s="1087"/>
      <c r="AM229" s="1087"/>
      <c r="AN229" s="1071">
        <f>AM229+AJ229</f>
        <v>1</v>
      </c>
      <c r="AO229" s="1071"/>
      <c r="AP229" s="1071"/>
      <c r="AQ229" s="1071"/>
      <c r="AR229" s="1071"/>
      <c r="AS229" s="1085"/>
      <c r="AT229" s="1085"/>
      <c r="AU229" s="1085">
        <f t="shared" si="171"/>
        <v>0</v>
      </c>
      <c r="AV229" s="1085"/>
      <c r="AW229" s="1085"/>
      <c r="AX229" s="1085"/>
      <c r="AY229" s="1085">
        <v>2</v>
      </c>
      <c r="AZ229" s="1085"/>
      <c r="BA229" s="934">
        <f t="shared" si="166"/>
        <v>0</v>
      </c>
      <c r="BB229" s="1089"/>
      <c r="BC229" s="1085"/>
      <c r="BD229" s="1085"/>
      <c r="BE229" s="1085"/>
      <c r="BF229" s="1085">
        <v>2</v>
      </c>
      <c r="BG229" s="1085">
        <f t="shared" si="168"/>
        <v>0</v>
      </c>
      <c r="BH229" s="1085">
        <f t="shared" si="169"/>
        <v>1</v>
      </c>
      <c r="BI229" s="1085">
        <f t="shared" si="170"/>
        <v>0</v>
      </c>
      <c r="BJ229" s="1085"/>
      <c r="BK229" s="1085"/>
      <c r="BL229" s="1085">
        <v>2</v>
      </c>
      <c r="BM229" s="1085"/>
      <c r="BN229" s="1085"/>
      <c r="BO229" s="1086"/>
      <c r="BP229" s="1086"/>
      <c r="BQ229" s="1086"/>
      <c r="BR229" s="1086"/>
      <c r="BS229" s="1086"/>
      <c r="BT229" s="1085">
        <v>1</v>
      </c>
      <c r="BU229" s="1085"/>
      <c r="BV229" s="1085"/>
      <c r="BW229" s="1085"/>
      <c r="BX229" s="1085"/>
      <c r="BY229" s="1085" t="s">
        <v>890</v>
      </c>
      <c r="CA229" s="1072"/>
    </row>
    <row r="230" spans="5:79" s="977" customFormat="1" ht="21.6">
      <c r="E230" s="1080" t="s">
        <v>622</v>
      </c>
      <c r="F230" s="1081" t="s">
        <v>148</v>
      </c>
      <c r="G230" s="1081" t="s">
        <v>148</v>
      </c>
      <c r="H230" s="1082">
        <v>59</v>
      </c>
      <c r="I230" s="1082">
        <f t="shared" si="172"/>
        <v>59</v>
      </c>
      <c r="J230" s="1082">
        <f t="shared" si="162"/>
        <v>59</v>
      </c>
      <c r="K230" s="1082">
        <f>I230</f>
        <v>59</v>
      </c>
      <c r="L230" s="1082">
        <f t="shared" si="163"/>
        <v>59</v>
      </c>
      <c r="M230" s="1182"/>
      <c r="N230" s="1083"/>
      <c r="O230" s="1084"/>
      <c r="P230" s="1085"/>
      <c r="Q230" s="1085">
        <v>2</v>
      </c>
      <c r="R230" s="1085"/>
      <c r="S230" s="1085"/>
      <c r="T230" s="1085"/>
      <c r="U230" s="1085"/>
      <c r="V230" s="1085"/>
      <c r="W230" s="1085">
        <v>1</v>
      </c>
      <c r="X230" s="1085"/>
      <c r="Y230" s="1085">
        <v>1</v>
      </c>
      <c r="Z230" s="1085"/>
      <c r="AA230" s="1085"/>
      <c r="AB230" s="1085"/>
      <c r="AC230" s="1085">
        <v>2</v>
      </c>
      <c r="AD230" s="1086">
        <v>2</v>
      </c>
      <c r="AE230" s="1086"/>
      <c r="AF230" s="1086">
        <f t="shared" si="164"/>
        <v>2</v>
      </c>
      <c r="AG230" s="1086"/>
      <c r="AH230" s="1085"/>
      <c r="AI230" s="1085"/>
      <c r="AJ230" s="1087"/>
      <c r="AK230" s="1087"/>
      <c r="AL230" s="1087"/>
      <c r="AM230" s="1087"/>
      <c r="AN230" s="1071">
        <f t="shared" ref="AN230:AN245" si="173">AM230+AJ230</f>
        <v>0</v>
      </c>
      <c r="AO230" s="1071"/>
      <c r="AP230" s="1071"/>
      <c r="AQ230" s="1071"/>
      <c r="AR230" s="1071"/>
      <c r="AS230" s="1085">
        <v>1</v>
      </c>
      <c r="AT230" s="1085"/>
      <c r="AU230" s="1085">
        <f t="shared" si="171"/>
        <v>1</v>
      </c>
      <c r="AV230" s="1085"/>
      <c r="AW230" s="1085"/>
      <c r="AX230" s="1085">
        <v>1</v>
      </c>
      <c r="AY230" s="1085"/>
      <c r="AZ230" s="1085"/>
      <c r="BA230" s="934">
        <f t="shared" si="166"/>
        <v>2</v>
      </c>
      <c r="BB230" s="1089"/>
      <c r="BC230" s="1085"/>
      <c r="BD230" s="1085"/>
      <c r="BE230" s="1085"/>
      <c r="BF230" s="1085">
        <v>2</v>
      </c>
      <c r="BG230" s="1085">
        <f t="shared" si="168"/>
        <v>0</v>
      </c>
      <c r="BH230" s="1085">
        <f t="shared" si="169"/>
        <v>2</v>
      </c>
      <c r="BI230" s="1085">
        <f t="shared" si="170"/>
        <v>0</v>
      </c>
      <c r="BJ230" s="1085"/>
      <c r="BK230" s="1085"/>
      <c r="BL230" s="1085">
        <v>2</v>
      </c>
      <c r="BM230" s="1085"/>
      <c r="BN230" s="1085">
        <v>1</v>
      </c>
      <c r="BO230" s="1086">
        <v>2</v>
      </c>
      <c r="BP230" s="1086"/>
      <c r="BQ230" s="1086"/>
      <c r="BR230" s="1086"/>
      <c r="BS230" s="1086"/>
      <c r="BT230" s="1085"/>
      <c r="BU230" s="1085"/>
      <c r="BV230" s="1085"/>
      <c r="BW230" s="1085"/>
      <c r="BX230" s="1085"/>
      <c r="BY230" s="1085"/>
      <c r="CA230" s="1072"/>
    </row>
    <row r="231" spans="5:79" s="977" customFormat="1" ht="21.6">
      <c r="E231" s="1080" t="s">
        <v>623</v>
      </c>
      <c r="F231" s="1081" t="s">
        <v>374</v>
      </c>
      <c r="G231" s="1081" t="s">
        <v>374</v>
      </c>
      <c r="H231" s="1082">
        <v>63</v>
      </c>
      <c r="I231" s="1082">
        <f t="shared" si="172"/>
        <v>63</v>
      </c>
      <c r="J231" s="1082">
        <f t="shared" si="162"/>
        <v>63</v>
      </c>
      <c r="K231" s="1082">
        <f t="shared" ref="K231:K232" si="174">I231</f>
        <v>63</v>
      </c>
      <c r="L231" s="1082">
        <f t="shared" si="163"/>
        <v>63</v>
      </c>
      <c r="M231" s="1182"/>
      <c r="N231" s="1083"/>
      <c r="O231" s="1084"/>
      <c r="P231" s="1085"/>
      <c r="Q231" s="1085"/>
      <c r="R231" s="1085"/>
      <c r="S231" s="1085"/>
      <c r="T231" s="1085"/>
      <c r="U231" s="1085"/>
      <c r="V231" s="1085"/>
      <c r="W231" s="1085">
        <v>2</v>
      </c>
      <c r="X231" s="1085"/>
      <c r="Y231" s="1085"/>
      <c r="Z231" s="1085"/>
      <c r="AA231" s="1085">
        <v>1</v>
      </c>
      <c r="AB231" s="1085"/>
      <c r="AC231" s="1085"/>
      <c r="AD231" s="1086"/>
      <c r="AE231" s="1086"/>
      <c r="AF231" s="1086">
        <f t="shared" si="164"/>
        <v>0</v>
      </c>
      <c r="AG231" s="1086"/>
      <c r="AH231" s="1085"/>
      <c r="AI231" s="1085"/>
      <c r="AJ231" s="1087"/>
      <c r="AK231" s="1087"/>
      <c r="AL231" s="1087"/>
      <c r="AM231" s="1087"/>
      <c r="AN231" s="1071">
        <f t="shared" si="173"/>
        <v>0</v>
      </c>
      <c r="AO231" s="1071"/>
      <c r="AP231" s="1071"/>
      <c r="AQ231" s="1071"/>
      <c r="AR231" s="1071"/>
      <c r="AS231" s="1085"/>
      <c r="AT231" s="1085"/>
      <c r="AU231" s="1085">
        <f t="shared" si="171"/>
        <v>0</v>
      </c>
      <c r="AV231" s="1085"/>
      <c r="AW231" s="1085"/>
      <c r="AX231" s="1085"/>
      <c r="AY231" s="1085">
        <v>2</v>
      </c>
      <c r="AZ231" s="1085"/>
      <c r="BA231" s="934">
        <f t="shared" si="166"/>
        <v>0</v>
      </c>
      <c r="BB231" s="1089"/>
      <c r="BC231" s="1085"/>
      <c r="BD231" s="1085"/>
      <c r="BE231" s="1085"/>
      <c r="BF231" s="1085">
        <v>2</v>
      </c>
      <c r="BG231" s="1085">
        <f t="shared" si="168"/>
        <v>0</v>
      </c>
      <c r="BH231" s="1085">
        <f t="shared" si="169"/>
        <v>0</v>
      </c>
      <c r="BI231" s="1085">
        <f t="shared" si="170"/>
        <v>0</v>
      </c>
      <c r="BJ231" s="1085"/>
      <c r="BK231" s="1085"/>
      <c r="BL231" s="1085">
        <v>2</v>
      </c>
      <c r="BM231" s="1085"/>
      <c r="BN231" s="1085"/>
      <c r="BO231" s="1086"/>
      <c r="BP231" s="1086"/>
      <c r="BQ231" s="1086"/>
      <c r="BR231" s="1086"/>
      <c r="BS231" s="1086"/>
      <c r="BT231" s="1085"/>
      <c r="BU231" s="1085"/>
      <c r="BV231" s="1085"/>
      <c r="BW231" s="1085"/>
      <c r="BX231" s="1085"/>
      <c r="BY231" s="1085"/>
      <c r="CA231" s="1072"/>
    </row>
    <row r="232" spans="5:79" s="977" customFormat="1" ht="21.6">
      <c r="E232" s="1080" t="s">
        <v>624</v>
      </c>
      <c r="F232" s="1081" t="s">
        <v>148</v>
      </c>
      <c r="G232" s="1081" t="s">
        <v>148</v>
      </c>
      <c r="H232" s="1082">
        <v>66</v>
      </c>
      <c r="I232" s="1082">
        <f t="shared" si="172"/>
        <v>66</v>
      </c>
      <c r="J232" s="1082">
        <f t="shared" si="162"/>
        <v>66</v>
      </c>
      <c r="K232" s="1082">
        <f t="shared" si="174"/>
        <v>66</v>
      </c>
      <c r="L232" s="1082">
        <f t="shared" si="163"/>
        <v>66</v>
      </c>
      <c r="M232" s="1182"/>
      <c r="N232" s="1083"/>
      <c r="O232" s="1084"/>
      <c r="P232" s="1085"/>
      <c r="Q232" s="1085">
        <v>2</v>
      </c>
      <c r="R232" s="1085"/>
      <c r="S232" s="1085"/>
      <c r="T232" s="1085"/>
      <c r="U232" s="1085"/>
      <c r="V232" s="1085"/>
      <c r="W232" s="1085">
        <v>1</v>
      </c>
      <c r="X232" s="1085"/>
      <c r="Y232" s="1085">
        <v>1</v>
      </c>
      <c r="Z232" s="1085"/>
      <c r="AA232" s="1085"/>
      <c r="AB232" s="1085"/>
      <c r="AC232" s="1085">
        <v>2</v>
      </c>
      <c r="AD232" s="1086">
        <v>2</v>
      </c>
      <c r="AE232" s="1086"/>
      <c r="AF232" s="1086">
        <f t="shared" si="164"/>
        <v>2</v>
      </c>
      <c r="AG232" s="1086"/>
      <c r="AH232" s="1085"/>
      <c r="AI232" s="1085"/>
      <c r="AJ232" s="1087"/>
      <c r="AK232" s="1087"/>
      <c r="AL232" s="1087"/>
      <c r="AM232" s="1087"/>
      <c r="AN232" s="1071">
        <f t="shared" si="173"/>
        <v>0</v>
      </c>
      <c r="AO232" s="1071"/>
      <c r="AP232" s="1071"/>
      <c r="AQ232" s="1071"/>
      <c r="AR232" s="1071"/>
      <c r="AS232" s="1085">
        <v>1</v>
      </c>
      <c r="AT232" s="1085"/>
      <c r="AU232" s="1085">
        <f t="shared" si="171"/>
        <v>1</v>
      </c>
      <c r="AV232" s="1085"/>
      <c r="AW232" s="1085"/>
      <c r="AX232" s="1085">
        <v>1</v>
      </c>
      <c r="AY232" s="1085"/>
      <c r="AZ232" s="1085"/>
      <c r="BA232" s="934">
        <f t="shared" si="166"/>
        <v>2</v>
      </c>
      <c r="BB232" s="1089"/>
      <c r="BC232" s="1085"/>
      <c r="BD232" s="1085"/>
      <c r="BE232" s="1085"/>
      <c r="BF232" s="1085">
        <v>2</v>
      </c>
      <c r="BG232" s="1085">
        <f t="shared" si="168"/>
        <v>0</v>
      </c>
      <c r="BH232" s="1085">
        <f t="shared" si="169"/>
        <v>2</v>
      </c>
      <c r="BI232" s="1085">
        <f t="shared" si="170"/>
        <v>0</v>
      </c>
      <c r="BJ232" s="1085"/>
      <c r="BK232" s="1085"/>
      <c r="BL232" s="1085">
        <v>2</v>
      </c>
      <c r="BM232" s="1085"/>
      <c r="BN232" s="1085">
        <v>1</v>
      </c>
      <c r="BO232" s="1086">
        <v>2</v>
      </c>
      <c r="BP232" s="1086"/>
      <c r="BQ232" s="1086"/>
      <c r="BR232" s="1086"/>
      <c r="BS232" s="1086"/>
      <c r="BT232" s="1085"/>
      <c r="BU232" s="1085"/>
      <c r="BV232" s="1085"/>
      <c r="BW232" s="1085"/>
      <c r="BX232" s="1085"/>
      <c r="BY232" s="1236"/>
      <c r="CA232" s="1072"/>
    </row>
    <row r="233" spans="5:79" s="977" customFormat="1" ht="21.6">
      <c r="E233" s="1080" t="s">
        <v>625</v>
      </c>
      <c r="F233" s="1081" t="s">
        <v>80</v>
      </c>
      <c r="G233" s="1081" t="s">
        <v>80</v>
      </c>
      <c r="H233" s="1082">
        <v>68.400000000000006</v>
      </c>
      <c r="I233" s="1082">
        <f t="shared" si="172"/>
        <v>68.400000000000006</v>
      </c>
      <c r="J233" s="1082">
        <f t="shared" si="162"/>
        <v>68.400000000000006</v>
      </c>
      <c r="K233" s="1082"/>
      <c r="L233" s="1082">
        <f t="shared" si="163"/>
        <v>68.400000000000006</v>
      </c>
      <c r="M233" s="1182"/>
      <c r="N233" s="1083"/>
      <c r="O233" s="1084"/>
      <c r="P233" s="1085"/>
      <c r="Q233" s="1085"/>
      <c r="R233" s="1085"/>
      <c r="S233" s="1085"/>
      <c r="T233" s="1085"/>
      <c r="U233" s="1085">
        <v>1</v>
      </c>
      <c r="V233" s="1085">
        <v>1</v>
      </c>
      <c r="W233" s="1085">
        <v>1</v>
      </c>
      <c r="X233" s="1085"/>
      <c r="Y233" s="1085"/>
      <c r="Z233" s="1085"/>
      <c r="AA233" s="1085"/>
      <c r="AB233" s="1085"/>
      <c r="AC233" s="1085"/>
      <c r="AD233" s="1086"/>
      <c r="AE233" s="1086"/>
      <c r="AF233" s="1086">
        <f t="shared" si="164"/>
        <v>0</v>
      </c>
      <c r="AG233" s="1086"/>
      <c r="AH233" s="1085"/>
      <c r="AI233" s="1085"/>
      <c r="AJ233" s="1087"/>
      <c r="AK233" s="1087"/>
      <c r="AL233" s="1087"/>
      <c r="AM233" s="1087"/>
      <c r="AN233" s="1071">
        <f t="shared" si="173"/>
        <v>0</v>
      </c>
      <c r="AO233" s="1071"/>
      <c r="AP233" s="1071"/>
      <c r="AQ233" s="1071"/>
      <c r="AR233" s="1071"/>
      <c r="AS233" s="1085"/>
      <c r="AT233" s="1085"/>
      <c r="AU233" s="1085">
        <f t="shared" si="171"/>
        <v>0</v>
      </c>
      <c r="AV233" s="1085"/>
      <c r="AW233" s="1085"/>
      <c r="AX233" s="1085">
        <v>1</v>
      </c>
      <c r="AY233" s="1085"/>
      <c r="AZ233" s="1085"/>
      <c r="BA233" s="934">
        <f t="shared" si="166"/>
        <v>0</v>
      </c>
      <c r="BB233" s="1089">
        <f t="shared" ref="BB233:BB245" si="175">H233</f>
        <v>68.400000000000006</v>
      </c>
      <c r="BC233" s="1085"/>
      <c r="BD233" s="1085"/>
      <c r="BE233" s="1085">
        <v>2</v>
      </c>
      <c r="BF233" s="1085"/>
      <c r="BG233" s="1085">
        <f t="shared" si="168"/>
        <v>0</v>
      </c>
      <c r="BH233" s="1085">
        <f t="shared" si="169"/>
        <v>0</v>
      </c>
      <c r="BI233" s="1085">
        <f t="shared" si="170"/>
        <v>0</v>
      </c>
      <c r="BJ233" s="1085"/>
      <c r="BK233" s="1085"/>
      <c r="BL233" s="1085">
        <v>1</v>
      </c>
      <c r="BM233" s="1085"/>
      <c r="BN233" s="1085"/>
      <c r="BO233" s="1086"/>
      <c r="BP233" s="1086"/>
      <c r="BQ233" s="1086"/>
      <c r="BR233" s="1086"/>
      <c r="BS233" s="1086"/>
      <c r="BT233" s="1085"/>
      <c r="BU233" s="1085"/>
      <c r="BV233" s="1085"/>
      <c r="BW233" s="1085"/>
      <c r="BX233" s="1085"/>
      <c r="BY233" s="1085"/>
      <c r="CA233" s="1072"/>
    </row>
    <row r="234" spans="5:79" s="977" customFormat="1" ht="21.6">
      <c r="E234" s="1080" t="s">
        <v>626</v>
      </c>
      <c r="F234" s="1081" t="s">
        <v>80</v>
      </c>
      <c r="G234" s="1081" t="s">
        <v>80</v>
      </c>
      <c r="H234" s="1082">
        <v>69.5</v>
      </c>
      <c r="I234" s="1082">
        <f t="shared" si="172"/>
        <v>69.5</v>
      </c>
      <c r="J234" s="1082">
        <f t="shared" si="162"/>
        <v>69.5</v>
      </c>
      <c r="K234" s="1082"/>
      <c r="L234" s="1082">
        <f t="shared" si="163"/>
        <v>69.5</v>
      </c>
      <c r="M234" s="1182"/>
      <c r="N234" s="1083"/>
      <c r="O234" s="1084"/>
      <c r="P234" s="1085"/>
      <c r="Q234" s="1085"/>
      <c r="R234" s="1085"/>
      <c r="S234" s="1085"/>
      <c r="T234" s="1085"/>
      <c r="U234" s="1085"/>
      <c r="V234" s="1085">
        <v>1</v>
      </c>
      <c r="W234" s="1085">
        <v>1</v>
      </c>
      <c r="X234" s="1085"/>
      <c r="Y234" s="1085"/>
      <c r="Z234" s="1085"/>
      <c r="AA234" s="1085"/>
      <c r="AB234" s="1085"/>
      <c r="AC234" s="1085"/>
      <c r="AD234" s="1086"/>
      <c r="AE234" s="1086"/>
      <c r="AF234" s="1086">
        <f t="shared" si="164"/>
        <v>0</v>
      </c>
      <c r="AG234" s="1086"/>
      <c r="AH234" s="1085"/>
      <c r="AI234" s="1085"/>
      <c r="AJ234" s="1087"/>
      <c r="AK234" s="1087"/>
      <c r="AL234" s="1087"/>
      <c r="AM234" s="1087"/>
      <c r="AN234" s="1071">
        <f t="shared" si="173"/>
        <v>0</v>
      </c>
      <c r="AO234" s="1071"/>
      <c r="AP234" s="1071"/>
      <c r="AQ234" s="1071"/>
      <c r="AR234" s="1071"/>
      <c r="AS234" s="1085"/>
      <c r="AT234" s="1085"/>
      <c r="AU234" s="1085">
        <f t="shared" si="171"/>
        <v>0</v>
      </c>
      <c r="AV234" s="1085"/>
      <c r="AW234" s="1085"/>
      <c r="AX234" s="1085">
        <v>1</v>
      </c>
      <c r="AY234" s="1085"/>
      <c r="AZ234" s="1085"/>
      <c r="BA234" s="934">
        <f t="shared" si="166"/>
        <v>0</v>
      </c>
      <c r="BB234" s="1089">
        <f t="shared" si="175"/>
        <v>69.5</v>
      </c>
      <c r="BC234" s="1085"/>
      <c r="BD234" s="1085"/>
      <c r="BE234" s="1085">
        <v>2</v>
      </c>
      <c r="BF234" s="1085"/>
      <c r="BG234" s="1085">
        <f t="shared" si="168"/>
        <v>0</v>
      </c>
      <c r="BH234" s="1085">
        <f t="shared" si="169"/>
        <v>0</v>
      </c>
      <c r="BI234" s="1085">
        <f t="shared" si="170"/>
        <v>0</v>
      </c>
      <c r="BJ234" s="1085"/>
      <c r="BK234" s="1085"/>
      <c r="BL234" s="1085">
        <v>1</v>
      </c>
      <c r="BM234" s="1085"/>
      <c r="BN234" s="1085"/>
      <c r="BO234" s="1086"/>
      <c r="BP234" s="1086"/>
      <c r="BQ234" s="1086"/>
      <c r="BR234" s="1086"/>
      <c r="BS234" s="1086"/>
      <c r="BT234" s="1085"/>
      <c r="BU234" s="1085"/>
      <c r="BV234" s="1085"/>
      <c r="BW234" s="1085"/>
      <c r="BX234" s="1085"/>
      <c r="BY234" s="1085"/>
      <c r="CA234" s="1072"/>
    </row>
    <row r="235" spans="5:79" s="977" customFormat="1" ht="21.6">
      <c r="E235" s="1080" t="s">
        <v>627</v>
      </c>
      <c r="F235" s="1081" t="s">
        <v>80</v>
      </c>
      <c r="G235" s="1081" t="s">
        <v>80</v>
      </c>
      <c r="H235" s="1082">
        <v>70.8</v>
      </c>
      <c r="I235" s="1082">
        <f t="shared" si="172"/>
        <v>70.8</v>
      </c>
      <c r="J235" s="1082">
        <f t="shared" si="162"/>
        <v>70.8</v>
      </c>
      <c r="K235" s="1082"/>
      <c r="L235" s="1082">
        <f t="shared" si="163"/>
        <v>70.8</v>
      </c>
      <c r="M235" s="1182"/>
      <c r="N235" s="1083"/>
      <c r="O235" s="1084"/>
      <c r="P235" s="1085"/>
      <c r="Q235" s="1085"/>
      <c r="R235" s="1085"/>
      <c r="S235" s="1085"/>
      <c r="T235" s="1085"/>
      <c r="U235" s="1085"/>
      <c r="V235" s="1085">
        <v>1</v>
      </c>
      <c r="W235" s="1085">
        <v>1</v>
      </c>
      <c r="X235" s="1085"/>
      <c r="Y235" s="1085"/>
      <c r="Z235" s="1085"/>
      <c r="AA235" s="1085"/>
      <c r="AB235" s="1085"/>
      <c r="AC235" s="1085"/>
      <c r="AD235" s="1086"/>
      <c r="AE235" s="1086"/>
      <c r="AF235" s="1086">
        <f t="shared" si="164"/>
        <v>0</v>
      </c>
      <c r="AG235" s="1086"/>
      <c r="AH235" s="1085"/>
      <c r="AI235" s="1085"/>
      <c r="AJ235" s="1087"/>
      <c r="AK235" s="1087"/>
      <c r="AL235" s="1087"/>
      <c r="AM235" s="1087"/>
      <c r="AN235" s="1071">
        <f t="shared" si="173"/>
        <v>0</v>
      </c>
      <c r="AO235" s="1071"/>
      <c r="AP235" s="1071"/>
      <c r="AQ235" s="1071"/>
      <c r="AR235" s="1071"/>
      <c r="AS235" s="1085"/>
      <c r="AT235" s="1085"/>
      <c r="AU235" s="1085">
        <f t="shared" si="171"/>
        <v>0</v>
      </c>
      <c r="AV235" s="1085"/>
      <c r="AW235" s="1085"/>
      <c r="AX235" s="1085">
        <v>1</v>
      </c>
      <c r="AY235" s="1085"/>
      <c r="AZ235" s="1085"/>
      <c r="BA235" s="934">
        <f t="shared" si="166"/>
        <v>0</v>
      </c>
      <c r="BB235" s="1089">
        <f t="shared" si="175"/>
        <v>70.8</v>
      </c>
      <c r="BC235" s="1085"/>
      <c r="BD235" s="1085"/>
      <c r="BE235" s="1085">
        <v>2</v>
      </c>
      <c r="BF235" s="1085"/>
      <c r="BG235" s="1085">
        <f t="shared" si="168"/>
        <v>0</v>
      </c>
      <c r="BH235" s="1085">
        <f t="shared" si="169"/>
        <v>0</v>
      </c>
      <c r="BI235" s="1085">
        <f t="shared" si="170"/>
        <v>0</v>
      </c>
      <c r="BJ235" s="1085"/>
      <c r="BK235" s="1085"/>
      <c r="BL235" s="1085">
        <v>1</v>
      </c>
      <c r="BM235" s="1085"/>
      <c r="BN235" s="1085"/>
      <c r="BO235" s="1086"/>
      <c r="BP235" s="1086"/>
      <c r="BQ235" s="1086"/>
      <c r="BR235" s="1086"/>
      <c r="BS235" s="1086"/>
      <c r="BT235" s="1085"/>
      <c r="BU235" s="1085"/>
      <c r="BV235" s="1085"/>
      <c r="BW235" s="1085"/>
      <c r="BX235" s="1085"/>
      <c r="BY235" s="1085"/>
      <c r="CA235" s="1072"/>
    </row>
    <row r="236" spans="5:79" s="977" customFormat="1" ht="21.6">
      <c r="E236" s="1080" t="s">
        <v>657</v>
      </c>
      <c r="F236" s="1081" t="s">
        <v>80</v>
      </c>
      <c r="G236" s="1081" t="s">
        <v>80</v>
      </c>
      <c r="H236" s="1082">
        <v>68.5</v>
      </c>
      <c r="I236" s="1082">
        <f t="shared" si="172"/>
        <v>68.5</v>
      </c>
      <c r="J236" s="1082">
        <f t="shared" si="162"/>
        <v>68.5</v>
      </c>
      <c r="K236" s="1082"/>
      <c r="L236" s="1082">
        <f t="shared" si="163"/>
        <v>68.5</v>
      </c>
      <c r="M236" s="1182"/>
      <c r="N236" s="1083"/>
      <c r="O236" s="1084"/>
      <c r="P236" s="1085"/>
      <c r="Q236" s="1085"/>
      <c r="R236" s="1085"/>
      <c r="S236" s="1085"/>
      <c r="T236" s="1085"/>
      <c r="U236" s="1085"/>
      <c r="V236" s="1085">
        <v>1</v>
      </c>
      <c r="W236" s="1085">
        <v>1</v>
      </c>
      <c r="X236" s="1085"/>
      <c r="Y236" s="1085"/>
      <c r="Z236" s="1085"/>
      <c r="AA236" s="1085"/>
      <c r="AB236" s="1085"/>
      <c r="AC236" s="1085"/>
      <c r="AD236" s="1086"/>
      <c r="AE236" s="1086"/>
      <c r="AF236" s="1086">
        <f t="shared" si="164"/>
        <v>0</v>
      </c>
      <c r="AG236" s="1086"/>
      <c r="AH236" s="1085"/>
      <c r="AI236" s="1085"/>
      <c r="AJ236" s="1087"/>
      <c r="AK236" s="1087"/>
      <c r="AL236" s="1087"/>
      <c r="AM236" s="1087"/>
      <c r="AN236" s="1071">
        <f t="shared" si="173"/>
        <v>0</v>
      </c>
      <c r="AO236" s="1071"/>
      <c r="AP236" s="1071"/>
      <c r="AQ236" s="1071"/>
      <c r="AR236" s="1071"/>
      <c r="AS236" s="1085"/>
      <c r="AT236" s="1085"/>
      <c r="AU236" s="1085">
        <f t="shared" si="171"/>
        <v>0</v>
      </c>
      <c r="AV236" s="1085"/>
      <c r="AW236" s="1085"/>
      <c r="AX236" s="1085">
        <v>1</v>
      </c>
      <c r="AY236" s="1085"/>
      <c r="AZ236" s="1085"/>
      <c r="BA236" s="934">
        <f t="shared" si="166"/>
        <v>0</v>
      </c>
      <c r="BB236" s="1089">
        <f t="shared" si="175"/>
        <v>68.5</v>
      </c>
      <c r="BC236" s="1085"/>
      <c r="BD236" s="1085"/>
      <c r="BE236" s="1085">
        <v>2</v>
      </c>
      <c r="BF236" s="1085"/>
      <c r="BG236" s="1085">
        <f t="shared" si="168"/>
        <v>0</v>
      </c>
      <c r="BH236" s="1085">
        <f t="shared" si="169"/>
        <v>0</v>
      </c>
      <c r="BI236" s="1085">
        <f t="shared" si="170"/>
        <v>0</v>
      </c>
      <c r="BJ236" s="1085"/>
      <c r="BK236" s="1085"/>
      <c r="BL236" s="1085">
        <v>1</v>
      </c>
      <c r="BM236" s="1085"/>
      <c r="BN236" s="1085"/>
      <c r="BO236" s="1086"/>
      <c r="BP236" s="1086"/>
      <c r="BQ236" s="1086"/>
      <c r="BR236" s="1086"/>
      <c r="BS236" s="1086"/>
      <c r="BT236" s="1085"/>
      <c r="BU236" s="1085"/>
      <c r="BV236" s="1085"/>
      <c r="BW236" s="1085"/>
      <c r="BX236" s="1085"/>
      <c r="BY236" s="1085"/>
      <c r="CA236" s="1072"/>
    </row>
    <row r="237" spans="5:79" s="977" customFormat="1" ht="21.6">
      <c r="E237" s="1080" t="s">
        <v>658</v>
      </c>
      <c r="F237" s="1081" t="s">
        <v>148</v>
      </c>
      <c r="G237" s="1081" t="s">
        <v>148</v>
      </c>
      <c r="H237" s="1082">
        <v>48</v>
      </c>
      <c r="I237" s="1082">
        <f t="shared" si="172"/>
        <v>48</v>
      </c>
      <c r="J237" s="1082">
        <f t="shared" si="162"/>
        <v>48</v>
      </c>
      <c r="K237" s="1082"/>
      <c r="L237" s="1082">
        <f t="shared" si="163"/>
        <v>48</v>
      </c>
      <c r="M237" s="1182"/>
      <c r="N237" s="1083"/>
      <c r="O237" s="1084"/>
      <c r="P237" s="1085"/>
      <c r="Q237" s="1085">
        <v>2</v>
      </c>
      <c r="R237" s="1085"/>
      <c r="S237" s="1085"/>
      <c r="T237" s="1085"/>
      <c r="U237" s="1085">
        <v>1</v>
      </c>
      <c r="V237" s="1085"/>
      <c r="W237" s="1085">
        <v>1</v>
      </c>
      <c r="X237" s="1085">
        <v>1</v>
      </c>
      <c r="Y237" s="1085"/>
      <c r="Z237" s="1085"/>
      <c r="AA237" s="1085"/>
      <c r="AB237" s="1085"/>
      <c r="AC237" s="1085">
        <v>2</v>
      </c>
      <c r="AD237" s="1086">
        <v>2</v>
      </c>
      <c r="AE237" s="1086"/>
      <c r="AF237" s="1086">
        <f t="shared" si="164"/>
        <v>2</v>
      </c>
      <c r="AG237" s="1086"/>
      <c r="AH237" s="1085"/>
      <c r="AI237" s="1085"/>
      <c r="AJ237" s="1087"/>
      <c r="AK237" s="1087"/>
      <c r="AL237" s="1087"/>
      <c r="AM237" s="1087"/>
      <c r="AN237" s="1071">
        <f t="shared" si="173"/>
        <v>0</v>
      </c>
      <c r="AO237" s="1071"/>
      <c r="AP237" s="1071"/>
      <c r="AQ237" s="1071"/>
      <c r="AR237" s="1071"/>
      <c r="AS237" s="1085">
        <v>1</v>
      </c>
      <c r="AT237" s="1085"/>
      <c r="AU237" s="1085">
        <f t="shared" si="171"/>
        <v>1</v>
      </c>
      <c r="AV237" s="1085"/>
      <c r="AW237" s="1085"/>
      <c r="AX237" s="1085">
        <v>1</v>
      </c>
      <c r="AY237" s="1085"/>
      <c r="AZ237" s="1085"/>
      <c r="BA237" s="934">
        <f t="shared" si="166"/>
        <v>2</v>
      </c>
      <c r="BB237" s="1089">
        <f t="shared" si="175"/>
        <v>48</v>
      </c>
      <c r="BC237" s="1085"/>
      <c r="BD237" s="1085"/>
      <c r="BE237" s="1085"/>
      <c r="BF237" s="1085"/>
      <c r="BG237" s="1085">
        <f t="shared" si="168"/>
        <v>0</v>
      </c>
      <c r="BH237" s="1085">
        <f t="shared" si="169"/>
        <v>2</v>
      </c>
      <c r="BI237" s="1085">
        <f t="shared" si="170"/>
        <v>0</v>
      </c>
      <c r="BJ237" s="1085"/>
      <c r="BK237" s="1085"/>
      <c r="BL237" s="1085"/>
      <c r="BM237" s="1085"/>
      <c r="BN237" s="1085"/>
      <c r="BO237" s="1086">
        <v>2</v>
      </c>
      <c r="BP237" s="1086"/>
      <c r="BQ237" s="1086"/>
      <c r="BR237" s="1086"/>
      <c r="BS237" s="1086"/>
      <c r="BT237" s="1085"/>
      <c r="BU237" s="1085"/>
      <c r="BV237" s="1085"/>
      <c r="BW237" s="1085"/>
      <c r="BX237" s="1085"/>
      <c r="BY237" s="1236"/>
      <c r="CA237" s="1072"/>
    </row>
    <row r="238" spans="5:79" s="977" customFormat="1" ht="21.6">
      <c r="E238" s="1080" t="s">
        <v>659</v>
      </c>
      <c r="F238" s="1081" t="s">
        <v>80</v>
      </c>
      <c r="G238" s="1081" t="s">
        <v>80</v>
      </c>
      <c r="H238" s="1082">
        <v>72.3</v>
      </c>
      <c r="I238" s="1082">
        <f t="shared" si="172"/>
        <v>72.3</v>
      </c>
      <c r="J238" s="1082">
        <f t="shared" si="162"/>
        <v>72.3</v>
      </c>
      <c r="K238" s="1082"/>
      <c r="L238" s="1082">
        <f t="shared" si="163"/>
        <v>72.3</v>
      </c>
      <c r="M238" s="1182"/>
      <c r="N238" s="1083"/>
      <c r="O238" s="1084"/>
      <c r="P238" s="1085"/>
      <c r="Q238" s="1085"/>
      <c r="R238" s="1085"/>
      <c r="S238" s="1085"/>
      <c r="T238" s="1085"/>
      <c r="U238" s="1085"/>
      <c r="V238" s="1085">
        <v>1</v>
      </c>
      <c r="W238" s="1085">
        <v>1</v>
      </c>
      <c r="X238" s="1085"/>
      <c r="Y238" s="1085"/>
      <c r="Z238" s="1085"/>
      <c r="AA238" s="1085"/>
      <c r="AB238" s="1085"/>
      <c r="AC238" s="1085"/>
      <c r="AD238" s="1086"/>
      <c r="AE238" s="1086"/>
      <c r="AF238" s="1086">
        <f t="shared" si="164"/>
        <v>0</v>
      </c>
      <c r="AG238" s="1086"/>
      <c r="AH238" s="1085"/>
      <c r="AI238" s="1085"/>
      <c r="AJ238" s="1087"/>
      <c r="AK238" s="1087"/>
      <c r="AL238" s="1087"/>
      <c r="AM238" s="1087"/>
      <c r="AN238" s="1071">
        <f t="shared" si="173"/>
        <v>0</v>
      </c>
      <c r="AO238" s="1071"/>
      <c r="AP238" s="1071"/>
      <c r="AQ238" s="1071"/>
      <c r="AR238" s="1071"/>
      <c r="AS238" s="1085"/>
      <c r="AT238" s="1085"/>
      <c r="AU238" s="1085">
        <f t="shared" si="171"/>
        <v>0</v>
      </c>
      <c r="AV238" s="1085"/>
      <c r="AW238" s="1085"/>
      <c r="AX238" s="1085">
        <v>1</v>
      </c>
      <c r="AY238" s="1085"/>
      <c r="AZ238" s="1085"/>
      <c r="BA238" s="934">
        <f t="shared" si="166"/>
        <v>0</v>
      </c>
      <c r="BB238" s="1089">
        <f t="shared" si="175"/>
        <v>72.3</v>
      </c>
      <c r="BC238" s="1085"/>
      <c r="BD238" s="1085"/>
      <c r="BE238" s="1085">
        <v>2</v>
      </c>
      <c r="BF238" s="1085"/>
      <c r="BG238" s="1085">
        <f t="shared" si="168"/>
        <v>0</v>
      </c>
      <c r="BH238" s="1085">
        <f t="shared" si="169"/>
        <v>0</v>
      </c>
      <c r="BI238" s="1085">
        <f t="shared" si="170"/>
        <v>0</v>
      </c>
      <c r="BJ238" s="1085"/>
      <c r="BK238" s="1085"/>
      <c r="BL238" s="1085">
        <v>1</v>
      </c>
      <c r="BM238" s="1085"/>
      <c r="BN238" s="1085"/>
      <c r="BO238" s="1086"/>
      <c r="BP238" s="1086"/>
      <c r="BQ238" s="1086"/>
      <c r="BR238" s="1086"/>
      <c r="BS238" s="1086"/>
      <c r="BT238" s="1085"/>
      <c r="BU238" s="1085"/>
      <c r="BV238" s="1085"/>
      <c r="BW238" s="1085"/>
      <c r="BX238" s="1085"/>
      <c r="BY238" s="1085"/>
      <c r="CA238" s="1072"/>
    </row>
    <row r="239" spans="5:79" s="977" customFormat="1" ht="21.6">
      <c r="E239" s="1080" t="s">
        <v>660</v>
      </c>
      <c r="F239" s="1081" t="s">
        <v>148</v>
      </c>
      <c r="G239" s="1081" t="s">
        <v>148</v>
      </c>
      <c r="H239" s="1082">
        <v>73.2</v>
      </c>
      <c r="I239" s="1082">
        <f t="shared" si="172"/>
        <v>73.2</v>
      </c>
      <c r="J239" s="1082">
        <f t="shared" si="162"/>
        <v>73.2</v>
      </c>
      <c r="K239" s="1082"/>
      <c r="L239" s="1082">
        <f t="shared" si="163"/>
        <v>73.2</v>
      </c>
      <c r="M239" s="1182"/>
      <c r="N239" s="1083"/>
      <c r="O239" s="1084"/>
      <c r="P239" s="1085"/>
      <c r="Q239" s="1085">
        <v>2</v>
      </c>
      <c r="R239" s="1085"/>
      <c r="S239" s="1085"/>
      <c r="T239" s="1085"/>
      <c r="U239" s="1085"/>
      <c r="V239" s="1085"/>
      <c r="W239" s="1085"/>
      <c r="X239" s="1085">
        <v>1</v>
      </c>
      <c r="Y239" s="1085"/>
      <c r="Z239" s="1085"/>
      <c r="AA239" s="1085"/>
      <c r="AB239" s="1085"/>
      <c r="AC239" s="1085">
        <v>2</v>
      </c>
      <c r="AD239" s="1086">
        <v>2</v>
      </c>
      <c r="AE239" s="1086"/>
      <c r="AF239" s="1086">
        <f t="shared" si="164"/>
        <v>2</v>
      </c>
      <c r="AG239" s="1086"/>
      <c r="AH239" s="1085"/>
      <c r="AI239" s="1085"/>
      <c r="AJ239" s="1087"/>
      <c r="AK239" s="1087"/>
      <c r="AL239" s="1087"/>
      <c r="AM239" s="1087"/>
      <c r="AN239" s="1071">
        <f t="shared" si="173"/>
        <v>0</v>
      </c>
      <c r="AO239" s="1071"/>
      <c r="AP239" s="1071"/>
      <c r="AQ239" s="1071"/>
      <c r="AR239" s="1071"/>
      <c r="AS239" s="1085">
        <v>1</v>
      </c>
      <c r="AT239" s="1085"/>
      <c r="AU239" s="1085">
        <f t="shared" si="171"/>
        <v>1</v>
      </c>
      <c r="AV239" s="1085"/>
      <c r="AW239" s="1085"/>
      <c r="AX239" s="1085">
        <v>1</v>
      </c>
      <c r="AY239" s="1085"/>
      <c r="AZ239" s="1085"/>
      <c r="BA239" s="934">
        <f t="shared" si="166"/>
        <v>2</v>
      </c>
      <c r="BB239" s="1089">
        <f t="shared" si="175"/>
        <v>73.2</v>
      </c>
      <c r="BC239" s="1085"/>
      <c r="BD239" s="1085"/>
      <c r="BE239" s="1085"/>
      <c r="BF239" s="1085"/>
      <c r="BG239" s="1085">
        <f t="shared" si="168"/>
        <v>0</v>
      </c>
      <c r="BH239" s="1085">
        <f t="shared" si="169"/>
        <v>2</v>
      </c>
      <c r="BI239" s="1085">
        <f t="shared" si="170"/>
        <v>0</v>
      </c>
      <c r="BJ239" s="1085"/>
      <c r="BK239" s="1085"/>
      <c r="BL239" s="1085"/>
      <c r="BM239" s="1085"/>
      <c r="BN239" s="1085"/>
      <c r="BO239" s="1086">
        <v>2</v>
      </c>
      <c r="BP239" s="1086"/>
      <c r="BQ239" s="1086"/>
      <c r="BR239" s="1086"/>
      <c r="BS239" s="1086"/>
      <c r="BT239" s="1085"/>
      <c r="BU239" s="1085"/>
      <c r="BV239" s="1085"/>
      <c r="BW239" s="1085"/>
      <c r="BX239" s="1085"/>
      <c r="BY239" s="1085"/>
      <c r="CA239" s="1072"/>
    </row>
    <row r="240" spans="5:79" s="977" customFormat="1" ht="21.6">
      <c r="E240" s="1080" t="s">
        <v>661</v>
      </c>
      <c r="F240" s="1081" t="s">
        <v>80</v>
      </c>
      <c r="G240" s="1081" t="s">
        <v>80</v>
      </c>
      <c r="H240" s="1082">
        <v>73</v>
      </c>
      <c r="I240" s="1082">
        <f t="shared" si="172"/>
        <v>73</v>
      </c>
      <c r="J240" s="1082">
        <f t="shared" si="162"/>
        <v>73</v>
      </c>
      <c r="K240" s="1082"/>
      <c r="L240" s="1082">
        <f t="shared" si="163"/>
        <v>73</v>
      </c>
      <c r="M240" s="1182"/>
      <c r="N240" s="1083"/>
      <c r="O240" s="1084"/>
      <c r="P240" s="1085"/>
      <c r="Q240" s="1085"/>
      <c r="R240" s="1085"/>
      <c r="S240" s="1085"/>
      <c r="T240" s="1085"/>
      <c r="U240" s="1085"/>
      <c r="V240" s="1085">
        <v>1</v>
      </c>
      <c r="W240" s="1085">
        <v>1</v>
      </c>
      <c r="X240" s="1085"/>
      <c r="Y240" s="1085"/>
      <c r="Z240" s="1085"/>
      <c r="AA240" s="1085"/>
      <c r="AB240" s="1085"/>
      <c r="AC240" s="1085"/>
      <c r="AD240" s="1086"/>
      <c r="AE240" s="1086"/>
      <c r="AF240" s="1086">
        <f t="shared" si="164"/>
        <v>0</v>
      </c>
      <c r="AG240" s="1086"/>
      <c r="AH240" s="1085"/>
      <c r="AI240" s="1085"/>
      <c r="AJ240" s="1087"/>
      <c r="AK240" s="1087"/>
      <c r="AL240" s="1087"/>
      <c r="AM240" s="1087"/>
      <c r="AN240" s="1071">
        <f t="shared" si="173"/>
        <v>0</v>
      </c>
      <c r="AO240" s="1071"/>
      <c r="AP240" s="1071"/>
      <c r="AQ240" s="1071"/>
      <c r="AR240" s="1071"/>
      <c r="AS240" s="1085"/>
      <c r="AT240" s="1085"/>
      <c r="AU240" s="1085">
        <f t="shared" si="171"/>
        <v>0</v>
      </c>
      <c r="AV240" s="1085"/>
      <c r="AW240" s="1085"/>
      <c r="AX240" s="1085">
        <v>1</v>
      </c>
      <c r="AY240" s="1085"/>
      <c r="AZ240" s="1085"/>
      <c r="BA240" s="934">
        <f t="shared" si="166"/>
        <v>0</v>
      </c>
      <c r="BB240" s="1089">
        <f t="shared" si="175"/>
        <v>73</v>
      </c>
      <c r="BC240" s="1085"/>
      <c r="BD240" s="1085"/>
      <c r="BE240" s="1085">
        <v>2</v>
      </c>
      <c r="BF240" s="1085"/>
      <c r="BG240" s="1085">
        <f t="shared" si="168"/>
        <v>0</v>
      </c>
      <c r="BH240" s="1085">
        <f t="shared" si="169"/>
        <v>0</v>
      </c>
      <c r="BI240" s="1085">
        <f t="shared" si="170"/>
        <v>0</v>
      </c>
      <c r="BJ240" s="1085"/>
      <c r="BK240" s="1085"/>
      <c r="BL240" s="1085">
        <v>1</v>
      </c>
      <c r="BM240" s="1085"/>
      <c r="BN240" s="1085"/>
      <c r="BO240" s="1086"/>
      <c r="BP240" s="1086"/>
      <c r="BQ240" s="1086"/>
      <c r="BR240" s="1086"/>
      <c r="BS240" s="1086"/>
      <c r="BT240" s="1085"/>
      <c r="BU240" s="1085"/>
      <c r="BV240" s="1085"/>
      <c r="BW240" s="1085"/>
      <c r="BX240" s="1085"/>
      <c r="BY240" s="1085"/>
      <c r="CA240" s="1072"/>
    </row>
    <row r="241" spans="4:79" s="977" customFormat="1" ht="21.6">
      <c r="E241" s="1080" t="s">
        <v>662</v>
      </c>
      <c r="F241" s="1081" t="s">
        <v>80</v>
      </c>
      <c r="G241" s="1081" t="s">
        <v>80</v>
      </c>
      <c r="H241" s="1082">
        <v>76</v>
      </c>
      <c r="I241" s="1082">
        <f t="shared" si="172"/>
        <v>76</v>
      </c>
      <c r="J241" s="1082">
        <f t="shared" si="162"/>
        <v>76</v>
      </c>
      <c r="K241" s="1082"/>
      <c r="L241" s="1082">
        <f t="shared" si="163"/>
        <v>76</v>
      </c>
      <c r="M241" s="1182"/>
      <c r="N241" s="1083"/>
      <c r="O241" s="1084"/>
      <c r="P241" s="1085"/>
      <c r="Q241" s="1085"/>
      <c r="R241" s="1085"/>
      <c r="S241" s="1085"/>
      <c r="T241" s="1085"/>
      <c r="U241" s="1085"/>
      <c r="V241" s="1085">
        <v>1</v>
      </c>
      <c r="W241" s="1085">
        <v>1</v>
      </c>
      <c r="X241" s="1085"/>
      <c r="Y241" s="1085"/>
      <c r="Z241" s="1085"/>
      <c r="AA241" s="1085"/>
      <c r="AB241" s="1085"/>
      <c r="AC241" s="1085"/>
      <c r="AD241" s="1086"/>
      <c r="AE241" s="1086"/>
      <c r="AF241" s="1086">
        <f t="shared" si="164"/>
        <v>0</v>
      </c>
      <c r="AG241" s="1086"/>
      <c r="AH241" s="1085"/>
      <c r="AI241" s="1085"/>
      <c r="AJ241" s="1087"/>
      <c r="AK241" s="1087"/>
      <c r="AL241" s="1087"/>
      <c r="AM241" s="1087"/>
      <c r="AN241" s="1071">
        <f t="shared" si="173"/>
        <v>0</v>
      </c>
      <c r="AO241" s="1071"/>
      <c r="AP241" s="1071"/>
      <c r="AQ241" s="1071"/>
      <c r="AR241" s="1071"/>
      <c r="AS241" s="1085"/>
      <c r="AT241" s="1085"/>
      <c r="AU241" s="1085">
        <f t="shared" si="171"/>
        <v>0</v>
      </c>
      <c r="AV241" s="1085"/>
      <c r="AW241" s="1085"/>
      <c r="AX241" s="1085">
        <v>1</v>
      </c>
      <c r="AY241" s="1085"/>
      <c r="AZ241" s="1085"/>
      <c r="BA241" s="934">
        <f t="shared" si="166"/>
        <v>0</v>
      </c>
      <c r="BB241" s="1089">
        <f t="shared" si="175"/>
        <v>76</v>
      </c>
      <c r="BC241" s="1085"/>
      <c r="BD241" s="1085"/>
      <c r="BE241" s="1085">
        <v>2</v>
      </c>
      <c r="BF241" s="1085"/>
      <c r="BG241" s="1085">
        <f t="shared" si="168"/>
        <v>0</v>
      </c>
      <c r="BH241" s="1085">
        <f t="shared" si="169"/>
        <v>0</v>
      </c>
      <c r="BI241" s="1085">
        <f t="shared" si="170"/>
        <v>0</v>
      </c>
      <c r="BJ241" s="1085"/>
      <c r="BK241" s="1085"/>
      <c r="BL241" s="1085">
        <v>1</v>
      </c>
      <c r="BM241" s="1085"/>
      <c r="BN241" s="1085"/>
      <c r="BO241" s="1086"/>
      <c r="BP241" s="1086"/>
      <c r="BQ241" s="1086"/>
      <c r="BR241" s="1086"/>
      <c r="BS241" s="1086"/>
      <c r="BT241" s="1085"/>
      <c r="BU241" s="1085"/>
      <c r="BV241" s="1085"/>
      <c r="BW241" s="1085"/>
      <c r="BX241" s="1085"/>
      <c r="BY241" s="1085"/>
      <c r="CA241" s="1072"/>
    </row>
    <row r="242" spans="4:79" s="1187" customFormat="1" ht="21.6">
      <c r="E242" s="1206" t="s">
        <v>820</v>
      </c>
      <c r="F242" s="1207"/>
      <c r="G242" s="1207" t="s">
        <v>80</v>
      </c>
      <c r="H242" s="1204">
        <v>40</v>
      </c>
      <c r="I242" s="1204">
        <f t="shared" si="172"/>
        <v>40</v>
      </c>
      <c r="J242" s="1204">
        <f t="shared" si="162"/>
        <v>40</v>
      </c>
      <c r="K242" s="1204"/>
      <c r="L242" s="1204">
        <f t="shared" si="163"/>
        <v>40</v>
      </c>
      <c r="M242" s="1182">
        <v>1</v>
      </c>
      <c r="N242" s="1182"/>
      <c r="O242" s="1209">
        <f>M242</f>
        <v>1</v>
      </c>
      <c r="P242" s="1210"/>
      <c r="Q242" s="1210"/>
      <c r="R242" s="1210"/>
      <c r="S242" s="1210"/>
      <c r="T242" s="1210"/>
      <c r="U242" s="1210">
        <v>1</v>
      </c>
      <c r="V242" s="1210"/>
      <c r="W242" s="1210"/>
      <c r="X242" s="1210">
        <v>1</v>
      </c>
      <c r="Y242" s="1210"/>
      <c r="Z242" s="1210"/>
      <c r="AA242" s="1210"/>
      <c r="AB242" s="1210">
        <v>1</v>
      </c>
      <c r="AC242" s="1210"/>
      <c r="AD242" s="1211"/>
      <c r="AE242" s="1211"/>
      <c r="AF242" s="1086">
        <f t="shared" si="164"/>
        <v>0</v>
      </c>
      <c r="AG242" s="1211"/>
      <c r="AH242" s="1210"/>
      <c r="AI242" s="1210"/>
      <c r="AJ242" s="1212"/>
      <c r="AK242" s="1212"/>
      <c r="AL242" s="1212"/>
      <c r="AM242" s="1212"/>
      <c r="AN242" s="1071">
        <f t="shared" si="173"/>
        <v>0</v>
      </c>
      <c r="AO242" s="1208"/>
      <c r="AP242" s="1208"/>
      <c r="AQ242" s="1208"/>
      <c r="AR242" s="1208"/>
      <c r="AS242" s="1210"/>
      <c r="AT242" s="1210"/>
      <c r="AU242" s="1085">
        <f t="shared" si="171"/>
        <v>0</v>
      </c>
      <c r="AV242" s="1210"/>
      <c r="AW242" s="1210"/>
      <c r="AX242" s="1210">
        <v>1</v>
      </c>
      <c r="AY242" s="1210"/>
      <c r="AZ242" s="1210"/>
      <c r="BA242" s="934">
        <f t="shared" si="166"/>
        <v>0</v>
      </c>
      <c r="BB242" s="1089">
        <f t="shared" si="175"/>
        <v>40</v>
      </c>
      <c r="BC242" s="1210"/>
      <c r="BD242" s="1210"/>
      <c r="BE242" s="1210"/>
      <c r="BF242" s="1210"/>
      <c r="BG242" s="1085">
        <f t="shared" si="168"/>
        <v>0</v>
      </c>
      <c r="BH242" s="1085">
        <f t="shared" si="169"/>
        <v>0</v>
      </c>
      <c r="BI242" s="1085">
        <f t="shared" si="170"/>
        <v>0</v>
      </c>
      <c r="BJ242" s="1210"/>
      <c r="BK242" s="1210"/>
      <c r="BL242" s="1210"/>
      <c r="BM242" s="1210"/>
      <c r="BN242" s="1210"/>
      <c r="BO242" s="1211"/>
      <c r="BP242" s="1211"/>
      <c r="BQ242" s="1211"/>
      <c r="BR242" s="1211"/>
      <c r="BS242" s="1211"/>
      <c r="BT242" s="1210"/>
      <c r="BU242" s="1210"/>
      <c r="BV242" s="1210"/>
      <c r="BW242" s="1210"/>
      <c r="BX242" s="1210"/>
      <c r="BY242" s="1210"/>
      <c r="CA242" s="1200"/>
    </row>
    <row r="243" spans="4:79" s="977" customFormat="1" ht="21.6">
      <c r="E243" s="1080" t="s">
        <v>663</v>
      </c>
      <c r="F243" s="1081" t="s">
        <v>148</v>
      </c>
      <c r="G243" s="1081" t="s">
        <v>148</v>
      </c>
      <c r="H243" s="1082">
        <v>40</v>
      </c>
      <c r="I243" s="1082">
        <f t="shared" si="172"/>
        <v>40</v>
      </c>
      <c r="J243" s="1082">
        <f t="shared" si="162"/>
        <v>40</v>
      </c>
      <c r="K243" s="1082"/>
      <c r="L243" s="1082">
        <f t="shared" si="163"/>
        <v>40</v>
      </c>
      <c r="M243" s="1182"/>
      <c r="N243" s="1083"/>
      <c r="O243" s="1084"/>
      <c r="P243" s="1085">
        <v>1</v>
      </c>
      <c r="Q243" s="1085">
        <v>2</v>
      </c>
      <c r="R243" s="1085"/>
      <c r="S243" s="1085"/>
      <c r="T243" s="1085"/>
      <c r="U243" s="1085"/>
      <c r="V243" s="1085"/>
      <c r="W243" s="1085"/>
      <c r="X243" s="1085">
        <v>1</v>
      </c>
      <c r="Y243" s="1085"/>
      <c r="Z243" s="1085"/>
      <c r="AA243" s="1085"/>
      <c r="AB243" s="1085"/>
      <c r="AC243" s="1085">
        <v>2</v>
      </c>
      <c r="AD243" s="1086">
        <v>2</v>
      </c>
      <c r="AE243" s="1086"/>
      <c r="AF243" s="1086">
        <f t="shared" si="164"/>
        <v>2</v>
      </c>
      <c r="AG243" s="1086"/>
      <c r="AH243" s="1085"/>
      <c r="AI243" s="1085"/>
      <c r="AJ243" s="1087"/>
      <c r="AK243" s="1087"/>
      <c r="AL243" s="1087"/>
      <c r="AM243" s="1087"/>
      <c r="AN243" s="1071">
        <f t="shared" si="173"/>
        <v>0</v>
      </c>
      <c r="AO243" s="1071"/>
      <c r="AP243" s="1071"/>
      <c r="AQ243" s="1071"/>
      <c r="AR243" s="1071"/>
      <c r="AS243" s="1085">
        <v>1</v>
      </c>
      <c r="AT243" s="1085"/>
      <c r="AU243" s="1085">
        <f t="shared" si="171"/>
        <v>1</v>
      </c>
      <c r="AV243" s="1085"/>
      <c r="AW243" s="1085"/>
      <c r="AX243" s="1085">
        <v>1</v>
      </c>
      <c r="AY243" s="1085"/>
      <c r="AZ243" s="1085"/>
      <c r="BA243" s="934">
        <f t="shared" si="166"/>
        <v>2</v>
      </c>
      <c r="BB243" s="1089">
        <f t="shared" si="175"/>
        <v>40</v>
      </c>
      <c r="BC243" s="1085"/>
      <c r="BD243" s="1085"/>
      <c r="BE243" s="1085"/>
      <c r="BF243" s="1085"/>
      <c r="BG243" s="1085">
        <f t="shared" si="168"/>
        <v>1</v>
      </c>
      <c r="BH243" s="1085">
        <f t="shared" si="169"/>
        <v>2</v>
      </c>
      <c r="BI243" s="1085">
        <f t="shared" si="170"/>
        <v>0</v>
      </c>
      <c r="BJ243" s="1085"/>
      <c r="BK243" s="1085"/>
      <c r="BL243" s="1085"/>
      <c r="BM243" s="1085"/>
      <c r="BN243" s="1085"/>
      <c r="BO243" s="1086">
        <v>2</v>
      </c>
      <c r="BP243" s="1086"/>
      <c r="BQ243" s="1086"/>
      <c r="BR243" s="1086"/>
      <c r="BS243" s="1086"/>
      <c r="BT243" s="1085"/>
      <c r="BU243" s="1085"/>
      <c r="BV243" s="1085"/>
      <c r="BW243" s="1085"/>
      <c r="BX243" s="1085"/>
      <c r="BY243" s="1085"/>
      <c r="CA243" s="1072"/>
    </row>
    <row r="244" spans="4:79" s="977" customFormat="1" ht="21.6">
      <c r="E244" s="1080" t="s">
        <v>664</v>
      </c>
      <c r="F244" s="1081" t="s">
        <v>80</v>
      </c>
      <c r="G244" s="1081" t="s">
        <v>80</v>
      </c>
      <c r="H244" s="1082">
        <v>45.6</v>
      </c>
      <c r="I244" s="1082">
        <f t="shared" si="172"/>
        <v>45.6</v>
      </c>
      <c r="J244" s="1082">
        <f t="shared" si="162"/>
        <v>45.6</v>
      </c>
      <c r="K244" s="1082"/>
      <c r="L244" s="1082">
        <f t="shared" si="163"/>
        <v>45.6</v>
      </c>
      <c r="M244" s="1182"/>
      <c r="N244" s="1083"/>
      <c r="O244" s="1084"/>
      <c r="P244" s="1085"/>
      <c r="Q244" s="1085"/>
      <c r="R244" s="1085"/>
      <c r="S244" s="1085"/>
      <c r="T244" s="1085"/>
      <c r="U244" s="1085"/>
      <c r="V244" s="1085">
        <v>1</v>
      </c>
      <c r="W244" s="1085">
        <v>1</v>
      </c>
      <c r="X244" s="1085"/>
      <c r="Y244" s="1085"/>
      <c r="Z244" s="1085"/>
      <c r="AA244" s="1085"/>
      <c r="AB244" s="1085"/>
      <c r="AC244" s="1085"/>
      <c r="AD244" s="1086"/>
      <c r="AE244" s="1086"/>
      <c r="AF244" s="1086">
        <f t="shared" si="164"/>
        <v>0</v>
      </c>
      <c r="AG244" s="1086"/>
      <c r="AH244" s="1085"/>
      <c r="AI244" s="1085"/>
      <c r="AJ244" s="1087"/>
      <c r="AK244" s="1087"/>
      <c r="AL244" s="1087"/>
      <c r="AM244" s="1087"/>
      <c r="AN244" s="1071">
        <f t="shared" si="173"/>
        <v>0</v>
      </c>
      <c r="AO244" s="1071"/>
      <c r="AP244" s="1071"/>
      <c r="AQ244" s="1071"/>
      <c r="AR244" s="1071"/>
      <c r="AS244" s="1085"/>
      <c r="AT244" s="1085"/>
      <c r="AU244" s="1085">
        <f t="shared" si="171"/>
        <v>0</v>
      </c>
      <c r="AV244" s="1085"/>
      <c r="AW244" s="1085"/>
      <c r="AX244" s="1085">
        <v>1</v>
      </c>
      <c r="AY244" s="1085"/>
      <c r="AZ244" s="1085"/>
      <c r="BA244" s="934">
        <f t="shared" si="166"/>
        <v>0</v>
      </c>
      <c r="BB244" s="1089">
        <f t="shared" si="175"/>
        <v>45.6</v>
      </c>
      <c r="BC244" s="1085"/>
      <c r="BD244" s="1085"/>
      <c r="BE244" s="1085">
        <v>2</v>
      </c>
      <c r="BF244" s="1085"/>
      <c r="BG244" s="1085">
        <f t="shared" si="168"/>
        <v>0</v>
      </c>
      <c r="BH244" s="1085">
        <f t="shared" si="169"/>
        <v>0</v>
      </c>
      <c r="BI244" s="1085">
        <f t="shared" si="170"/>
        <v>0</v>
      </c>
      <c r="BJ244" s="1085"/>
      <c r="BK244" s="1085"/>
      <c r="BL244" s="1085">
        <v>1</v>
      </c>
      <c r="BM244" s="1085"/>
      <c r="BN244" s="1085"/>
      <c r="BO244" s="1086"/>
      <c r="BP244" s="1086"/>
      <c r="BQ244" s="1086"/>
      <c r="BR244" s="1086"/>
      <c r="BS244" s="1086"/>
      <c r="BT244" s="1085"/>
      <c r="BU244" s="1085"/>
      <c r="BV244" s="1085"/>
      <c r="BW244" s="1085"/>
      <c r="BX244" s="1085"/>
      <c r="BY244" s="1085"/>
      <c r="CA244" s="1072"/>
    </row>
    <row r="245" spans="4:79" s="1072" customFormat="1" ht="43.2">
      <c r="E245" s="1080" t="s">
        <v>665</v>
      </c>
      <c r="F245" s="1081" t="s">
        <v>377</v>
      </c>
      <c r="G245" s="1081" t="s">
        <v>377</v>
      </c>
      <c r="H245" s="1082">
        <v>50</v>
      </c>
      <c r="I245" s="1082">
        <f t="shared" si="172"/>
        <v>50</v>
      </c>
      <c r="J245" s="1082">
        <f t="shared" si="162"/>
        <v>50</v>
      </c>
      <c r="K245" s="1082"/>
      <c r="L245" s="1082">
        <f t="shared" si="163"/>
        <v>50</v>
      </c>
      <c r="M245" s="1182"/>
      <c r="N245" s="1083"/>
      <c r="O245" s="1237"/>
      <c r="P245" s="1086"/>
      <c r="Q245" s="1086">
        <v>1</v>
      </c>
      <c r="R245" s="1086"/>
      <c r="S245" s="1086"/>
      <c r="T245" s="1086"/>
      <c r="U245" s="1086"/>
      <c r="V245" s="1086"/>
      <c r="W245" s="1086"/>
      <c r="X245" s="1086"/>
      <c r="Y245" s="1086"/>
      <c r="Z245" s="1086"/>
      <c r="AA245" s="1086"/>
      <c r="AB245" s="1086"/>
      <c r="AC245" s="1086">
        <v>1</v>
      </c>
      <c r="AD245" s="1086">
        <v>1</v>
      </c>
      <c r="AE245" s="1086"/>
      <c r="AF245" s="1086">
        <f>AE245+AD245</f>
        <v>1</v>
      </c>
      <c r="AG245" s="1086"/>
      <c r="AH245" s="1086"/>
      <c r="AI245" s="1086"/>
      <c r="AJ245" s="1238">
        <v>1</v>
      </c>
      <c r="AK245" s="1238">
        <v>1</v>
      </c>
      <c r="AL245" s="1238"/>
      <c r="AM245" s="1238"/>
      <c r="AN245" s="1071">
        <f t="shared" si="173"/>
        <v>1</v>
      </c>
      <c r="AO245" s="1071"/>
      <c r="AP245" s="1071"/>
      <c r="AQ245" s="1071"/>
      <c r="AR245" s="1071"/>
      <c r="AS245" s="1086">
        <v>1</v>
      </c>
      <c r="AT245" s="1086"/>
      <c r="AU245" s="1086">
        <f t="shared" si="171"/>
        <v>1</v>
      </c>
      <c r="AV245" s="1086"/>
      <c r="AW245" s="1086"/>
      <c r="AX245" s="1086"/>
      <c r="AY245" s="1086"/>
      <c r="AZ245" s="1086"/>
      <c r="BA245" s="1048">
        <f t="shared" si="166"/>
        <v>1</v>
      </c>
      <c r="BB245" s="1081">
        <f t="shared" si="175"/>
        <v>50</v>
      </c>
      <c r="BC245" s="1086"/>
      <c r="BD245" s="1086"/>
      <c r="BE245" s="1086"/>
      <c r="BF245" s="1086"/>
      <c r="BG245" s="1086">
        <f t="shared" si="168"/>
        <v>0</v>
      </c>
      <c r="BH245" s="1086">
        <f t="shared" si="169"/>
        <v>1</v>
      </c>
      <c r="BI245" s="1086">
        <f t="shared" si="170"/>
        <v>0</v>
      </c>
      <c r="BJ245" s="1086"/>
      <c r="BK245" s="1086"/>
      <c r="BL245" s="1086"/>
      <c r="BM245" s="1086"/>
      <c r="BN245" s="1086"/>
      <c r="BO245" s="1086">
        <v>1</v>
      </c>
      <c r="BP245" s="1086"/>
      <c r="BQ245" s="1086"/>
      <c r="BR245" s="1086"/>
      <c r="BS245" s="1086"/>
      <c r="BT245" s="1086">
        <v>1</v>
      </c>
      <c r="BU245" s="1086"/>
      <c r="BV245" s="1086"/>
      <c r="BW245" s="1086"/>
      <c r="BX245" s="1086"/>
      <c r="BY245" s="1238" t="s">
        <v>891</v>
      </c>
    </row>
    <row r="246" spans="4:79" s="940" customFormat="1" ht="21">
      <c r="D246" s="940" t="s">
        <v>935</v>
      </c>
      <c r="E246" s="1239" t="s">
        <v>527</v>
      </c>
      <c r="F246" s="1240"/>
      <c r="G246" s="1240"/>
      <c r="H246" s="1241">
        <f>SUM(H221:H245)</f>
        <v>1508.1999999999998</v>
      </c>
      <c r="I246" s="1241">
        <f t="shared" ref="I246:BT246" si="176">SUM(I221:I245)</f>
        <v>1508.1999999999998</v>
      </c>
      <c r="J246" s="1241">
        <f t="shared" si="176"/>
        <v>1508.1999999999998</v>
      </c>
      <c r="K246" s="1241">
        <f t="shared" ref="K246" si="177">SUM(K221:K245)</f>
        <v>252.5</v>
      </c>
      <c r="L246" s="1241">
        <f t="shared" si="176"/>
        <v>1508.1999999999998</v>
      </c>
      <c r="M246" s="1242">
        <f t="shared" si="176"/>
        <v>1</v>
      </c>
      <c r="N246" s="1242">
        <f t="shared" si="176"/>
        <v>0</v>
      </c>
      <c r="O246" s="1242">
        <f t="shared" si="176"/>
        <v>1</v>
      </c>
      <c r="P246" s="1242">
        <f t="shared" si="176"/>
        <v>2</v>
      </c>
      <c r="Q246" s="1242">
        <f t="shared" si="176"/>
        <v>16</v>
      </c>
      <c r="R246" s="1242">
        <f t="shared" si="176"/>
        <v>4</v>
      </c>
      <c r="S246" s="1242">
        <f t="shared" si="176"/>
        <v>0</v>
      </c>
      <c r="T246" s="1242">
        <f t="shared" si="176"/>
        <v>0</v>
      </c>
      <c r="U246" s="1242">
        <f t="shared" si="176"/>
        <v>6</v>
      </c>
      <c r="V246" s="1242">
        <f t="shared" si="176"/>
        <v>8</v>
      </c>
      <c r="W246" s="1242">
        <f t="shared" si="176"/>
        <v>29</v>
      </c>
      <c r="X246" s="1242">
        <f t="shared" si="176"/>
        <v>4</v>
      </c>
      <c r="Y246" s="1242">
        <f t="shared" si="176"/>
        <v>2</v>
      </c>
      <c r="Z246" s="1242">
        <f t="shared" si="176"/>
        <v>0</v>
      </c>
      <c r="AA246" s="1242">
        <f t="shared" si="176"/>
        <v>9</v>
      </c>
      <c r="AB246" s="1242">
        <f t="shared" si="176"/>
        <v>1</v>
      </c>
      <c r="AC246" s="1242">
        <f t="shared" si="176"/>
        <v>14</v>
      </c>
      <c r="AD246" s="1242">
        <f t="shared" si="176"/>
        <v>12</v>
      </c>
      <c r="AE246" s="1242">
        <f t="shared" si="176"/>
        <v>0</v>
      </c>
      <c r="AF246" s="1242">
        <f t="shared" si="176"/>
        <v>12</v>
      </c>
      <c r="AG246" s="1242">
        <f t="shared" si="176"/>
        <v>2</v>
      </c>
      <c r="AH246" s="1242">
        <f t="shared" si="176"/>
        <v>2</v>
      </c>
      <c r="AI246" s="1242">
        <f t="shared" si="176"/>
        <v>0</v>
      </c>
      <c r="AJ246" s="1242">
        <f t="shared" si="176"/>
        <v>2</v>
      </c>
      <c r="AK246" s="1242">
        <f t="shared" si="176"/>
        <v>2</v>
      </c>
      <c r="AL246" s="1242">
        <f t="shared" si="176"/>
        <v>0</v>
      </c>
      <c r="AM246" s="1242">
        <f t="shared" si="176"/>
        <v>1</v>
      </c>
      <c r="AN246" s="1242">
        <f t="shared" si="176"/>
        <v>3</v>
      </c>
      <c r="AO246" s="1242">
        <f t="shared" si="176"/>
        <v>1</v>
      </c>
      <c r="AP246" s="1242">
        <f t="shared" si="176"/>
        <v>1</v>
      </c>
      <c r="AQ246" s="1242">
        <f t="shared" si="176"/>
        <v>0</v>
      </c>
      <c r="AR246" s="1242">
        <f t="shared" si="176"/>
        <v>1</v>
      </c>
      <c r="AS246" s="1241">
        <f t="shared" si="176"/>
        <v>6.5</v>
      </c>
      <c r="AT246" s="1241">
        <f t="shared" si="176"/>
        <v>0</v>
      </c>
      <c r="AU246" s="1241">
        <f t="shared" si="176"/>
        <v>6.5</v>
      </c>
      <c r="AV246" s="1241">
        <f t="shared" si="176"/>
        <v>0</v>
      </c>
      <c r="AW246" s="1241">
        <f t="shared" si="176"/>
        <v>2</v>
      </c>
      <c r="AX246" s="1242">
        <f t="shared" si="176"/>
        <v>14</v>
      </c>
      <c r="AY246" s="1242">
        <f t="shared" si="176"/>
        <v>18</v>
      </c>
      <c r="AZ246" s="1242">
        <f t="shared" si="176"/>
        <v>1</v>
      </c>
      <c r="BA246" s="1242">
        <f t="shared" si="176"/>
        <v>12</v>
      </c>
      <c r="BB246" s="1241">
        <f t="shared" si="176"/>
        <v>1255.6999999999998</v>
      </c>
      <c r="BC246" s="1242">
        <f t="shared" si="176"/>
        <v>0</v>
      </c>
      <c r="BD246" s="1242">
        <f t="shared" si="176"/>
        <v>1</v>
      </c>
      <c r="BE246" s="1242">
        <f t="shared" si="176"/>
        <v>16</v>
      </c>
      <c r="BF246" s="1242">
        <f t="shared" si="176"/>
        <v>22</v>
      </c>
      <c r="BG246" s="1242">
        <f t="shared" si="176"/>
        <v>2</v>
      </c>
      <c r="BH246" s="1242">
        <f t="shared" si="176"/>
        <v>16</v>
      </c>
      <c r="BI246" s="1242">
        <f t="shared" si="176"/>
        <v>4</v>
      </c>
      <c r="BJ246" s="1242">
        <f t="shared" si="176"/>
        <v>0</v>
      </c>
      <c r="BK246" s="1242">
        <f t="shared" si="176"/>
        <v>0</v>
      </c>
      <c r="BL246" s="1242">
        <f t="shared" si="176"/>
        <v>30</v>
      </c>
      <c r="BM246" s="1242">
        <f t="shared" si="176"/>
        <v>0</v>
      </c>
      <c r="BN246" s="1242">
        <f t="shared" si="176"/>
        <v>2</v>
      </c>
      <c r="BO246" s="1242">
        <f t="shared" si="176"/>
        <v>12</v>
      </c>
      <c r="BP246" s="1242">
        <f t="shared" si="176"/>
        <v>0</v>
      </c>
      <c r="BQ246" s="1242">
        <f t="shared" si="176"/>
        <v>0</v>
      </c>
      <c r="BR246" s="1242">
        <f t="shared" si="176"/>
        <v>0</v>
      </c>
      <c r="BS246" s="1241">
        <f t="shared" si="176"/>
        <v>2</v>
      </c>
      <c r="BT246" s="1242">
        <f t="shared" si="176"/>
        <v>4</v>
      </c>
      <c r="BU246" s="1242">
        <f t="shared" ref="BU246:BW246" si="178">SUM(BU221:BU245)</f>
        <v>0</v>
      </c>
      <c r="BV246" s="1242">
        <f t="shared" si="178"/>
        <v>0</v>
      </c>
      <c r="BW246" s="1242">
        <f t="shared" si="178"/>
        <v>1</v>
      </c>
      <c r="BX246" s="1243"/>
      <c r="BY246" s="1244"/>
      <c r="BZ246" s="1090"/>
      <c r="CA246" s="1091"/>
    </row>
    <row r="247" spans="4:79" s="940" customFormat="1" ht="21">
      <c r="E247" s="1245" t="s">
        <v>458</v>
      </c>
      <c r="F247" s="1246"/>
      <c r="G247" s="1246"/>
      <c r="H247" s="1241">
        <f t="shared" ref="H247:I247" si="179">H20+H41+H54+H66+H86+H98+H140+H154+H180+H219+H246</f>
        <v>11923.8</v>
      </c>
      <c r="I247" s="1241">
        <f t="shared" si="179"/>
        <v>11923.8</v>
      </c>
      <c r="J247" s="1241">
        <f>J20+J41+J54+J66+J86+J98+J140+J154+J180+J219+J246</f>
        <v>11923.8</v>
      </c>
      <c r="K247" s="1112">
        <f>K20+K41+K54+K66+K86+K98+K140+K154+K180+K219+K246</f>
        <v>1795.4999999999998</v>
      </c>
      <c r="L247" s="1112">
        <f t="shared" ref="L247:BV247" si="180">L20+L41+L54+L66+L86+L98+L140+L154+L180+L219+L246</f>
        <v>11923.8</v>
      </c>
      <c r="M247" s="1113">
        <f t="shared" si="180"/>
        <v>19</v>
      </c>
      <c r="N247" s="1242">
        <f t="shared" si="180"/>
        <v>0</v>
      </c>
      <c r="O247" s="1286">
        <f t="shared" si="180"/>
        <v>19</v>
      </c>
      <c r="P247" s="1286">
        <f t="shared" si="180"/>
        <v>3</v>
      </c>
      <c r="Q247" s="1286">
        <f t="shared" si="180"/>
        <v>111</v>
      </c>
      <c r="R247" s="1286">
        <f t="shared" si="180"/>
        <v>32</v>
      </c>
      <c r="S247" s="1286">
        <f t="shared" si="180"/>
        <v>5</v>
      </c>
      <c r="T247" s="1286">
        <f t="shared" si="180"/>
        <v>0</v>
      </c>
      <c r="U247" s="1286">
        <f t="shared" si="180"/>
        <v>33</v>
      </c>
      <c r="V247" s="1286">
        <f t="shared" si="180"/>
        <v>52</v>
      </c>
      <c r="W247" s="1286">
        <f t="shared" si="180"/>
        <v>235</v>
      </c>
      <c r="X247" s="1286">
        <f t="shared" si="180"/>
        <v>29</v>
      </c>
      <c r="Y247" s="1113">
        <f t="shared" si="180"/>
        <v>21</v>
      </c>
      <c r="Z247" s="1286">
        <f t="shared" si="180"/>
        <v>6</v>
      </c>
      <c r="AA247" s="1113">
        <f t="shared" si="180"/>
        <v>80</v>
      </c>
      <c r="AB247" s="1113">
        <f t="shared" si="180"/>
        <v>31</v>
      </c>
      <c r="AC247" s="1113">
        <f t="shared" si="180"/>
        <v>74</v>
      </c>
      <c r="AD247" s="1113">
        <f t="shared" si="180"/>
        <v>70</v>
      </c>
      <c r="AE247" s="1113">
        <f t="shared" si="180"/>
        <v>4</v>
      </c>
      <c r="AF247" s="1113">
        <f t="shared" si="180"/>
        <v>74</v>
      </c>
      <c r="AG247" s="1113">
        <f t="shared" si="180"/>
        <v>4</v>
      </c>
      <c r="AH247" s="1113">
        <f t="shared" si="180"/>
        <v>4</v>
      </c>
      <c r="AI247" s="1242">
        <f t="shared" si="180"/>
        <v>0</v>
      </c>
      <c r="AJ247" s="1113">
        <f t="shared" si="180"/>
        <v>25</v>
      </c>
      <c r="AK247" s="1113">
        <f t="shared" si="180"/>
        <v>16</v>
      </c>
      <c r="AL247" s="1113">
        <f t="shared" si="180"/>
        <v>8</v>
      </c>
      <c r="AM247" s="1113">
        <f t="shared" si="180"/>
        <v>10</v>
      </c>
      <c r="AN247" s="1113">
        <f t="shared" si="180"/>
        <v>33</v>
      </c>
      <c r="AO247" s="1113">
        <f t="shared" si="180"/>
        <v>10</v>
      </c>
      <c r="AP247" s="1113">
        <f t="shared" si="180"/>
        <v>5</v>
      </c>
      <c r="AQ247" s="1113">
        <f t="shared" si="180"/>
        <v>6</v>
      </c>
      <c r="AR247" s="1113">
        <f t="shared" si="180"/>
        <v>4</v>
      </c>
      <c r="AS247" s="1112">
        <f t="shared" si="180"/>
        <v>29.5</v>
      </c>
      <c r="AT247" s="1112">
        <f t="shared" si="180"/>
        <v>1</v>
      </c>
      <c r="AU247" s="1112">
        <f t="shared" si="180"/>
        <v>29.5</v>
      </c>
      <c r="AV247" s="1112">
        <f t="shared" si="180"/>
        <v>6</v>
      </c>
      <c r="AW247" s="1112">
        <f t="shared" si="180"/>
        <v>21.5</v>
      </c>
      <c r="AX247" s="1113">
        <f t="shared" si="180"/>
        <v>106</v>
      </c>
      <c r="AY247" s="1113">
        <f t="shared" si="180"/>
        <v>172</v>
      </c>
      <c r="AZ247" s="1113">
        <f t="shared" si="180"/>
        <v>10</v>
      </c>
      <c r="BA247" s="1286">
        <f t="shared" si="180"/>
        <v>68</v>
      </c>
      <c r="BB247" s="1300">
        <f t="shared" si="180"/>
        <v>10128.299999999999</v>
      </c>
      <c r="BC247" s="1286">
        <f t="shared" si="180"/>
        <v>1</v>
      </c>
      <c r="BD247" s="1286">
        <f t="shared" si="180"/>
        <v>9</v>
      </c>
      <c r="BE247" s="1286">
        <f t="shared" si="180"/>
        <v>136</v>
      </c>
      <c r="BF247" s="1286">
        <f t="shared" si="180"/>
        <v>172</v>
      </c>
      <c r="BG247" s="1286">
        <f t="shared" si="180"/>
        <v>3</v>
      </c>
      <c r="BH247" s="1286">
        <f t="shared" si="180"/>
        <v>106</v>
      </c>
      <c r="BI247" s="1286">
        <f t="shared" si="180"/>
        <v>32</v>
      </c>
      <c r="BJ247" s="1242">
        <f t="shared" si="180"/>
        <v>0</v>
      </c>
      <c r="BK247" s="1286">
        <f t="shared" si="180"/>
        <v>52</v>
      </c>
      <c r="BL247" s="1286">
        <f t="shared" si="180"/>
        <v>241</v>
      </c>
      <c r="BM247" s="1242">
        <f t="shared" si="180"/>
        <v>0</v>
      </c>
      <c r="BN247" s="1286">
        <f t="shared" si="180"/>
        <v>8</v>
      </c>
      <c r="BO247" s="1286">
        <f t="shared" si="180"/>
        <v>59</v>
      </c>
      <c r="BP247" s="1286">
        <f t="shared" si="180"/>
        <v>4</v>
      </c>
      <c r="BQ247" s="1286">
        <f t="shared" si="180"/>
        <v>0</v>
      </c>
      <c r="BR247" s="1286">
        <f t="shared" si="180"/>
        <v>4</v>
      </c>
      <c r="BS247" s="1300">
        <f t="shared" si="180"/>
        <v>21.5</v>
      </c>
      <c r="BT247" s="1286">
        <f t="shared" si="180"/>
        <v>48</v>
      </c>
      <c r="BU247" s="1242">
        <f t="shared" si="180"/>
        <v>0</v>
      </c>
      <c r="BV247" s="1286">
        <f t="shared" si="180"/>
        <v>6</v>
      </c>
      <c r="BW247" s="1286">
        <f t="shared" ref="BW247" si="181">BW20+BW41+BW54+BW66+BW86+BW98+BW140+BW154+BW180+BW219+BW246</f>
        <v>4</v>
      </c>
      <c r="BX247" s="1242">
        <f>BX86+BX20+BX98</f>
        <v>0</v>
      </c>
      <c r="BY247" s="1247"/>
      <c r="BZ247" s="938"/>
      <c r="CA247" s="939"/>
    </row>
    <row r="248" spans="4:79" s="977" customFormat="1" ht="21.6" collapsed="1">
      <c r="M248" s="1187"/>
      <c r="AJ248" s="978"/>
      <c r="AK248" s="978"/>
      <c r="AL248" s="978"/>
      <c r="AM248" s="978"/>
      <c r="AN248" s="978"/>
      <c r="AO248" s="978"/>
      <c r="AP248" s="978"/>
      <c r="AQ248" s="978"/>
      <c r="AR248" s="978"/>
      <c r="BB248" s="979"/>
    </row>
    <row r="249" spans="4:79" s="977" customFormat="1" ht="21.6">
      <c r="I249" s="980"/>
      <c r="M249" s="1187"/>
      <c r="AJ249" s="978"/>
      <c r="AK249" s="978"/>
      <c r="AL249" s="978"/>
      <c r="AM249" s="978"/>
      <c r="AN249" s="978"/>
      <c r="AO249" s="978"/>
      <c r="AP249" s="978"/>
      <c r="AQ249" s="978"/>
      <c r="AR249" s="978"/>
      <c r="BB249" s="979"/>
    </row>
    <row r="250" spans="4:79" s="977" customFormat="1" ht="21.6">
      <c r="H250" s="1232"/>
      <c r="I250" s="1233">
        <f>120*I247</f>
        <v>1430856</v>
      </c>
      <c r="J250" s="1232"/>
      <c r="K250" s="1232"/>
      <c r="L250" s="1232"/>
      <c r="M250" s="1187"/>
      <c r="AJ250" s="978"/>
      <c r="AK250" s="978"/>
      <c r="AL250" s="978"/>
      <c r="AM250" s="978"/>
      <c r="AN250" s="978"/>
      <c r="AO250" s="978"/>
      <c r="AP250" s="978"/>
      <c r="AQ250" s="978"/>
      <c r="AR250" s="978"/>
      <c r="BB250" s="979"/>
    </row>
    <row r="251" spans="4:79" s="977" customFormat="1" ht="21.6">
      <c r="H251" s="1232"/>
      <c r="I251" s="1234"/>
      <c r="J251" s="1235">
        <f>I252*85000</f>
        <v>3867500</v>
      </c>
      <c r="K251" s="1235"/>
      <c r="L251" s="1232"/>
      <c r="M251" s="1187"/>
      <c r="AJ251" s="978"/>
      <c r="AK251" s="978"/>
      <c r="AL251" s="978"/>
      <c r="AM251" s="978"/>
      <c r="AN251" s="978"/>
      <c r="AO251" s="978"/>
      <c r="AP251" s="978"/>
      <c r="AQ251" s="978"/>
      <c r="AR251" s="978"/>
      <c r="BB251" s="979"/>
    </row>
    <row r="252" spans="4:79" s="977" customFormat="1" ht="21.6">
      <c r="H252" s="1232"/>
      <c r="I252" s="1232">
        <v>45.5</v>
      </c>
      <c r="J252" s="1235">
        <f>I252*83000</f>
        <v>3776500</v>
      </c>
      <c r="K252" s="1235"/>
      <c r="L252" s="1232"/>
      <c r="M252" s="1187"/>
      <c r="AJ252" s="978"/>
      <c r="AK252" s="978"/>
      <c r="AL252" s="978"/>
      <c r="AM252" s="978"/>
      <c r="AN252" s="978"/>
      <c r="AO252" s="978"/>
      <c r="AP252" s="978"/>
      <c r="AQ252" s="978"/>
      <c r="AR252" s="978"/>
      <c r="BB252" s="979"/>
    </row>
    <row r="253" spans="4:79" s="977" customFormat="1" ht="21.6">
      <c r="H253" s="1232"/>
      <c r="I253" s="1232">
        <f>I252-I254</f>
        <v>32.5</v>
      </c>
      <c r="J253" s="1235">
        <f>I253*85000</f>
        <v>2762500</v>
      </c>
      <c r="K253" s="1235"/>
      <c r="L253" s="1232"/>
      <c r="M253" s="1187"/>
      <c r="AJ253" s="978"/>
      <c r="AK253" s="978"/>
      <c r="AL253" s="978"/>
      <c r="AM253" s="978"/>
      <c r="AN253" s="978"/>
      <c r="AO253" s="978"/>
      <c r="AP253" s="978"/>
      <c r="AQ253" s="978"/>
      <c r="AR253" s="978"/>
      <c r="BB253" s="979"/>
    </row>
    <row r="254" spans="4:79" ht="21">
      <c r="H254" s="1232"/>
      <c r="I254" s="1232">
        <v>13</v>
      </c>
      <c r="J254" s="1235">
        <f>I254*70000</f>
        <v>910000</v>
      </c>
      <c r="K254" s="1235"/>
      <c r="L254" s="1232">
        <f>70-48</f>
        <v>22</v>
      </c>
    </row>
    <row r="255" spans="4:79" ht="21">
      <c r="H255" s="1232"/>
      <c r="I255" s="1232"/>
      <c r="J255" s="1235">
        <f>J254+J253</f>
        <v>3672500</v>
      </c>
      <c r="K255" s="1235"/>
      <c r="L255" s="1232"/>
    </row>
    <row r="256" spans="4:79" ht="21">
      <c r="H256" s="1232"/>
      <c r="I256" s="1232"/>
      <c r="J256" s="1235">
        <v>80000</v>
      </c>
      <c r="K256" s="1235"/>
      <c r="L256" s="1232"/>
    </row>
    <row r="257" spans="6:54" ht="21">
      <c r="J257" s="1235">
        <f>J255+J256</f>
        <v>3752500</v>
      </c>
      <c r="K257" s="1235"/>
    </row>
    <row r="259" spans="6:54">
      <c r="F259" s="850"/>
      <c r="G259" s="850"/>
      <c r="H259" s="850"/>
      <c r="M259" s="843"/>
      <c r="AJ259" s="843"/>
      <c r="AK259" s="843"/>
      <c r="AL259" s="843"/>
      <c r="AM259" s="843"/>
      <c r="AN259" s="843"/>
      <c r="AO259" s="843"/>
      <c r="AP259" s="843"/>
      <c r="AQ259" s="843"/>
      <c r="AR259" s="843"/>
      <c r="BB259" s="843"/>
    </row>
  </sheetData>
  <autoFilter ref="A4:CC259" xr:uid="{CBD83CF5-2F81-46FA-98BE-9C9933465E8A}">
    <filterColumn colId="12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</autoFilter>
  <mergeCells count="46">
    <mergeCell ref="AZ4:AZ5"/>
    <mergeCell ref="AP4:AP5"/>
    <mergeCell ref="AK4:AK5"/>
    <mergeCell ref="AL4:AL5"/>
    <mergeCell ref="AQ4:AQ5"/>
    <mergeCell ref="AR4:AR5"/>
    <mergeCell ref="AI4:AI5"/>
    <mergeCell ref="X4:X5"/>
    <mergeCell ref="AM4:AM5"/>
    <mergeCell ref="AU4:AU5"/>
    <mergeCell ref="Z4:Z5"/>
    <mergeCell ref="Y4:Y5"/>
    <mergeCell ref="AH4:AH5"/>
    <mergeCell ref="AS4:AS5"/>
    <mergeCell ref="E2:BY2"/>
    <mergeCell ref="E4:E5"/>
    <mergeCell ref="I4:I5"/>
    <mergeCell ref="R4:R5"/>
    <mergeCell ref="G4:G5"/>
    <mergeCell ref="Q4:Q5"/>
    <mergeCell ref="F4:F5"/>
    <mergeCell ref="T4:T5"/>
    <mergeCell ref="P4:P5"/>
    <mergeCell ref="S4:S5"/>
    <mergeCell ref="W4:W5"/>
    <mergeCell ref="L4:L5"/>
    <mergeCell ref="AF4:AF5"/>
    <mergeCell ref="AW4:AW5"/>
    <mergeCell ref="AO4:AO5"/>
    <mergeCell ref="BA4:BX4"/>
    <mergeCell ref="E1:BY1"/>
    <mergeCell ref="H4:H5"/>
    <mergeCell ref="AD4:AD5"/>
    <mergeCell ref="AB4:AB5"/>
    <mergeCell ref="AC4:AC5"/>
    <mergeCell ref="AN4:AN5"/>
    <mergeCell ref="AV4:AV5"/>
    <mergeCell ref="M4:N4"/>
    <mergeCell ref="AJ4:AJ5"/>
    <mergeCell ref="AA4:AA5"/>
    <mergeCell ref="AG4:AG5"/>
    <mergeCell ref="BY4:BY5"/>
    <mergeCell ref="U4:U5"/>
    <mergeCell ref="AT4:AT5"/>
    <mergeCell ref="AE4:AE5"/>
    <mergeCell ref="J4:J5"/>
  </mergeCells>
  <phoneticPr fontId="0" type="noConversion"/>
  <printOptions horizontalCentered="1"/>
  <pageMargins left="0.23622047244094491" right="7.874015748031496E-2" top="0.59055118110236227" bottom="0.39370078740157483" header="0.23622047244094491" footer="0.15748031496062992"/>
  <pageSetup paperSize="8" scale="32" fitToHeight="0" orientation="landscape" blackAndWhite="1" useFirstPageNumber="1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L62"/>
  <sheetViews>
    <sheetView topLeftCell="A33" workbookViewId="0">
      <selection activeCell="C56" sqref="C56"/>
    </sheetView>
  </sheetViews>
  <sheetFormatPr defaultRowHeight="15.6"/>
  <cols>
    <col min="1" max="3" width="9.109375" style="772"/>
    <col min="4" max="4" width="14.33203125" style="772" bestFit="1" customWidth="1"/>
    <col min="5" max="5" width="14" style="772" customWidth="1"/>
    <col min="6" max="6" width="15.6640625" style="772" customWidth="1"/>
    <col min="7" max="7" width="25" style="772" bestFit="1" customWidth="1"/>
    <col min="8" max="8" width="14.109375" style="772" customWidth="1"/>
    <col min="9" max="9" width="12.6640625" style="772" customWidth="1"/>
    <col min="10" max="10" width="12.6640625" style="772" bestFit="1" customWidth="1"/>
    <col min="11" max="259" width="9.109375" style="772"/>
    <col min="260" max="260" width="14.33203125" style="772" bestFit="1" customWidth="1"/>
    <col min="261" max="261" width="14" style="772" customWidth="1"/>
    <col min="262" max="262" width="15.6640625" style="772" customWidth="1"/>
    <col min="263" max="263" width="25" style="772" bestFit="1" customWidth="1"/>
    <col min="264" max="264" width="14.109375" style="772" customWidth="1"/>
    <col min="265" max="265" width="12.6640625" style="772" customWidth="1"/>
    <col min="266" max="266" width="12.6640625" style="772" bestFit="1" customWidth="1"/>
    <col min="267" max="515" width="9.109375" style="772"/>
    <col min="516" max="516" width="14.33203125" style="772" bestFit="1" customWidth="1"/>
    <col min="517" max="517" width="14" style="772" customWidth="1"/>
    <col min="518" max="518" width="15.6640625" style="772" customWidth="1"/>
    <col min="519" max="519" width="25" style="772" bestFit="1" customWidth="1"/>
    <col min="520" max="520" width="14.109375" style="772" customWidth="1"/>
    <col min="521" max="521" width="12.6640625" style="772" customWidth="1"/>
    <col min="522" max="522" width="12.6640625" style="772" bestFit="1" customWidth="1"/>
    <col min="523" max="771" width="9.109375" style="772"/>
    <col min="772" max="772" width="14.33203125" style="772" bestFit="1" customWidth="1"/>
    <col min="773" max="773" width="14" style="772" customWidth="1"/>
    <col min="774" max="774" width="15.6640625" style="772" customWidth="1"/>
    <col min="775" max="775" width="25" style="772" bestFit="1" customWidth="1"/>
    <col min="776" max="776" width="14.109375" style="772" customWidth="1"/>
    <col min="777" max="777" width="12.6640625" style="772" customWidth="1"/>
    <col min="778" max="778" width="12.6640625" style="772" bestFit="1" customWidth="1"/>
    <col min="779" max="1027" width="9.109375" style="772"/>
    <col min="1028" max="1028" width="14.33203125" style="772" bestFit="1" customWidth="1"/>
    <col min="1029" max="1029" width="14" style="772" customWidth="1"/>
    <col min="1030" max="1030" width="15.6640625" style="772" customWidth="1"/>
    <col min="1031" max="1031" width="25" style="772" bestFit="1" customWidth="1"/>
    <col min="1032" max="1032" width="14.109375" style="772" customWidth="1"/>
    <col min="1033" max="1033" width="12.6640625" style="772" customWidth="1"/>
    <col min="1034" max="1034" width="12.6640625" style="772" bestFit="1" customWidth="1"/>
    <col min="1035" max="1283" width="9.109375" style="772"/>
    <col min="1284" max="1284" width="14.33203125" style="772" bestFit="1" customWidth="1"/>
    <col min="1285" max="1285" width="14" style="772" customWidth="1"/>
    <col min="1286" max="1286" width="15.6640625" style="772" customWidth="1"/>
    <col min="1287" max="1287" width="25" style="772" bestFit="1" customWidth="1"/>
    <col min="1288" max="1288" width="14.109375" style="772" customWidth="1"/>
    <col min="1289" max="1289" width="12.6640625" style="772" customWidth="1"/>
    <col min="1290" max="1290" width="12.6640625" style="772" bestFit="1" customWidth="1"/>
    <col min="1291" max="1539" width="9.109375" style="772"/>
    <col min="1540" max="1540" width="14.33203125" style="772" bestFit="1" customWidth="1"/>
    <col min="1541" max="1541" width="14" style="772" customWidth="1"/>
    <col min="1542" max="1542" width="15.6640625" style="772" customWidth="1"/>
    <col min="1543" max="1543" width="25" style="772" bestFit="1" customWidth="1"/>
    <col min="1544" max="1544" width="14.109375" style="772" customWidth="1"/>
    <col min="1545" max="1545" width="12.6640625" style="772" customWidth="1"/>
    <col min="1546" max="1546" width="12.6640625" style="772" bestFit="1" customWidth="1"/>
    <col min="1547" max="1795" width="9.109375" style="772"/>
    <col min="1796" max="1796" width="14.33203125" style="772" bestFit="1" customWidth="1"/>
    <col min="1797" max="1797" width="14" style="772" customWidth="1"/>
    <col min="1798" max="1798" width="15.6640625" style="772" customWidth="1"/>
    <col min="1799" max="1799" width="25" style="772" bestFit="1" customWidth="1"/>
    <col min="1800" max="1800" width="14.109375" style="772" customWidth="1"/>
    <col min="1801" max="1801" width="12.6640625" style="772" customWidth="1"/>
    <col min="1802" max="1802" width="12.6640625" style="772" bestFit="1" customWidth="1"/>
    <col min="1803" max="2051" width="9.109375" style="772"/>
    <col min="2052" max="2052" width="14.33203125" style="772" bestFit="1" customWidth="1"/>
    <col min="2053" max="2053" width="14" style="772" customWidth="1"/>
    <col min="2054" max="2054" width="15.6640625" style="772" customWidth="1"/>
    <col min="2055" max="2055" width="25" style="772" bestFit="1" customWidth="1"/>
    <col min="2056" max="2056" width="14.109375" style="772" customWidth="1"/>
    <col min="2057" max="2057" width="12.6640625" style="772" customWidth="1"/>
    <col min="2058" max="2058" width="12.6640625" style="772" bestFit="1" customWidth="1"/>
    <col min="2059" max="2307" width="9.109375" style="772"/>
    <col min="2308" max="2308" width="14.33203125" style="772" bestFit="1" customWidth="1"/>
    <col min="2309" max="2309" width="14" style="772" customWidth="1"/>
    <col min="2310" max="2310" width="15.6640625" style="772" customWidth="1"/>
    <col min="2311" max="2311" width="25" style="772" bestFit="1" customWidth="1"/>
    <col min="2312" max="2312" width="14.109375" style="772" customWidth="1"/>
    <col min="2313" max="2313" width="12.6640625" style="772" customWidth="1"/>
    <col min="2314" max="2314" width="12.6640625" style="772" bestFit="1" customWidth="1"/>
    <col min="2315" max="2563" width="9.109375" style="772"/>
    <col min="2564" max="2564" width="14.33203125" style="772" bestFit="1" customWidth="1"/>
    <col min="2565" max="2565" width="14" style="772" customWidth="1"/>
    <col min="2566" max="2566" width="15.6640625" style="772" customWidth="1"/>
    <col min="2567" max="2567" width="25" style="772" bestFit="1" customWidth="1"/>
    <col min="2568" max="2568" width="14.109375" style="772" customWidth="1"/>
    <col min="2569" max="2569" width="12.6640625" style="772" customWidth="1"/>
    <col min="2570" max="2570" width="12.6640625" style="772" bestFit="1" customWidth="1"/>
    <col min="2571" max="2819" width="9.109375" style="772"/>
    <col min="2820" max="2820" width="14.33203125" style="772" bestFit="1" customWidth="1"/>
    <col min="2821" max="2821" width="14" style="772" customWidth="1"/>
    <col min="2822" max="2822" width="15.6640625" style="772" customWidth="1"/>
    <col min="2823" max="2823" width="25" style="772" bestFit="1" customWidth="1"/>
    <col min="2824" max="2824" width="14.109375" style="772" customWidth="1"/>
    <col min="2825" max="2825" width="12.6640625" style="772" customWidth="1"/>
    <col min="2826" max="2826" width="12.6640625" style="772" bestFit="1" customWidth="1"/>
    <col min="2827" max="3075" width="9.109375" style="772"/>
    <col min="3076" max="3076" width="14.33203125" style="772" bestFit="1" customWidth="1"/>
    <col min="3077" max="3077" width="14" style="772" customWidth="1"/>
    <col min="3078" max="3078" width="15.6640625" style="772" customWidth="1"/>
    <col min="3079" max="3079" width="25" style="772" bestFit="1" customWidth="1"/>
    <col min="3080" max="3080" width="14.109375" style="772" customWidth="1"/>
    <col min="3081" max="3081" width="12.6640625" style="772" customWidth="1"/>
    <col min="3082" max="3082" width="12.6640625" style="772" bestFit="1" customWidth="1"/>
    <col min="3083" max="3331" width="9.109375" style="772"/>
    <col min="3332" max="3332" width="14.33203125" style="772" bestFit="1" customWidth="1"/>
    <col min="3333" max="3333" width="14" style="772" customWidth="1"/>
    <col min="3334" max="3334" width="15.6640625" style="772" customWidth="1"/>
    <col min="3335" max="3335" width="25" style="772" bestFit="1" customWidth="1"/>
    <col min="3336" max="3336" width="14.109375" style="772" customWidth="1"/>
    <col min="3337" max="3337" width="12.6640625" style="772" customWidth="1"/>
    <col min="3338" max="3338" width="12.6640625" style="772" bestFit="1" customWidth="1"/>
    <col min="3339" max="3587" width="9.109375" style="772"/>
    <col min="3588" max="3588" width="14.33203125" style="772" bestFit="1" customWidth="1"/>
    <col min="3589" max="3589" width="14" style="772" customWidth="1"/>
    <col min="3590" max="3590" width="15.6640625" style="772" customWidth="1"/>
    <col min="3591" max="3591" width="25" style="772" bestFit="1" customWidth="1"/>
    <col min="3592" max="3592" width="14.109375" style="772" customWidth="1"/>
    <col min="3593" max="3593" width="12.6640625" style="772" customWidth="1"/>
    <col min="3594" max="3594" width="12.6640625" style="772" bestFit="1" customWidth="1"/>
    <col min="3595" max="3843" width="9.109375" style="772"/>
    <col min="3844" max="3844" width="14.33203125" style="772" bestFit="1" customWidth="1"/>
    <col min="3845" max="3845" width="14" style="772" customWidth="1"/>
    <col min="3846" max="3846" width="15.6640625" style="772" customWidth="1"/>
    <col min="3847" max="3847" width="25" style="772" bestFit="1" customWidth="1"/>
    <col min="3848" max="3848" width="14.109375" style="772" customWidth="1"/>
    <col min="3849" max="3849" width="12.6640625" style="772" customWidth="1"/>
    <col min="3850" max="3850" width="12.6640625" style="772" bestFit="1" customWidth="1"/>
    <col min="3851" max="4099" width="9.109375" style="772"/>
    <col min="4100" max="4100" width="14.33203125" style="772" bestFit="1" customWidth="1"/>
    <col min="4101" max="4101" width="14" style="772" customWidth="1"/>
    <col min="4102" max="4102" width="15.6640625" style="772" customWidth="1"/>
    <col min="4103" max="4103" width="25" style="772" bestFit="1" customWidth="1"/>
    <col min="4104" max="4104" width="14.109375" style="772" customWidth="1"/>
    <col min="4105" max="4105" width="12.6640625" style="772" customWidth="1"/>
    <col min="4106" max="4106" width="12.6640625" style="772" bestFit="1" customWidth="1"/>
    <col min="4107" max="4355" width="9.109375" style="772"/>
    <col min="4356" max="4356" width="14.33203125" style="772" bestFit="1" customWidth="1"/>
    <col min="4357" max="4357" width="14" style="772" customWidth="1"/>
    <col min="4358" max="4358" width="15.6640625" style="772" customWidth="1"/>
    <col min="4359" max="4359" width="25" style="772" bestFit="1" customWidth="1"/>
    <col min="4360" max="4360" width="14.109375" style="772" customWidth="1"/>
    <col min="4361" max="4361" width="12.6640625" style="772" customWidth="1"/>
    <col min="4362" max="4362" width="12.6640625" style="772" bestFit="1" customWidth="1"/>
    <col min="4363" max="4611" width="9.109375" style="772"/>
    <col min="4612" max="4612" width="14.33203125" style="772" bestFit="1" customWidth="1"/>
    <col min="4613" max="4613" width="14" style="772" customWidth="1"/>
    <col min="4614" max="4614" width="15.6640625" style="772" customWidth="1"/>
    <col min="4615" max="4615" width="25" style="772" bestFit="1" customWidth="1"/>
    <col min="4616" max="4616" width="14.109375" style="772" customWidth="1"/>
    <col min="4617" max="4617" width="12.6640625" style="772" customWidth="1"/>
    <col min="4618" max="4618" width="12.6640625" style="772" bestFit="1" customWidth="1"/>
    <col min="4619" max="4867" width="9.109375" style="772"/>
    <col min="4868" max="4868" width="14.33203125" style="772" bestFit="1" customWidth="1"/>
    <col min="4869" max="4869" width="14" style="772" customWidth="1"/>
    <col min="4870" max="4870" width="15.6640625" style="772" customWidth="1"/>
    <col min="4871" max="4871" width="25" style="772" bestFit="1" customWidth="1"/>
    <col min="4872" max="4872" width="14.109375" style="772" customWidth="1"/>
    <col min="4873" max="4873" width="12.6640625" style="772" customWidth="1"/>
    <col min="4874" max="4874" width="12.6640625" style="772" bestFit="1" customWidth="1"/>
    <col min="4875" max="5123" width="9.109375" style="772"/>
    <col min="5124" max="5124" width="14.33203125" style="772" bestFit="1" customWidth="1"/>
    <col min="5125" max="5125" width="14" style="772" customWidth="1"/>
    <col min="5126" max="5126" width="15.6640625" style="772" customWidth="1"/>
    <col min="5127" max="5127" width="25" style="772" bestFit="1" customWidth="1"/>
    <col min="5128" max="5128" width="14.109375" style="772" customWidth="1"/>
    <col min="5129" max="5129" width="12.6640625" style="772" customWidth="1"/>
    <col min="5130" max="5130" width="12.6640625" style="772" bestFit="1" customWidth="1"/>
    <col min="5131" max="5379" width="9.109375" style="772"/>
    <col min="5380" max="5380" width="14.33203125" style="772" bestFit="1" customWidth="1"/>
    <col min="5381" max="5381" width="14" style="772" customWidth="1"/>
    <col min="5382" max="5382" width="15.6640625" style="772" customWidth="1"/>
    <col min="5383" max="5383" width="25" style="772" bestFit="1" customWidth="1"/>
    <col min="5384" max="5384" width="14.109375" style="772" customWidth="1"/>
    <col min="5385" max="5385" width="12.6640625" style="772" customWidth="1"/>
    <col min="5386" max="5386" width="12.6640625" style="772" bestFit="1" customWidth="1"/>
    <col min="5387" max="5635" width="9.109375" style="772"/>
    <col min="5636" max="5636" width="14.33203125" style="772" bestFit="1" customWidth="1"/>
    <col min="5637" max="5637" width="14" style="772" customWidth="1"/>
    <col min="5638" max="5638" width="15.6640625" style="772" customWidth="1"/>
    <col min="5639" max="5639" width="25" style="772" bestFit="1" customWidth="1"/>
    <col min="5640" max="5640" width="14.109375" style="772" customWidth="1"/>
    <col min="5641" max="5641" width="12.6640625" style="772" customWidth="1"/>
    <col min="5642" max="5642" width="12.6640625" style="772" bestFit="1" customWidth="1"/>
    <col min="5643" max="5891" width="9.109375" style="772"/>
    <col min="5892" max="5892" width="14.33203125" style="772" bestFit="1" customWidth="1"/>
    <col min="5893" max="5893" width="14" style="772" customWidth="1"/>
    <col min="5894" max="5894" width="15.6640625" style="772" customWidth="1"/>
    <col min="5895" max="5895" width="25" style="772" bestFit="1" customWidth="1"/>
    <col min="5896" max="5896" width="14.109375" style="772" customWidth="1"/>
    <col min="5897" max="5897" width="12.6640625" style="772" customWidth="1"/>
    <col min="5898" max="5898" width="12.6640625" style="772" bestFit="1" customWidth="1"/>
    <col min="5899" max="6147" width="9.109375" style="772"/>
    <col min="6148" max="6148" width="14.33203125" style="772" bestFit="1" customWidth="1"/>
    <col min="6149" max="6149" width="14" style="772" customWidth="1"/>
    <col min="6150" max="6150" width="15.6640625" style="772" customWidth="1"/>
    <col min="6151" max="6151" width="25" style="772" bestFit="1" customWidth="1"/>
    <col min="6152" max="6152" width="14.109375" style="772" customWidth="1"/>
    <col min="6153" max="6153" width="12.6640625" style="772" customWidth="1"/>
    <col min="6154" max="6154" width="12.6640625" style="772" bestFit="1" customWidth="1"/>
    <col min="6155" max="6403" width="9.109375" style="772"/>
    <col min="6404" max="6404" width="14.33203125" style="772" bestFit="1" customWidth="1"/>
    <col min="6405" max="6405" width="14" style="772" customWidth="1"/>
    <col min="6406" max="6406" width="15.6640625" style="772" customWidth="1"/>
    <col min="6407" max="6407" width="25" style="772" bestFit="1" customWidth="1"/>
    <col min="6408" max="6408" width="14.109375" style="772" customWidth="1"/>
    <col min="6409" max="6409" width="12.6640625" style="772" customWidth="1"/>
    <col min="6410" max="6410" width="12.6640625" style="772" bestFit="1" customWidth="1"/>
    <col min="6411" max="6659" width="9.109375" style="772"/>
    <col min="6660" max="6660" width="14.33203125" style="772" bestFit="1" customWidth="1"/>
    <col min="6661" max="6661" width="14" style="772" customWidth="1"/>
    <col min="6662" max="6662" width="15.6640625" style="772" customWidth="1"/>
    <col min="6663" max="6663" width="25" style="772" bestFit="1" customWidth="1"/>
    <col min="6664" max="6664" width="14.109375" style="772" customWidth="1"/>
    <col min="6665" max="6665" width="12.6640625" style="772" customWidth="1"/>
    <col min="6666" max="6666" width="12.6640625" style="772" bestFit="1" customWidth="1"/>
    <col min="6667" max="6915" width="9.109375" style="772"/>
    <col min="6916" max="6916" width="14.33203125" style="772" bestFit="1" customWidth="1"/>
    <col min="6917" max="6917" width="14" style="772" customWidth="1"/>
    <col min="6918" max="6918" width="15.6640625" style="772" customWidth="1"/>
    <col min="6919" max="6919" width="25" style="772" bestFit="1" customWidth="1"/>
    <col min="6920" max="6920" width="14.109375" style="772" customWidth="1"/>
    <col min="6921" max="6921" width="12.6640625" style="772" customWidth="1"/>
    <col min="6922" max="6922" width="12.6640625" style="772" bestFit="1" customWidth="1"/>
    <col min="6923" max="7171" width="9.109375" style="772"/>
    <col min="7172" max="7172" width="14.33203125" style="772" bestFit="1" customWidth="1"/>
    <col min="7173" max="7173" width="14" style="772" customWidth="1"/>
    <col min="7174" max="7174" width="15.6640625" style="772" customWidth="1"/>
    <col min="7175" max="7175" width="25" style="772" bestFit="1" customWidth="1"/>
    <col min="7176" max="7176" width="14.109375" style="772" customWidth="1"/>
    <col min="7177" max="7177" width="12.6640625" style="772" customWidth="1"/>
    <col min="7178" max="7178" width="12.6640625" style="772" bestFit="1" customWidth="1"/>
    <col min="7179" max="7427" width="9.109375" style="772"/>
    <col min="7428" max="7428" width="14.33203125" style="772" bestFit="1" customWidth="1"/>
    <col min="7429" max="7429" width="14" style="772" customWidth="1"/>
    <col min="7430" max="7430" width="15.6640625" style="772" customWidth="1"/>
    <col min="7431" max="7431" width="25" style="772" bestFit="1" customWidth="1"/>
    <col min="7432" max="7432" width="14.109375" style="772" customWidth="1"/>
    <col min="7433" max="7433" width="12.6640625" style="772" customWidth="1"/>
    <col min="7434" max="7434" width="12.6640625" style="772" bestFit="1" customWidth="1"/>
    <col min="7435" max="7683" width="9.109375" style="772"/>
    <col min="7684" max="7684" width="14.33203125" style="772" bestFit="1" customWidth="1"/>
    <col min="7685" max="7685" width="14" style="772" customWidth="1"/>
    <col min="7686" max="7686" width="15.6640625" style="772" customWidth="1"/>
    <col min="7687" max="7687" width="25" style="772" bestFit="1" customWidth="1"/>
    <col min="7688" max="7688" width="14.109375" style="772" customWidth="1"/>
    <col min="7689" max="7689" width="12.6640625" style="772" customWidth="1"/>
    <col min="7690" max="7690" width="12.6640625" style="772" bestFit="1" customWidth="1"/>
    <col min="7691" max="7939" width="9.109375" style="772"/>
    <col min="7940" max="7940" width="14.33203125" style="772" bestFit="1" customWidth="1"/>
    <col min="7941" max="7941" width="14" style="772" customWidth="1"/>
    <col min="7942" max="7942" width="15.6640625" style="772" customWidth="1"/>
    <col min="7943" max="7943" width="25" style="772" bestFit="1" customWidth="1"/>
    <col min="7944" max="7944" width="14.109375" style="772" customWidth="1"/>
    <col min="7945" max="7945" width="12.6640625" style="772" customWidth="1"/>
    <col min="7946" max="7946" width="12.6640625" style="772" bestFit="1" customWidth="1"/>
    <col min="7947" max="8195" width="9.109375" style="772"/>
    <col min="8196" max="8196" width="14.33203125" style="772" bestFit="1" customWidth="1"/>
    <col min="8197" max="8197" width="14" style="772" customWidth="1"/>
    <col min="8198" max="8198" width="15.6640625" style="772" customWidth="1"/>
    <col min="8199" max="8199" width="25" style="772" bestFit="1" customWidth="1"/>
    <col min="8200" max="8200" width="14.109375" style="772" customWidth="1"/>
    <col min="8201" max="8201" width="12.6640625" style="772" customWidth="1"/>
    <col min="8202" max="8202" width="12.6640625" style="772" bestFit="1" customWidth="1"/>
    <col min="8203" max="8451" width="9.109375" style="772"/>
    <col min="8452" max="8452" width="14.33203125" style="772" bestFit="1" customWidth="1"/>
    <col min="8453" max="8453" width="14" style="772" customWidth="1"/>
    <col min="8454" max="8454" width="15.6640625" style="772" customWidth="1"/>
    <col min="8455" max="8455" width="25" style="772" bestFit="1" customWidth="1"/>
    <col min="8456" max="8456" width="14.109375" style="772" customWidth="1"/>
    <col min="8457" max="8457" width="12.6640625" style="772" customWidth="1"/>
    <col min="8458" max="8458" width="12.6640625" style="772" bestFit="1" customWidth="1"/>
    <col min="8459" max="8707" width="9.109375" style="772"/>
    <col min="8708" max="8708" width="14.33203125" style="772" bestFit="1" customWidth="1"/>
    <col min="8709" max="8709" width="14" style="772" customWidth="1"/>
    <col min="8710" max="8710" width="15.6640625" style="772" customWidth="1"/>
    <col min="8711" max="8711" width="25" style="772" bestFit="1" customWidth="1"/>
    <col min="8712" max="8712" width="14.109375" style="772" customWidth="1"/>
    <col min="8713" max="8713" width="12.6640625" style="772" customWidth="1"/>
    <col min="8714" max="8714" width="12.6640625" style="772" bestFit="1" customWidth="1"/>
    <col min="8715" max="8963" width="9.109375" style="772"/>
    <col min="8964" max="8964" width="14.33203125" style="772" bestFit="1" customWidth="1"/>
    <col min="8965" max="8965" width="14" style="772" customWidth="1"/>
    <col min="8966" max="8966" width="15.6640625" style="772" customWidth="1"/>
    <col min="8967" max="8967" width="25" style="772" bestFit="1" customWidth="1"/>
    <col min="8968" max="8968" width="14.109375" style="772" customWidth="1"/>
    <col min="8969" max="8969" width="12.6640625" style="772" customWidth="1"/>
    <col min="8970" max="8970" width="12.6640625" style="772" bestFit="1" customWidth="1"/>
    <col min="8971" max="9219" width="9.109375" style="772"/>
    <col min="9220" max="9220" width="14.33203125" style="772" bestFit="1" customWidth="1"/>
    <col min="9221" max="9221" width="14" style="772" customWidth="1"/>
    <col min="9222" max="9222" width="15.6640625" style="772" customWidth="1"/>
    <col min="9223" max="9223" width="25" style="772" bestFit="1" customWidth="1"/>
    <col min="9224" max="9224" width="14.109375" style="772" customWidth="1"/>
    <col min="9225" max="9225" width="12.6640625" style="772" customWidth="1"/>
    <col min="9226" max="9226" width="12.6640625" style="772" bestFit="1" customWidth="1"/>
    <col min="9227" max="9475" width="9.109375" style="772"/>
    <col min="9476" max="9476" width="14.33203125" style="772" bestFit="1" customWidth="1"/>
    <col min="9477" max="9477" width="14" style="772" customWidth="1"/>
    <col min="9478" max="9478" width="15.6640625" style="772" customWidth="1"/>
    <col min="9479" max="9479" width="25" style="772" bestFit="1" customWidth="1"/>
    <col min="9480" max="9480" width="14.109375" style="772" customWidth="1"/>
    <col min="9481" max="9481" width="12.6640625" style="772" customWidth="1"/>
    <col min="9482" max="9482" width="12.6640625" style="772" bestFit="1" customWidth="1"/>
    <col min="9483" max="9731" width="9.109375" style="772"/>
    <col min="9732" max="9732" width="14.33203125" style="772" bestFit="1" customWidth="1"/>
    <col min="9733" max="9733" width="14" style="772" customWidth="1"/>
    <col min="9734" max="9734" width="15.6640625" style="772" customWidth="1"/>
    <col min="9735" max="9735" width="25" style="772" bestFit="1" customWidth="1"/>
    <col min="9736" max="9736" width="14.109375" style="772" customWidth="1"/>
    <col min="9737" max="9737" width="12.6640625" style="772" customWidth="1"/>
    <col min="9738" max="9738" width="12.6640625" style="772" bestFit="1" customWidth="1"/>
    <col min="9739" max="9987" width="9.109375" style="772"/>
    <col min="9988" max="9988" width="14.33203125" style="772" bestFit="1" customWidth="1"/>
    <col min="9989" max="9989" width="14" style="772" customWidth="1"/>
    <col min="9990" max="9990" width="15.6640625" style="772" customWidth="1"/>
    <col min="9991" max="9991" width="25" style="772" bestFit="1" customWidth="1"/>
    <col min="9992" max="9992" width="14.109375" style="772" customWidth="1"/>
    <col min="9993" max="9993" width="12.6640625" style="772" customWidth="1"/>
    <col min="9994" max="9994" width="12.6640625" style="772" bestFit="1" customWidth="1"/>
    <col min="9995" max="10243" width="9.109375" style="772"/>
    <col min="10244" max="10244" width="14.33203125" style="772" bestFit="1" customWidth="1"/>
    <col min="10245" max="10245" width="14" style="772" customWidth="1"/>
    <col min="10246" max="10246" width="15.6640625" style="772" customWidth="1"/>
    <col min="10247" max="10247" width="25" style="772" bestFit="1" customWidth="1"/>
    <col min="10248" max="10248" width="14.109375" style="772" customWidth="1"/>
    <col min="10249" max="10249" width="12.6640625" style="772" customWidth="1"/>
    <col min="10250" max="10250" width="12.6640625" style="772" bestFit="1" customWidth="1"/>
    <col min="10251" max="10499" width="9.109375" style="772"/>
    <col min="10500" max="10500" width="14.33203125" style="772" bestFit="1" customWidth="1"/>
    <col min="10501" max="10501" width="14" style="772" customWidth="1"/>
    <col min="10502" max="10502" width="15.6640625" style="772" customWidth="1"/>
    <col min="10503" max="10503" width="25" style="772" bestFit="1" customWidth="1"/>
    <col min="10504" max="10504" width="14.109375" style="772" customWidth="1"/>
    <col min="10505" max="10505" width="12.6640625" style="772" customWidth="1"/>
    <col min="10506" max="10506" width="12.6640625" style="772" bestFit="1" customWidth="1"/>
    <col min="10507" max="10755" width="9.109375" style="772"/>
    <col min="10756" max="10756" width="14.33203125" style="772" bestFit="1" customWidth="1"/>
    <col min="10757" max="10757" width="14" style="772" customWidth="1"/>
    <col min="10758" max="10758" width="15.6640625" style="772" customWidth="1"/>
    <col min="10759" max="10759" width="25" style="772" bestFit="1" customWidth="1"/>
    <col min="10760" max="10760" width="14.109375" style="772" customWidth="1"/>
    <col min="10761" max="10761" width="12.6640625" style="772" customWidth="1"/>
    <col min="10762" max="10762" width="12.6640625" style="772" bestFit="1" customWidth="1"/>
    <col min="10763" max="11011" width="9.109375" style="772"/>
    <col min="11012" max="11012" width="14.33203125" style="772" bestFit="1" customWidth="1"/>
    <col min="11013" max="11013" width="14" style="772" customWidth="1"/>
    <col min="11014" max="11014" width="15.6640625" style="772" customWidth="1"/>
    <col min="11015" max="11015" width="25" style="772" bestFit="1" customWidth="1"/>
    <col min="11016" max="11016" width="14.109375" style="772" customWidth="1"/>
    <col min="11017" max="11017" width="12.6640625" style="772" customWidth="1"/>
    <col min="11018" max="11018" width="12.6640625" style="772" bestFit="1" customWidth="1"/>
    <col min="11019" max="11267" width="9.109375" style="772"/>
    <col min="11268" max="11268" width="14.33203125" style="772" bestFit="1" customWidth="1"/>
    <col min="11269" max="11269" width="14" style="772" customWidth="1"/>
    <col min="11270" max="11270" width="15.6640625" style="772" customWidth="1"/>
    <col min="11271" max="11271" width="25" style="772" bestFit="1" customWidth="1"/>
    <col min="11272" max="11272" width="14.109375" style="772" customWidth="1"/>
    <col min="11273" max="11273" width="12.6640625" style="772" customWidth="1"/>
    <col min="11274" max="11274" width="12.6640625" style="772" bestFit="1" customWidth="1"/>
    <col min="11275" max="11523" width="9.109375" style="772"/>
    <col min="11524" max="11524" width="14.33203125" style="772" bestFit="1" customWidth="1"/>
    <col min="11525" max="11525" width="14" style="772" customWidth="1"/>
    <col min="11526" max="11526" width="15.6640625" style="772" customWidth="1"/>
    <col min="11527" max="11527" width="25" style="772" bestFit="1" customWidth="1"/>
    <col min="11528" max="11528" width="14.109375" style="772" customWidth="1"/>
    <col min="11529" max="11529" width="12.6640625" style="772" customWidth="1"/>
    <col min="11530" max="11530" width="12.6640625" style="772" bestFit="1" customWidth="1"/>
    <col min="11531" max="11779" width="9.109375" style="772"/>
    <col min="11780" max="11780" width="14.33203125" style="772" bestFit="1" customWidth="1"/>
    <col min="11781" max="11781" width="14" style="772" customWidth="1"/>
    <col min="11782" max="11782" width="15.6640625" style="772" customWidth="1"/>
    <col min="11783" max="11783" width="25" style="772" bestFit="1" customWidth="1"/>
    <col min="11784" max="11784" width="14.109375" style="772" customWidth="1"/>
    <col min="11785" max="11785" width="12.6640625" style="772" customWidth="1"/>
    <col min="11786" max="11786" width="12.6640625" style="772" bestFit="1" customWidth="1"/>
    <col min="11787" max="12035" width="9.109375" style="772"/>
    <col min="12036" max="12036" width="14.33203125" style="772" bestFit="1" customWidth="1"/>
    <col min="12037" max="12037" width="14" style="772" customWidth="1"/>
    <col min="12038" max="12038" width="15.6640625" style="772" customWidth="1"/>
    <col min="12039" max="12039" width="25" style="772" bestFit="1" customWidth="1"/>
    <col min="12040" max="12040" width="14.109375" style="772" customWidth="1"/>
    <col min="12041" max="12041" width="12.6640625" style="772" customWidth="1"/>
    <col min="12042" max="12042" width="12.6640625" style="772" bestFit="1" customWidth="1"/>
    <col min="12043" max="12291" width="9.109375" style="772"/>
    <col min="12292" max="12292" width="14.33203125" style="772" bestFit="1" customWidth="1"/>
    <col min="12293" max="12293" width="14" style="772" customWidth="1"/>
    <col min="12294" max="12294" width="15.6640625" style="772" customWidth="1"/>
    <col min="12295" max="12295" width="25" style="772" bestFit="1" customWidth="1"/>
    <col min="12296" max="12296" width="14.109375" style="772" customWidth="1"/>
    <col min="12297" max="12297" width="12.6640625" style="772" customWidth="1"/>
    <col min="12298" max="12298" width="12.6640625" style="772" bestFit="1" customWidth="1"/>
    <col min="12299" max="12547" width="9.109375" style="772"/>
    <col min="12548" max="12548" width="14.33203125" style="772" bestFit="1" customWidth="1"/>
    <col min="12549" max="12549" width="14" style="772" customWidth="1"/>
    <col min="12550" max="12550" width="15.6640625" style="772" customWidth="1"/>
    <col min="12551" max="12551" width="25" style="772" bestFit="1" customWidth="1"/>
    <col min="12552" max="12552" width="14.109375" style="772" customWidth="1"/>
    <col min="12553" max="12553" width="12.6640625" style="772" customWidth="1"/>
    <col min="12554" max="12554" width="12.6640625" style="772" bestFit="1" customWidth="1"/>
    <col min="12555" max="12803" width="9.109375" style="772"/>
    <col min="12804" max="12804" width="14.33203125" style="772" bestFit="1" customWidth="1"/>
    <col min="12805" max="12805" width="14" style="772" customWidth="1"/>
    <col min="12806" max="12806" width="15.6640625" style="772" customWidth="1"/>
    <col min="12807" max="12807" width="25" style="772" bestFit="1" customWidth="1"/>
    <col min="12808" max="12808" width="14.109375" style="772" customWidth="1"/>
    <col min="12809" max="12809" width="12.6640625" style="772" customWidth="1"/>
    <col min="12810" max="12810" width="12.6640625" style="772" bestFit="1" customWidth="1"/>
    <col min="12811" max="13059" width="9.109375" style="772"/>
    <col min="13060" max="13060" width="14.33203125" style="772" bestFit="1" customWidth="1"/>
    <col min="13061" max="13061" width="14" style="772" customWidth="1"/>
    <col min="13062" max="13062" width="15.6640625" style="772" customWidth="1"/>
    <col min="13063" max="13063" width="25" style="772" bestFit="1" customWidth="1"/>
    <col min="13064" max="13064" width="14.109375" style="772" customWidth="1"/>
    <col min="13065" max="13065" width="12.6640625" style="772" customWidth="1"/>
    <col min="13066" max="13066" width="12.6640625" style="772" bestFit="1" customWidth="1"/>
    <col min="13067" max="13315" width="9.109375" style="772"/>
    <col min="13316" max="13316" width="14.33203125" style="772" bestFit="1" customWidth="1"/>
    <col min="13317" max="13317" width="14" style="772" customWidth="1"/>
    <col min="13318" max="13318" width="15.6640625" style="772" customWidth="1"/>
    <col min="13319" max="13319" width="25" style="772" bestFit="1" customWidth="1"/>
    <col min="13320" max="13320" width="14.109375" style="772" customWidth="1"/>
    <col min="13321" max="13321" width="12.6640625" style="772" customWidth="1"/>
    <col min="13322" max="13322" width="12.6640625" style="772" bestFit="1" customWidth="1"/>
    <col min="13323" max="13571" width="9.109375" style="772"/>
    <col min="13572" max="13572" width="14.33203125" style="772" bestFit="1" customWidth="1"/>
    <col min="13573" max="13573" width="14" style="772" customWidth="1"/>
    <col min="13574" max="13574" width="15.6640625" style="772" customWidth="1"/>
    <col min="13575" max="13575" width="25" style="772" bestFit="1" customWidth="1"/>
    <col min="13576" max="13576" width="14.109375" style="772" customWidth="1"/>
    <col min="13577" max="13577" width="12.6640625" style="772" customWidth="1"/>
    <col min="13578" max="13578" width="12.6640625" style="772" bestFit="1" customWidth="1"/>
    <col min="13579" max="13827" width="9.109375" style="772"/>
    <col min="13828" max="13828" width="14.33203125" style="772" bestFit="1" customWidth="1"/>
    <col min="13829" max="13829" width="14" style="772" customWidth="1"/>
    <col min="13830" max="13830" width="15.6640625" style="772" customWidth="1"/>
    <col min="13831" max="13831" width="25" style="772" bestFit="1" customWidth="1"/>
    <col min="13832" max="13832" width="14.109375" style="772" customWidth="1"/>
    <col min="13833" max="13833" width="12.6640625" style="772" customWidth="1"/>
    <col min="13834" max="13834" width="12.6640625" style="772" bestFit="1" customWidth="1"/>
    <col min="13835" max="14083" width="9.109375" style="772"/>
    <col min="14084" max="14084" width="14.33203125" style="772" bestFit="1" customWidth="1"/>
    <col min="14085" max="14085" width="14" style="772" customWidth="1"/>
    <col min="14086" max="14086" width="15.6640625" style="772" customWidth="1"/>
    <col min="14087" max="14087" width="25" style="772" bestFit="1" customWidth="1"/>
    <col min="14088" max="14088" width="14.109375" style="772" customWidth="1"/>
    <col min="14089" max="14089" width="12.6640625" style="772" customWidth="1"/>
    <col min="14090" max="14090" width="12.6640625" style="772" bestFit="1" customWidth="1"/>
    <col min="14091" max="14339" width="9.109375" style="772"/>
    <col min="14340" max="14340" width="14.33203125" style="772" bestFit="1" customWidth="1"/>
    <col min="14341" max="14341" width="14" style="772" customWidth="1"/>
    <col min="14342" max="14342" width="15.6640625" style="772" customWidth="1"/>
    <col min="14343" max="14343" width="25" style="772" bestFit="1" customWidth="1"/>
    <col min="14344" max="14344" width="14.109375" style="772" customWidth="1"/>
    <col min="14345" max="14345" width="12.6640625" style="772" customWidth="1"/>
    <col min="14346" max="14346" width="12.6640625" style="772" bestFit="1" customWidth="1"/>
    <col min="14347" max="14595" width="9.109375" style="772"/>
    <col min="14596" max="14596" width="14.33203125" style="772" bestFit="1" customWidth="1"/>
    <col min="14597" max="14597" width="14" style="772" customWidth="1"/>
    <col min="14598" max="14598" width="15.6640625" style="772" customWidth="1"/>
    <col min="14599" max="14599" width="25" style="772" bestFit="1" customWidth="1"/>
    <col min="14600" max="14600" width="14.109375" style="772" customWidth="1"/>
    <col min="14601" max="14601" width="12.6640625" style="772" customWidth="1"/>
    <col min="14602" max="14602" width="12.6640625" style="772" bestFit="1" customWidth="1"/>
    <col min="14603" max="14851" width="9.109375" style="772"/>
    <col min="14852" max="14852" width="14.33203125" style="772" bestFit="1" customWidth="1"/>
    <col min="14853" max="14853" width="14" style="772" customWidth="1"/>
    <col min="14854" max="14854" width="15.6640625" style="772" customWidth="1"/>
    <col min="14855" max="14855" width="25" style="772" bestFit="1" customWidth="1"/>
    <col min="14856" max="14856" width="14.109375" style="772" customWidth="1"/>
    <col min="14857" max="14857" width="12.6640625" style="772" customWidth="1"/>
    <col min="14858" max="14858" width="12.6640625" style="772" bestFit="1" customWidth="1"/>
    <col min="14859" max="15107" width="9.109375" style="772"/>
    <col min="15108" max="15108" width="14.33203125" style="772" bestFit="1" customWidth="1"/>
    <col min="15109" max="15109" width="14" style="772" customWidth="1"/>
    <col min="15110" max="15110" width="15.6640625" style="772" customWidth="1"/>
    <col min="15111" max="15111" width="25" style="772" bestFit="1" customWidth="1"/>
    <col min="15112" max="15112" width="14.109375" style="772" customWidth="1"/>
    <col min="15113" max="15113" width="12.6640625" style="772" customWidth="1"/>
    <col min="15114" max="15114" width="12.6640625" style="772" bestFit="1" customWidth="1"/>
    <col min="15115" max="15363" width="9.109375" style="772"/>
    <col min="15364" max="15364" width="14.33203125" style="772" bestFit="1" customWidth="1"/>
    <col min="15365" max="15365" width="14" style="772" customWidth="1"/>
    <col min="15366" max="15366" width="15.6640625" style="772" customWidth="1"/>
    <col min="15367" max="15367" width="25" style="772" bestFit="1" customWidth="1"/>
    <col min="15368" max="15368" width="14.109375" style="772" customWidth="1"/>
    <col min="15369" max="15369" width="12.6640625" style="772" customWidth="1"/>
    <col min="15370" max="15370" width="12.6640625" style="772" bestFit="1" customWidth="1"/>
    <col min="15371" max="15619" width="9.109375" style="772"/>
    <col min="15620" max="15620" width="14.33203125" style="772" bestFit="1" customWidth="1"/>
    <col min="15621" max="15621" width="14" style="772" customWidth="1"/>
    <col min="15622" max="15622" width="15.6640625" style="772" customWidth="1"/>
    <col min="15623" max="15623" width="25" style="772" bestFit="1" customWidth="1"/>
    <col min="15624" max="15624" width="14.109375" style="772" customWidth="1"/>
    <col min="15625" max="15625" width="12.6640625" style="772" customWidth="1"/>
    <col min="15626" max="15626" width="12.6640625" style="772" bestFit="1" customWidth="1"/>
    <col min="15627" max="15875" width="9.109375" style="772"/>
    <col min="15876" max="15876" width="14.33203125" style="772" bestFit="1" customWidth="1"/>
    <col min="15877" max="15877" width="14" style="772" customWidth="1"/>
    <col min="15878" max="15878" width="15.6640625" style="772" customWidth="1"/>
    <col min="15879" max="15879" width="25" style="772" bestFit="1" customWidth="1"/>
    <col min="15880" max="15880" width="14.109375" style="772" customWidth="1"/>
    <col min="15881" max="15881" width="12.6640625" style="772" customWidth="1"/>
    <col min="15882" max="15882" width="12.6640625" style="772" bestFit="1" customWidth="1"/>
    <col min="15883" max="16131" width="9.109375" style="772"/>
    <col min="16132" max="16132" width="14.33203125" style="772" bestFit="1" customWidth="1"/>
    <col min="16133" max="16133" width="14" style="772" customWidth="1"/>
    <col min="16134" max="16134" width="15.6640625" style="772" customWidth="1"/>
    <col min="16135" max="16135" width="25" style="772" bestFit="1" customWidth="1"/>
    <col min="16136" max="16136" width="14.109375" style="772" customWidth="1"/>
    <col min="16137" max="16137" width="12.6640625" style="772" customWidth="1"/>
    <col min="16138" max="16138" width="12.6640625" style="772" bestFit="1" customWidth="1"/>
    <col min="16139" max="16384" width="9.109375" style="772"/>
  </cols>
  <sheetData>
    <row r="3" spans="3:9">
      <c r="C3" s="704" t="s">
        <v>599</v>
      </c>
    </row>
    <row r="5" spans="3:9">
      <c r="C5" s="1495" t="s">
        <v>181</v>
      </c>
      <c r="D5" s="1495" t="s">
        <v>579</v>
      </c>
      <c r="E5" s="1496" t="s">
        <v>580</v>
      </c>
      <c r="F5" s="1497" t="s">
        <v>581</v>
      </c>
      <c r="G5" s="827" t="s">
        <v>582</v>
      </c>
      <c r="H5" s="1495" t="s">
        <v>584</v>
      </c>
    </row>
    <row r="6" spans="3:9" ht="31.2">
      <c r="C6" s="1495"/>
      <c r="D6" s="1495"/>
      <c r="E6" s="1496"/>
      <c r="F6" s="1497"/>
      <c r="G6" s="828" t="s">
        <v>583</v>
      </c>
      <c r="H6" s="1495"/>
    </row>
    <row r="7" spans="3:9">
      <c r="C7" s="1495"/>
      <c r="D7" s="1495"/>
      <c r="E7" s="1496"/>
      <c r="F7" s="827" t="s">
        <v>650</v>
      </c>
      <c r="G7" s="827" t="s">
        <v>585</v>
      </c>
      <c r="H7" s="1495"/>
      <c r="I7" s="772">
        <v>1.0529999999999999</v>
      </c>
    </row>
    <row r="8" spans="3:9">
      <c r="C8" s="773" t="s">
        <v>21</v>
      </c>
      <c r="D8" s="773" t="s">
        <v>22</v>
      </c>
      <c r="E8" s="773" t="s">
        <v>23</v>
      </c>
      <c r="F8" s="773" t="s">
        <v>24</v>
      </c>
      <c r="G8" s="773" t="s">
        <v>25</v>
      </c>
      <c r="H8" s="831" t="s">
        <v>26</v>
      </c>
      <c r="I8" s="832" t="s">
        <v>604</v>
      </c>
    </row>
    <row r="9" spans="3:9">
      <c r="C9" s="774">
        <v>1</v>
      </c>
      <c r="D9" s="774" t="s">
        <v>586</v>
      </c>
      <c r="E9" s="774">
        <v>1.55</v>
      </c>
      <c r="F9" s="775">
        <f>2000000/26</f>
        <v>76923.076923076922</v>
      </c>
      <c r="G9" s="833">
        <f>F9*E9</f>
        <v>119230.76923076923</v>
      </c>
      <c r="H9" s="834">
        <v>113269</v>
      </c>
      <c r="I9" s="835">
        <f>H9*$I$7</f>
        <v>119272.257</v>
      </c>
    </row>
    <row r="10" spans="3:9">
      <c r="C10" s="774">
        <f>C9+1</f>
        <v>2</v>
      </c>
      <c r="D10" s="774" t="s">
        <v>591</v>
      </c>
      <c r="E10" s="774">
        <v>1.69</v>
      </c>
      <c r="F10" s="775">
        <f t="shared" ref="F10:F21" si="0">2000000/26</f>
        <v>76923.076923076922</v>
      </c>
      <c r="G10" s="833">
        <f t="shared" ref="G10:G21" si="1">F10*E10</f>
        <v>130000</v>
      </c>
      <c r="H10" s="834">
        <v>123500</v>
      </c>
      <c r="I10" s="835">
        <f t="shared" ref="I10:I21" si="2">H10*$I$7</f>
        <v>130045.49999999999</v>
      </c>
    </row>
    <row r="11" spans="3:9">
      <c r="C11" s="774">
        <f t="shared" ref="C11:C21" si="3">C10+1</f>
        <v>3</v>
      </c>
      <c r="D11" s="774" t="s">
        <v>587</v>
      </c>
      <c r="E11" s="774">
        <v>1.83</v>
      </c>
      <c r="F11" s="775">
        <f t="shared" si="0"/>
        <v>76923.076923076922</v>
      </c>
      <c r="G11" s="833">
        <f t="shared" si="1"/>
        <v>140769.23076923078</v>
      </c>
      <c r="H11" s="834">
        <v>133731</v>
      </c>
      <c r="I11" s="835">
        <f t="shared" si="2"/>
        <v>140818.74299999999</v>
      </c>
    </row>
    <row r="12" spans="3:9">
      <c r="C12" s="774">
        <f t="shared" si="3"/>
        <v>4</v>
      </c>
      <c r="D12" s="774" t="s">
        <v>592</v>
      </c>
      <c r="E12" s="776">
        <v>2</v>
      </c>
      <c r="F12" s="775">
        <f t="shared" si="0"/>
        <v>76923.076923076922</v>
      </c>
      <c r="G12" s="833">
        <f t="shared" si="1"/>
        <v>153846.15384615384</v>
      </c>
      <c r="H12" s="834">
        <v>145788</v>
      </c>
      <c r="I12" s="835">
        <f t="shared" si="2"/>
        <v>153514.764</v>
      </c>
    </row>
    <row r="13" spans="3:9">
      <c r="C13" s="780">
        <f t="shared" si="3"/>
        <v>5</v>
      </c>
      <c r="D13" s="780" t="s">
        <v>120</v>
      </c>
      <c r="E13" s="780">
        <v>2.16</v>
      </c>
      <c r="F13" s="781">
        <f t="shared" si="0"/>
        <v>76923.076923076922</v>
      </c>
      <c r="G13" s="836">
        <f t="shared" si="1"/>
        <v>166153.84615384616</v>
      </c>
      <c r="H13" s="834">
        <v>157846</v>
      </c>
      <c r="I13" s="835">
        <f>H13*$I$7</f>
        <v>166211.83799999999</v>
      </c>
    </row>
    <row r="14" spans="3:9">
      <c r="C14" s="774">
        <f t="shared" si="3"/>
        <v>6</v>
      </c>
      <c r="D14" s="774" t="s">
        <v>36</v>
      </c>
      <c r="E14" s="774">
        <v>2.36</v>
      </c>
      <c r="F14" s="775">
        <f t="shared" si="0"/>
        <v>76923.076923076922</v>
      </c>
      <c r="G14" s="833">
        <f t="shared" si="1"/>
        <v>181538.46153846153</v>
      </c>
      <c r="H14" s="834">
        <v>172096</v>
      </c>
      <c r="I14" s="835">
        <f t="shared" si="2"/>
        <v>181217.08799999999</v>
      </c>
    </row>
    <row r="15" spans="3:9">
      <c r="C15" s="774">
        <f t="shared" si="3"/>
        <v>7</v>
      </c>
      <c r="D15" s="774" t="s">
        <v>508</v>
      </c>
      <c r="E15" s="774">
        <v>2.5499999999999998</v>
      </c>
      <c r="F15" s="775">
        <f t="shared" si="0"/>
        <v>76923.076923076922</v>
      </c>
      <c r="G15" s="833">
        <f t="shared" si="1"/>
        <v>196153.84615384613</v>
      </c>
      <c r="H15" s="834">
        <v>186346</v>
      </c>
      <c r="I15" s="835">
        <f t="shared" si="2"/>
        <v>196222.33799999999</v>
      </c>
    </row>
    <row r="16" spans="3:9">
      <c r="C16" s="774">
        <f t="shared" si="3"/>
        <v>8</v>
      </c>
      <c r="D16" s="774" t="s">
        <v>345</v>
      </c>
      <c r="E16" s="774">
        <v>2.78</v>
      </c>
      <c r="F16" s="775">
        <f t="shared" si="0"/>
        <v>76923.076923076922</v>
      </c>
      <c r="G16" s="833">
        <f t="shared" si="1"/>
        <v>213846.15384615381</v>
      </c>
      <c r="H16" s="834">
        <v>203154</v>
      </c>
      <c r="I16" s="835">
        <f t="shared" si="2"/>
        <v>213921.16199999998</v>
      </c>
    </row>
    <row r="17" spans="3:9">
      <c r="C17" s="774">
        <f t="shared" si="3"/>
        <v>9</v>
      </c>
      <c r="D17" s="774" t="s">
        <v>588</v>
      </c>
      <c r="E17" s="774">
        <v>3.01</v>
      </c>
      <c r="F17" s="775">
        <f t="shared" si="0"/>
        <v>76923.076923076922</v>
      </c>
      <c r="G17" s="833">
        <f t="shared" si="1"/>
        <v>231538.46153846153</v>
      </c>
      <c r="H17" s="834">
        <v>219962</v>
      </c>
      <c r="I17" s="835">
        <f t="shared" si="2"/>
        <v>231619.98599999998</v>
      </c>
    </row>
    <row r="18" spans="3:9">
      <c r="C18" s="774">
        <f t="shared" si="3"/>
        <v>10</v>
      </c>
      <c r="D18" s="774" t="s">
        <v>593</v>
      </c>
      <c r="E18" s="774">
        <v>3.29</v>
      </c>
      <c r="F18" s="775">
        <f t="shared" si="0"/>
        <v>76923.076923076922</v>
      </c>
      <c r="G18" s="833">
        <f t="shared" si="1"/>
        <v>253076.92307692306</v>
      </c>
      <c r="H18" s="834">
        <v>240058</v>
      </c>
      <c r="I18" s="835">
        <f t="shared" si="2"/>
        <v>252781.07399999999</v>
      </c>
    </row>
    <row r="19" spans="3:9">
      <c r="C19" s="774">
        <f t="shared" si="3"/>
        <v>11</v>
      </c>
      <c r="D19" s="774" t="s">
        <v>589</v>
      </c>
      <c r="E19" s="774">
        <v>3.56</v>
      </c>
      <c r="F19" s="775">
        <f t="shared" si="0"/>
        <v>76923.076923076922</v>
      </c>
      <c r="G19" s="833">
        <f t="shared" si="1"/>
        <v>273846.15384615387</v>
      </c>
      <c r="H19" s="834">
        <v>260154</v>
      </c>
      <c r="I19" s="835">
        <f t="shared" si="2"/>
        <v>273942.16200000001</v>
      </c>
    </row>
    <row r="20" spans="3:9">
      <c r="C20" s="774">
        <f t="shared" si="3"/>
        <v>12</v>
      </c>
      <c r="D20" s="774" t="s">
        <v>594</v>
      </c>
      <c r="E20" s="774">
        <v>3.88</v>
      </c>
      <c r="F20" s="775">
        <f t="shared" si="0"/>
        <v>76923.076923076922</v>
      </c>
      <c r="G20" s="833">
        <f t="shared" si="1"/>
        <v>298461.53846153844</v>
      </c>
      <c r="H20" s="834">
        <v>283538</v>
      </c>
      <c r="I20" s="835">
        <f t="shared" si="2"/>
        <v>298565.51399999997</v>
      </c>
    </row>
    <row r="21" spans="3:9">
      <c r="C21" s="774">
        <f t="shared" si="3"/>
        <v>13</v>
      </c>
      <c r="D21" s="774" t="s">
        <v>590</v>
      </c>
      <c r="E21" s="776">
        <v>4.2</v>
      </c>
      <c r="F21" s="775">
        <f t="shared" si="0"/>
        <v>76923.076923076922</v>
      </c>
      <c r="G21" s="833">
        <f t="shared" si="1"/>
        <v>323076.92307692306</v>
      </c>
      <c r="H21" s="834">
        <v>306923</v>
      </c>
      <c r="I21" s="835">
        <f t="shared" si="2"/>
        <v>323189.91899999999</v>
      </c>
    </row>
    <row r="23" spans="3:9">
      <c r="C23" s="772" t="s">
        <v>595</v>
      </c>
    </row>
    <row r="24" spans="3:9">
      <c r="C24" s="777" t="s">
        <v>597</v>
      </c>
    </row>
    <row r="25" spans="3:9">
      <c r="C25" s="777" t="s">
        <v>596</v>
      </c>
    </row>
    <row r="26" spans="3:9">
      <c r="C26" s="779" t="s">
        <v>598</v>
      </c>
    </row>
    <row r="30" spans="3:9" s="786" customFormat="1">
      <c r="C30" s="1498" t="s">
        <v>181</v>
      </c>
      <c r="D30" s="1498" t="s">
        <v>579</v>
      </c>
      <c r="E30" s="1499" t="s">
        <v>580</v>
      </c>
      <c r="F30" s="1500" t="s">
        <v>581</v>
      </c>
      <c r="G30" s="90" t="s">
        <v>582</v>
      </c>
      <c r="H30" s="1498" t="s">
        <v>584</v>
      </c>
    </row>
    <row r="31" spans="3:9" s="786" customFormat="1" ht="31.2">
      <c r="C31" s="1498"/>
      <c r="D31" s="1498"/>
      <c r="E31" s="1499"/>
      <c r="F31" s="1500"/>
      <c r="G31" s="829" t="s">
        <v>583</v>
      </c>
      <c r="H31" s="1498"/>
    </row>
    <row r="32" spans="3:9" s="786" customFormat="1">
      <c r="C32" s="1498"/>
      <c r="D32" s="1498"/>
      <c r="E32" s="1499"/>
      <c r="F32" s="90" t="s">
        <v>650</v>
      </c>
      <c r="G32" s="90" t="s">
        <v>585</v>
      </c>
      <c r="H32" s="1498"/>
      <c r="I32" s="786">
        <v>1.0529999999999999</v>
      </c>
    </row>
    <row r="33" spans="2:12" s="786" customFormat="1">
      <c r="C33" s="830" t="s">
        <v>21</v>
      </c>
      <c r="D33" s="830" t="s">
        <v>22</v>
      </c>
      <c r="E33" s="830" t="s">
        <v>23</v>
      </c>
      <c r="F33" s="830" t="s">
        <v>24</v>
      </c>
      <c r="G33" s="830" t="s">
        <v>25</v>
      </c>
      <c r="H33" s="830" t="s">
        <v>26</v>
      </c>
      <c r="I33" s="837" t="s">
        <v>603</v>
      </c>
    </row>
    <row r="34" spans="2:12" s="786" customFormat="1">
      <c r="C34" s="1492" t="s">
        <v>651</v>
      </c>
      <c r="D34" s="1493"/>
      <c r="E34" s="1493"/>
      <c r="F34" s="1493"/>
      <c r="G34" s="1493"/>
      <c r="H34" s="1494"/>
      <c r="I34" s="837"/>
    </row>
    <row r="35" spans="2:12" s="786" customFormat="1">
      <c r="B35" s="786" t="s">
        <v>651</v>
      </c>
      <c r="C35" s="830">
        <v>1</v>
      </c>
      <c r="D35" s="830" t="s">
        <v>120</v>
      </c>
      <c r="E35" s="830">
        <v>2.16</v>
      </c>
      <c r="F35" s="784">
        <f>ROUND(2000000/26,0)</f>
        <v>76923</v>
      </c>
      <c r="G35" s="838">
        <f>F35*E35</f>
        <v>166153.68000000002</v>
      </c>
      <c r="H35" s="838">
        <f>G35</f>
        <v>166153.68000000002</v>
      </c>
      <c r="I35" s="837"/>
    </row>
    <row r="36" spans="2:12" s="786" customFormat="1">
      <c r="C36" s="830">
        <v>2</v>
      </c>
      <c r="D36" s="830" t="s">
        <v>36</v>
      </c>
      <c r="E36" s="830">
        <v>2.36</v>
      </c>
      <c r="F36" s="784">
        <f>ROUND(2000000/26,0)</f>
        <v>76923</v>
      </c>
      <c r="G36" s="838">
        <f>F36*E36</f>
        <v>181538.28</v>
      </c>
      <c r="H36" s="838">
        <f t="shared" ref="H36:H50" si="4">G36</f>
        <v>181538.28</v>
      </c>
      <c r="I36" s="837"/>
    </row>
    <row r="37" spans="2:12" s="786" customFormat="1">
      <c r="C37" s="1492" t="s">
        <v>652</v>
      </c>
      <c r="D37" s="1493"/>
      <c r="E37" s="1493"/>
      <c r="F37" s="1493"/>
      <c r="G37" s="1493"/>
      <c r="H37" s="1494"/>
      <c r="I37" s="837"/>
    </row>
    <row r="38" spans="2:12" s="786" customFormat="1">
      <c r="B38" s="786" t="s">
        <v>653</v>
      </c>
      <c r="C38" s="782">
        <v>1</v>
      </c>
      <c r="D38" s="782" t="s">
        <v>586</v>
      </c>
      <c r="E38" s="783">
        <v>1.67</v>
      </c>
      <c r="F38" s="784">
        <f>ROUND(2000000/26,0)</f>
        <v>76923</v>
      </c>
      <c r="G38" s="784">
        <f>F38*E38</f>
        <v>128461.40999999999</v>
      </c>
      <c r="H38" s="838">
        <f t="shared" si="4"/>
        <v>128461.40999999999</v>
      </c>
      <c r="I38" s="785">
        <v>122038</v>
      </c>
      <c r="J38" s="785">
        <f>I38*$I$32</f>
        <v>128506.014</v>
      </c>
    </row>
    <row r="39" spans="2:12" s="786" customFormat="1">
      <c r="C39" s="782">
        <f>C38+1</f>
        <v>2</v>
      </c>
      <c r="D39" s="782" t="s">
        <v>591</v>
      </c>
      <c r="E39" s="783">
        <v>1.82</v>
      </c>
      <c r="F39" s="784">
        <f t="shared" ref="F39:F50" si="5">ROUND(2000000/26,0)</f>
        <v>76923</v>
      </c>
      <c r="G39" s="784">
        <f t="shared" ref="G39:G50" si="6">F39*E39</f>
        <v>139999.86000000002</v>
      </c>
      <c r="H39" s="838">
        <f t="shared" si="4"/>
        <v>139999.86000000002</v>
      </c>
      <c r="I39" s="785">
        <v>132635</v>
      </c>
      <c r="J39" s="785">
        <f t="shared" ref="J39:J50" si="7">I39*$I$32</f>
        <v>139664.655</v>
      </c>
    </row>
    <row r="40" spans="2:12" s="786" customFormat="1">
      <c r="C40" s="782">
        <f t="shared" ref="C40:C50" si="8">C39+1</f>
        <v>3</v>
      </c>
      <c r="D40" s="782" t="s">
        <v>587</v>
      </c>
      <c r="E40" s="783">
        <v>1.96</v>
      </c>
      <c r="F40" s="784">
        <f t="shared" si="5"/>
        <v>76923</v>
      </c>
      <c r="G40" s="784">
        <f t="shared" si="6"/>
        <v>150769.07999999999</v>
      </c>
      <c r="H40" s="838">
        <f t="shared" si="4"/>
        <v>150769.07999999999</v>
      </c>
      <c r="I40" s="785">
        <v>143231</v>
      </c>
      <c r="J40" s="785">
        <f t="shared" si="7"/>
        <v>150822.24299999999</v>
      </c>
    </row>
    <row r="41" spans="2:12" s="786" customFormat="1">
      <c r="C41" s="782">
        <f t="shared" si="8"/>
        <v>4</v>
      </c>
      <c r="D41" s="782" t="s">
        <v>592</v>
      </c>
      <c r="E41" s="783">
        <v>2.14</v>
      </c>
      <c r="F41" s="784">
        <f t="shared" si="5"/>
        <v>76923</v>
      </c>
      <c r="G41" s="784">
        <f t="shared" si="6"/>
        <v>164615.22</v>
      </c>
      <c r="H41" s="838">
        <f t="shared" si="4"/>
        <v>164615.22</v>
      </c>
      <c r="I41" s="785">
        <v>156019</v>
      </c>
      <c r="J41" s="785">
        <f t="shared" si="7"/>
        <v>164288.00699999998</v>
      </c>
    </row>
    <row r="42" spans="2:12" s="786" customFormat="1">
      <c r="C42" s="839">
        <f t="shared" si="8"/>
        <v>5</v>
      </c>
      <c r="D42" s="839" t="s">
        <v>120</v>
      </c>
      <c r="E42" s="840">
        <v>2.31</v>
      </c>
      <c r="F42" s="841">
        <f t="shared" si="5"/>
        <v>76923</v>
      </c>
      <c r="G42" s="841">
        <f t="shared" si="6"/>
        <v>177692.13</v>
      </c>
      <c r="H42" s="842">
        <f t="shared" si="4"/>
        <v>177692.13</v>
      </c>
      <c r="I42" s="785">
        <v>168808</v>
      </c>
      <c r="J42" s="785">
        <f t="shared" si="7"/>
        <v>177754.82399999999</v>
      </c>
    </row>
    <row r="43" spans="2:12" s="786" customFormat="1">
      <c r="C43" s="839">
        <f t="shared" si="8"/>
        <v>6</v>
      </c>
      <c r="D43" s="839" t="s">
        <v>36</v>
      </c>
      <c r="E43" s="840">
        <v>2.5099999999999998</v>
      </c>
      <c r="F43" s="841">
        <f t="shared" si="5"/>
        <v>76923</v>
      </c>
      <c r="G43" s="841">
        <f t="shared" si="6"/>
        <v>193076.72999999998</v>
      </c>
      <c r="H43" s="842">
        <f t="shared" si="4"/>
        <v>193076.72999999998</v>
      </c>
      <c r="I43" s="785">
        <v>183423</v>
      </c>
      <c r="J43" s="785">
        <f t="shared" si="7"/>
        <v>193144.41899999999</v>
      </c>
    </row>
    <row r="44" spans="2:12" s="786" customFormat="1">
      <c r="C44" s="839">
        <f t="shared" si="8"/>
        <v>7</v>
      </c>
      <c r="D44" s="839" t="s">
        <v>508</v>
      </c>
      <c r="E44" s="840">
        <v>2.71</v>
      </c>
      <c r="F44" s="841">
        <f t="shared" si="5"/>
        <v>76923</v>
      </c>
      <c r="G44" s="841">
        <f t="shared" si="6"/>
        <v>208461.33</v>
      </c>
      <c r="H44" s="842">
        <f t="shared" si="4"/>
        <v>208461.33</v>
      </c>
      <c r="I44" s="785">
        <v>198038</v>
      </c>
      <c r="J44" s="785">
        <f t="shared" si="7"/>
        <v>208534.014</v>
      </c>
    </row>
    <row r="45" spans="2:12" s="786" customFormat="1">
      <c r="C45" s="839">
        <f t="shared" si="8"/>
        <v>8</v>
      </c>
      <c r="D45" s="839" t="s">
        <v>345</v>
      </c>
      <c r="E45" s="840">
        <v>2.95</v>
      </c>
      <c r="F45" s="841">
        <f t="shared" si="5"/>
        <v>76923</v>
      </c>
      <c r="G45" s="841">
        <f t="shared" si="6"/>
        <v>226922.85</v>
      </c>
      <c r="H45" s="842">
        <f t="shared" si="4"/>
        <v>226922.85</v>
      </c>
      <c r="I45" s="785">
        <v>215577</v>
      </c>
      <c r="J45" s="785">
        <f t="shared" si="7"/>
        <v>227002.58099999998</v>
      </c>
    </row>
    <row r="46" spans="2:12" s="786" customFormat="1">
      <c r="C46" s="782">
        <f t="shared" si="8"/>
        <v>9</v>
      </c>
      <c r="D46" s="782" t="s">
        <v>588</v>
      </c>
      <c r="E46" s="783">
        <v>3.19</v>
      </c>
      <c r="F46" s="784">
        <f t="shared" si="5"/>
        <v>76923</v>
      </c>
      <c r="G46" s="784">
        <f t="shared" si="6"/>
        <v>245384.37</v>
      </c>
      <c r="H46" s="838">
        <f t="shared" si="4"/>
        <v>245384.37</v>
      </c>
      <c r="I46" s="785">
        <v>233115</v>
      </c>
      <c r="J46" s="785">
        <f t="shared" si="7"/>
        <v>245470.09499999997</v>
      </c>
      <c r="L46" s="786">
        <f>11*75</f>
        <v>825</v>
      </c>
    </row>
    <row r="47" spans="2:12" s="786" customFormat="1">
      <c r="C47" s="782">
        <f t="shared" si="8"/>
        <v>10</v>
      </c>
      <c r="D47" s="782" t="s">
        <v>593</v>
      </c>
      <c r="E47" s="783">
        <v>3.47</v>
      </c>
      <c r="F47" s="784">
        <f t="shared" si="5"/>
        <v>76923</v>
      </c>
      <c r="G47" s="784">
        <f t="shared" si="6"/>
        <v>266922.81</v>
      </c>
      <c r="H47" s="838">
        <f t="shared" si="4"/>
        <v>266922.81</v>
      </c>
      <c r="I47" s="785">
        <v>253212</v>
      </c>
      <c r="J47" s="785">
        <f t="shared" si="7"/>
        <v>266632.23599999998</v>
      </c>
    </row>
    <row r="48" spans="2:12" s="786" customFormat="1">
      <c r="C48" s="782">
        <f t="shared" si="8"/>
        <v>11</v>
      </c>
      <c r="D48" s="782" t="s">
        <v>589</v>
      </c>
      <c r="E48" s="783">
        <v>3.74</v>
      </c>
      <c r="F48" s="784">
        <f t="shared" si="5"/>
        <v>76923</v>
      </c>
      <c r="G48" s="784">
        <f t="shared" si="6"/>
        <v>287692.02</v>
      </c>
      <c r="H48" s="838">
        <f t="shared" si="4"/>
        <v>287692.02</v>
      </c>
      <c r="I48" s="785">
        <v>273308</v>
      </c>
      <c r="J48" s="785">
        <f t="shared" si="7"/>
        <v>287793.32399999996</v>
      </c>
    </row>
    <row r="49" spans="3:10" s="786" customFormat="1">
      <c r="C49" s="782">
        <f t="shared" si="8"/>
        <v>12</v>
      </c>
      <c r="D49" s="782" t="s">
        <v>594</v>
      </c>
      <c r="E49" s="783">
        <v>4.07</v>
      </c>
      <c r="F49" s="784">
        <f t="shared" si="5"/>
        <v>76923</v>
      </c>
      <c r="G49" s="784">
        <f t="shared" si="6"/>
        <v>313076.61000000004</v>
      </c>
      <c r="H49" s="838">
        <f t="shared" si="4"/>
        <v>313076.61000000004</v>
      </c>
      <c r="I49" s="785">
        <v>297423</v>
      </c>
      <c r="J49" s="785">
        <f t="shared" si="7"/>
        <v>313186.41899999999</v>
      </c>
    </row>
    <row r="50" spans="3:10" s="786" customFormat="1">
      <c r="C50" s="782">
        <f t="shared" si="8"/>
        <v>13</v>
      </c>
      <c r="D50" s="782" t="s">
        <v>590</v>
      </c>
      <c r="E50" s="783">
        <v>4.4000000000000004</v>
      </c>
      <c r="F50" s="784">
        <f t="shared" si="5"/>
        <v>76923</v>
      </c>
      <c r="G50" s="784">
        <f t="shared" si="6"/>
        <v>338461.2</v>
      </c>
      <c r="H50" s="838">
        <f t="shared" si="4"/>
        <v>338461.2</v>
      </c>
      <c r="I50" s="785">
        <v>321538</v>
      </c>
      <c r="J50" s="785">
        <f t="shared" si="7"/>
        <v>338579.51399999997</v>
      </c>
    </row>
    <row r="51" spans="3:10">
      <c r="D51" s="778"/>
      <c r="E51" s="778"/>
    </row>
    <row r="52" spans="3:10">
      <c r="C52" s="772" t="s">
        <v>595</v>
      </c>
    </row>
    <row r="53" spans="3:10">
      <c r="C53" s="777" t="s">
        <v>600</v>
      </c>
    </row>
    <row r="54" spans="3:10">
      <c r="C54" s="777" t="s">
        <v>601</v>
      </c>
    </row>
    <row r="55" spans="3:10">
      <c r="C55" s="779" t="s">
        <v>602</v>
      </c>
    </row>
    <row r="59" spans="3:10">
      <c r="E59" s="772">
        <f>79.8/2</f>
        <v>39.9</v>
      </c>
    </row>
    <row r="60" spans="3:10">
      <c r="E60" s="772">
        <f>79.8-40</f>
        <v>39.799999999999997</v>
      </c>
    </row>
    <row r="61" spans="3:10">
      <c r="E61" s="772">
        <f>76.3/2</f>
        <v>38.15</v>
      </c>
    </row>
    <row r="62" spans="3:10">
      <c r="E62" s="772">
        <f>76.3-38</f>
        <v>38.299999999999997</v>
      </c>
    </row>
  </sheetData>
  <mergeCells count="12">
    <mergeCell ref="C34:H34"/>
    <mergeCell ref="C37:H37"/>
    <mergeCell ref="C5:C7"/>
    <mergeCell ref="D5:D7"/>
    <mergeCell ref="E5:E7"/>
    <mergeCell ref="F5:F6"/>
    <mergeCell ref="H5:H7"/>
    <mergeCell ref="C30:C32"/>
    <mergeCell ref="D30:D32"/>
    <mergeCell ref="E30:E32"/>
    <mergeCell ref="F30:F31"/>
    <mergeCell ref="H30:H3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E8:H33"/>
  <sheetViews>
    <sheetView topLeftCell="A3" workbookViewId="0">
      <selection activeCell="H9" sqref="H9:H11"/>
    </sheetView>
  </sheetViews>
  <sheetFormatPr defaultColWidth="9.109375" defaultRowHeight="15.6"/>
  <cols>
    <col min="1" max="4" width="9.109375" style="772"/>
    <col min="5" max="5" width="72.88671875" style="772" customWidth="1"/>
    <col min="6" max="6" width="9.109375" style="772"/>
    <col min="7" max="7" width="0" style="772" hidden="1" customWidth="1"/>
    <col min="8" max="16384" width="9.109375" style="772"/>
  </cols>
  <sheetData>
    <row r="8" spans="5:8" s="1303" customFormat="1" ht="18">
      <c r="E8" s="1306" t="s">
        <v>769</v>
      </c>
      <c r="F8" s="1306" t="s">
        <v>169</v>
      </c>
      <c r="G8" s="1306">
        <v>12162</v>
      </c>
      <c r="H8" s="1305">
        <v>12162</v>
      </c>
    </row>
    <row r="9" spans="5:8" s="1303" customFormat="1" ht="18">
      <c r="E9" s="1306" t="s">
        <v>507</v>
      </c>
      <c r="F9" s="1306" t="s">
        <v>169</v>
      </c>
      <c r="G9" s="1306">
        <v>416</v>
      </c>
      <c r="H9" s="1501">
        <v>2141</v>
      </c>
    </row>
    <row r="10" spans="5:8" s="1303" customFormat="1" ht="18">
      <c r="E10" s="1306" t="s">
        <v>342</v>
      </c>
      <c r="F10" s="1306" t="s">
        <v>169</v>
      </c>
      <c r="G10" s="1306">
        <v>1665</v>
      </c>
      <c r="H10" s="1501"/>
    </row>
    <row r="11" spans="5:8" s="1303" customFormat="1" ht="18">
      <c r="E11" s="1306" t="s">
        <v>557</v>
      </c>
      <c r="F11" s="1306" t="s">
        <v>169</v>
      </c>
      <c r="G11" s="1306">
        <v>60</v>
      </c>
      <c r="H11" s="1501"/>
    </row>
    <row r="12" spans="5:8" s="1303" customFormat="1" ht="18">
      <c r="E12" s="1306" t="s">
        <v>504</v>
      </c>
      <c r="F12" s="1306" t="s">
        <v>169</v>
      </c>
      <c r="G12" s="1306">
        <v>6</v>
      </c>
      <c r="H12" s="1305">
        <v>6</v>
      </c>
    </row>
    <row r="13" spans="5:8" s="1303" customFormat="1" ht="18">
      <c r="E13" s="1306" t="s">
        <v>545</v>
      </c>
      <c r="F13" s="1306" t="s">
        <v>169</v>
      </c>
      <c r="G13" s="1306">
        <v>21.5</v>
      </c>
      <c r="H13" s="1305">
        <v>21.5</v>
      </c>
    </row>
    <row r="14" spans="5:8" s="1303" customFormat="1" ht="18">
      <c r="E14" s="1306" t="s">
        <v>701</v>
      </c>
      <c r="F14" s="1306" t="s">
        <v>77</v>
      </c>
      <c r="G14" s="1306">
        <v>67</v>
      </c>
      <c r="H14" s="1305">
        <v>67</v>
      </c>
    </row>
    <row r="15" spans="5:8" s="1303" customFormat="1" ht="18">
      <c r="E15" s="1306" t="s">
        <v>921</v>
      </c>
      <c r="F15" s="1306" t="s">
        <v>157</v>
      </c>
      <c r="G15" s="1306">
        <v>12</v>
      </c>
      <c r="H15" s="1501">
        <v>172</v>
      </c>
    </row>
    <row r="16" spans="5:8" s="1303" customFormat="1" ht="18">
      <c r="E16" s="1306" t="s">
        <v>923</v>
      </c>
      <c r="F16" s="1306" t="s">
        <v>157</v>
      </c>
      <c r="G16" s="1306">
        <v>160</v>
      </c>
      <c r="H16" s="1501"/>
    </row>
    <row r="17" spans="5:8" s="1304" customFormat="1" ht="18">
      <c r="E17" s="1307" t="s">
        <v>711</v>
      </c>
      <c r="F17" s="1307" t="s">
        <v>157</v>
      </c>
      <c r="G17" s="1307">
        <v>29</v>
      </c>
      <c r="H17" s="1502">
        <v>102</v>
      </c>
    </row>
    <row r="18" spans="5:8" s="1304" customFormat="1" ht="18">
      <c r="E18" s="1307" t="s">
        <v>826</v>
      </c>
      <c r="F18" s="1307" t="s">
        <v>157</v>
      </c>
      <c r="G18" s="1307">
        <v>52</v>
      </c>
      <c r="H18" s="1503"/>
    </row>
    <row r="19" spans="5:8" s="1304" customFormat="1" ht="18">
      <c r="E19" s="1307" t="s">
        <v>922</v>
      </c>
      <c r="F19" s="1307" t="s">
        <v>157</v>
      </c>
      <c r="G19" s="1307">
        <v>21</v>
      </c>
      <c r="H19" s="1504"/>
    </row>
    <row r="20" spans="5:8" s="1303" customFormat="1" ht="18">
      <c r="E20" s="1306" t="s">
        <v>839</v>
      </c>
      <c r="F20" s="1306" t="s">
        <v>157</v>
      </c>
      <c r="G20" s="1306">
        <v>10</v>
      </c>
      <c r="H20" s="1305">
        <v>10</v>
      </c>
    </row>
    <row r="21" spans="5:8" s="1303" customFormat="1" ht="18">
      <c r="E21" s="1306" t="s">
        <v>825</v>
      </c>
      <c r="F21" s="1306" t="s">
        <v>157</v>
      </c>
      <c r="G21" s="1306">
        <v>52</v>
      </c>
      <c r="H21" s="1305">
        <v>52</v>
      </c>
    </row>
    <row r="22" spans="5:8" s="1303" customFormat="1" ht="18">
      <c r="E22" s="1306" t="s">
        <v>762</v>
      </c>
      <c r="F22" s="1306" t="s">
        <v>77</v>
      </c>
      <c r="G22" s="1306">
        <v>1</v>
      </c>
      <c r="H22" s="1305">
        <v>1</v>
      </c>
    </row>
    <row r="23" spans="5:8" s="1303" customFormat="1" ht="18">
      <c r="E23" s="1306" t="s">
        <v>719</v>
      </c>
      <c r="F23" s="1306" t="s">
        <v>157</v>
      </c>
      <c r="G23" s="1306">
        <v>3</v>
      </c>
      <c r="H23" s="1308">
        <v>146</v>
      </c>
    </row>
    <row r="24" spans="5:8" s="1303" customFormat="1" ht="18">
      <c r="E24" s="1306" t="s">
        <v>555</v>
      </c>
      <c r="F24" s="1306" t="s">
        <v>157</v>
      </c>
      <c r="G24" s="1306">
        <v>111</v>
      </c>
      <c r="H24" s="1309"/>
    </row>
    <row r="25" spans="5:8" s="1303" customFormat="1" ht="18">
      <c r="E25" s="1306" t="s">
        <v>717</v>
      </c>
      <c r="F25" s="1306" t="s">
        <v>157</v>
      </c>
      <c r="G25" s="1306">
        <v>32</v>
      </c>
      <c r="H25" s="1310"/>
    </row>
    <row r="26" spans="5:8" s="1303" customFormat="1" ht="18">
      <c r="E26" s="1306" t="s">
        <v>656</v>
      </c>
      <c r="F26" s="1306" t="s">
        <v>157</v>
      </c>
      <c r="G26" s="1306">
        <v>12</v>
      </c>
      <c r="H26" s="1308">
        <v>41</v>
      </c>
    </row>
    <row r="27" spans="5:8" s="1303" customFormat="1" ht="18">
      <c r="E27" s="1306" t="s">
        <v>656</v>
      </c>
      <c r="F27" s="1306" t="s">
        <v>157</v>
      </c>
      <c r="G27" s="1306">
        <v>29</v>
      </c>
      <c r="H27" s="1310"/>
    </row>
    <row r="28" spans="5:8" s="1303" customFormat="1" ht="18">
      <c r="E28" s="1306" t="s">
        <v>705</v>
      </c>
      <c r="F28" s="1306" t="s">
        <v>157</v>
      </c>
      <c r="G28" s="1306">
        <v>31</v>
      </c>
      <c r="H28" s="1305">
        <v>31</v>
      </c>
    </row>
    <row r="29" spans="5:8" s="1303" customFormat="1" ht="18">
      <c r="E29" s="1306" t="s">
        <v>329</v>
      </c>
      <c r="F29" s="1306" t="s">
        <v>501</v>
      </c>
      <c r="G29" s="1306">
        <v>4</v>
      </c>
      <c r="H29" s="1308">
        <v>74</v>
      </c>
    </row>
    <row r="30" spans="5:8" s="1303" customFormat="1" ht="18">
      <c r="E30" s="1306" t="s">
        <v>329</v>
      </c>
      <c r="F30" s="1306" t="s">
        <v>501</v>
      </c>
      <c r="G30" s="1306">
        <v>70</v>
      </c>
      <c r="H30" s="1310"/>
    </row>
    <row r="31" spans="5:8" s="1303" customFormat="1" ht="18">
      <c r="E31" s="1306" t="s">
        <v>924</v>
      </c>
      <c r="F31" s="1306" t="s">
        <v>157</v>
      </c>
      <c r="G31" s="1306">
        <v>10</v>
      </c>
      <c r="H31" s="1305">
        <v>10</v>
      </c>
    </row>
    <row r="32" spans="5:8" s="1303" customFormat="1" ht="18">
      <c r="E32" s="1306" t="s">
        <v>611</v>
      </c>
      <c r="F32" s="1306" t="s">
        <v>9</v>
      </c>
      <c r="G32" s="1306">
        <v>19</v>
      </c>
      <c r="H32" s="1305">
        <v>19</v>
      </c>
    </row>
    <row r="33" spans="5:8" s="1303" customFormat="1" ht="18">
      <c r="E33" s="1306" t="s">
        <v>498</v>
      </c>
      <c r="F33" s="1306" t="s">
        <v>166</v>
      </c>
      <c r="G33" s="1306">
        <v>31</v>
      </c>
      <c r="H33" s="1305">
        <v>31</v>
      </c>
    </row>
  </sheetData>
  <sortState xmlns:xlrd2="http://schemas.microsoft.com/office/spreadsheetml/2017/richdata2" ref="E8:G117">
    <sortCondition ref="E8:E117"/>
    <sortCondition ref="G8:G117"/>
  </sortState>
  <mergeCells count="3">
    <mergeCell ref="H9:H11"/>
    <mergeCell ref="H15:H16"/>
    <mergeCell ref="H17:H1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D5:H24"/>
  <sheetViews>
    <sheetView topLeftCell="A7" workbookViewId="0">
      <selection activeCell="E9" sqref="E9"/>
    </sheetView>
  </sheetViews>
  <sheetFormatPr defaultColWidth="9.109375" defaultRowHeight="15.6"/>
  <cols>
    <col min="1" max="4" width="9.109375" style="772"/>
    <col min="5" max="5" width="72.88671875" style="772" customWidth="1"/>
    <col min="6" max="6" width="9.109375" style="772"/>
    <col min="7" max="7" width="0" style="772" hidden="1" customWidth="1"/>
    <col min="8" max="8" width="13.109375" style="772" bestFit="1" customWidth="1"/>
    <col min="9" max="16384" width="9.109375" style="772"/>
  </cols>
  <sheetData>
    <row r="5" spans="4:8" ht="18">
      <c r="D5" s="1316" t="str">
        <f>BIA!A11</f>
        <v>Tên công trình: Sửa chữa đường dây trung thế huyện Cẩm Mỹ năm 2020.</v>
      </c>
    </row>
    <row r="7" spans="4:8">
      <c r="D7" s="1315" t="s">
        <v>181</v>
      </c>
      <c r="E7" s="1315" t="s">
        <v>925</v>
      </c>
      <c r="F7" s="1315" t="s">
        <v>926</v>
      </c>
      <c r="G7" s="1315"/>
      <c r="H7" s="1315" t="s">
        <v>927</v>
      </c>
    </row>
    <row r="8" spans="4:8" s="1303" customFormat="1" ht="18">
      <c r="D8" s="780">
        <v>1</v>
      </c>
      <c r="E8" s="1313" t="s">
        <v>769</v>
      </c>
      <c r="F8" s="1313" t="s">
        <v>169</v>
      </c>
      <c r="G8" s="1313">
        <v>12162</v>
      </c>
      <c r="H8" s="1314">
        <v>12162</v>
      </c>
    </row>
    <row r="9" spans="4:8" s="1303" customFormat="1" ht="18">
      <c r="D9" s="780">
        <f>D8+1</f>
        <v>2</v>
      </c>
      <c r="E9" s="1306" t="s">
        <v>507</v>
      </c>
      <c r="F9" s="1306" t="s">
        <v>169</v>
      </c>
      <c r="G9" s="1306">
        <v>416</v>
      </c>
      <c r="H9" s="1311">
        <v>2141</v>
      </c>
    </row>
    <row r="10" spans="4:8" s="1303" customFormat="1" ht="18">
      <c r="D10" s="780">
        <f t="shared" ref="D10:D24" si="0">D9+1</f>
        <v>3</v>
      </c>
      <c r="E10" s="1306" t="s">
        <v>504</v>
      </c>
      <c r="F10" s="1306" t="s">
        <v>169</v>
      </c>
      <c r="G10" s="1306">
        <v>6</v>
      </c>
      <c r="H10" s="1305">
        <v>6</v>
      </c>
    </row>
    <row r="11" spans="4:8" s="1303" customFormat="1" ht="18">
      <c r="D11" s="780">
        <f t="shared" si="0"/>
        <v>4</v>
      </c>
      <c r="E11" s="1306" t="s">
        <v>545</v>
      </c>
      <c r="F11" s="1306" t="s">
        <v>169</v>
      </c>
      <c r="G11" s="1306">
        <v>21.5</v>
      </c>
      <c r="H11" s="1305">
        <v>21.5</v>
      </c>
    </row>
    <row r="12" spans="4:8" s="1303" customFormat="1" ht="18">
      <c r="D12" s="780">
        <f t="shared" si="0"/>
        <v>5</v>
      </c>
      <c r="E12" s="1306" t="s">
        <v>701</v>
      </c>
      <c r="F12" s="1306" t="s">
        <v>77</v>
      </c>
      <c r="G12" s="1306">
        <v>67</v>
      </c>
      <c r="H12" s="1305">
        <v>67</v>
      </c>
    </row>
    <row r="13" spans="4:8" s="1303" customFormat="1" ht="18">
      <c r="D13" s="780">
        <f t="shared" si="0"/>
        <v>6</v>
      </c>
      <c r="E13" s="1306" t="s">
        <v>921</v>
      </c>
      <c r="F13" s="1306" t="s">
        <v>157</v>
      </c>
      <c r="G13" s="1306">
        <v>12</v>
      </c>
      <c r="H13" s="1311">
        <v>172</v>
      </c>
    </row>
    <row r="14" spans="4:8" s="1304" customFormat="1" ht="18">
      <c r="D14" s="780">
        <f t="shared" si="0"/>
        <v>7</v>
      </c>
      <c r="E14" s="1307" t="s">
        <v>711</v>
      </c>
      <c r="F14" s="1307" t="s">
        <v>157</v>
      </c>
      <c r="G14" s="1307">
        <v>29</v>
      </c>
      <c r="H14" s="1312">
        <v>102</v>
      </c>
    </row>
    <row r="15" spans="4:8" s="1303" customFormat="1" ht="18">
      <c r="D15" s="780">
        <f t="shared" si="0"/>
        <v>8</v>
      </c>
      <c r="E15" s="1306" t="s">
        <v>839</v>
      </c>
      <c r="F15" s="1306" t="s">
        <v>157</v>
      </c>
      <c r="G15" s="1306">
        <v>10</v>
      </c>
      <c r="H15" s="1305">
        <v>10</v>
      </c>
    </row>
    <row r="16" spans="4:8" s="1303" customFormat="1" ht="18">
      <c r="D16" s="780">
        <f t="shared" si="0"/>
        <v>9</v>
      </c>
      <c r="E16" s="1306" t="s">
        <v>825</v>
      </c>
      <c r="F16" s="1306" t="s">
        <v>157</v>
      </c>
      <c r="G16" s="1306">
        <v>52</v>
      </c>
      <c r="H16" s="1305">
        <v>52</v>
      </c>
    </row>
    <row r="17" spans="4:8" s="1303" customFormat="1" ht="18">
      <c r="D17" s="780">
        <f t="shared" si="0"/>
        <v>10</v>
      </c>
      <c r="E17" s="1306" t="s">
        <v>762</v>
      </c>
      <c r="F17" s="1306" t="s">
        <v>77</v>
      </c>
      <c r="G17" s="1306">
        <v>1</v>
      </c>
      <c r="H17" s="1305">
        <v>1</v>
      </c>
    </row>
    <row r="18" spans="4:8" s="1303" customFormat="1" ht="18">
      <c r="D18" s="780">
        <f t="shared" si="0"/>
        <v>11</v>
      </c>
      <c r="E18" s="1306" t="s">
        <v>719</v>
      </c>
      <c r="F18" s="1306" t="s">
        <v>157</v>
      </c>
      <c r="G18" s="1306">
        <v>3</v>
      </c>
      <c r="H18" s="1308">
        <v>146</v>
      </c>
    </row>
    <row r="19" spans="4:8" s="1303" customFormat="1" ht="18">
      <c r="D19" s="780">
        <f t="shared" si="0"/>
        <v>12</v>
      </c>
      <c r="E19" s="1306" t="s">
        <v>656</v>
      </c>
      <c r="F19" s="1306" t="s">
        <v>157</v>
      </c>
      <c r="G19" s="1306">
        <v>12</v>
      </c>
      <c r="H19" s="1308">
        <v>41</v>
      </c>
    </row>
    <row r="20" spans="4:8" s="1303" customFormat="1" ht="18">
      <c r="D20" s="780">
        <f t="shared" si="0"/>
        <v>13</v>
      </c>
      <c r="E20" s="1306" t="s">
        <v>705</v>
      </c>
      <c r="F20" s="1306" t="s">
        <v>157</v>
      </c>
      <c r="G20" s="1306">
        <v>31</v>
      </c>
      <c r="H20" s="1305">
        <v>31</v>
      </c>
    </row>
    <row r="21" spans="4:8" s="1303" customFormat="1" ht="18">
      <c r="D21" s="780">
        <f t="shared" si="0"/>
        <v>14</v>
      </c>
      <c r="E21" s="1306" t="s">
        <v>329</v>
      </c>
      <c r="F21" s="1306" t="s">
        <v>501</v>
      </c>
      <c r="G21" s="1306">
        <v>4</v>
      </c>
      <c r="H21" s="1308">
        <v>74</v>
      </c>
    </row>
    <row r="22" spans="4:8" s="1303" customFormat="1" ht="18">
      <c r="D22" s="780">
        <f t="shared" si="0"/>
        <v>15</v>
      </c>
      <c r="E22" s="1306" t="s">
        <v>924</v>
      </c>
      <c r="F22" s="1306" t="s">
        <v>157</v>
      </c>
      <c r="G22" s="1306">
        <v>10</v>
      </c>
      <c r="H22" s="1305">
        <v>10</v>
      </c>
    </row>
    <row r="23" spans="4:8" s="1303" customFormat="1" ht="18">
      <c r="D23" s="780">
        <f t="shared" si="0"/>
        <v>16</v>
      </c>
      <c r="E23" s="1306" t="s">
        <v>611</v>
      </c>
      <c r="F23" s="1306" t="s">
        <v>9</v>
      </c>
      <c r="G23" s="1306">
        <v>19</v>
      </c>
      <c r="H23" s="1305">
        <v>19</v>
      </c>
    </row>
    <row r="24" spans="4:8" s="1303" customFormat="1" ht="18">
      <c r="D24" s="780">
        <f t="shared" si="0"/>
        <v>17</v>
      </c>
      <c r="E24" s="1306" t="s">
        <v>498</v>
      </c>
      <c r="F24" s="1306" t="s">
        <v>166</v>
      </c>
      <c r="G24" s="1306">
        <v>31</v>
      </c>
      <c r="H24" s="1305">
        <v>31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fitToHeight="0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view="pageBreakPreview" zoomScale="64" zoomScaleNormal="66" zoomScaleSheetLayoutView="64" workbookViewId="0">
      <selection activeCell="G12" sqref="G12"/>
    </sheetView>
  </sheetViews>
  <sheetFormatPr defaultColWidth="28.5546875" defaultRowHeight="13.2"/>
  <cols>
    <col min="1" max="1" width="10.33203125" customWidth="1"/>
    <col min="2" max="2" width="49.5546875" customWidth="1"/>
    <col min="3" max="3" width="22.88671875" customWidth="1"/>
    <col min="4" max="4" width="28.5546875" hidden="1" customWidth="1"/>
    <col min="5" max="5" width="31.109375" customWidth="1"/>
    <col min="6" max="6" width="0.33203125" hidden="1" customWidth="1"/>
    <col min="7" max="7" width="27.44140625" customWidth="1"/>
    <col min="8" max="8" width="22" customWidth="1"/>
    <col min="9" max="9" width="30.33203125" customWidth="1"/>
  </cols>
  <sheetData>
    <row r="1" spans="1:10" ht="13.8">
      <c r="A1" s="270"/>
      <c r="B1" s="270"/>
      <c r="C1" s="270"/>
      <c r="D1" s="270"/>
      <c r="E1" s="270"/>
      <c r="F1" s="270"/>
      <c r="G1" s="270"/>
      <c r="H1" s="280"/>
    </row>
    <row r="2" spans="1:10" ht="17.399999999999999">
      <c r="A2" s="1395" t="s">
        <v>766</v>
      </c>
      <c r="B2" s="1395"/>
      <c r="C2" s="1395"/>
      <c r="D2" s="1395"/>
      <c r="E2" s="1395"/>
      <c r="F2" s="1395"/>
      <c r="G2" s="1395"/>
      <c r="H2" s="1395"/>
      <c r="I2" s="1395"/>
    </row>
    <row r="3" spans="1:10" ht="17.399999999999999">
      <c r="A3" s="1395" t="str">
        <f>BIA!A11</f>
        <v>Tên công trình: Sửa chữa đường dây trung thế huyện Cẩm Mỹ năm 2020.</v>
      </c>
      <c r="B3" s="1395"/>
      <c r="C3" s="1395"/>
      <c r="D3" s="1395"/>
      <c r="E3" s="1395"/>
      <c r="F3" s="1395"/>
      <c r="G3" s="1395"/>
      <c r="H3" s="1395"/>
      <c r="I3" s="1395"/>
    </row>
    <row r="4" spans="1:10" ht="17.399999999999999" hidden="1">
      <c r="A4" s="1395" t="str">
        <f>BIA!A14</f>
        <v>Mã số tài sản: 1.37013000.0001217; 1.37013000.0001215; 1.37013000.0001216.</v>
      </c>
      <c r="B4" s="1395"/>
      <c r="C4" s="1395"/>
      <c r="D4" s="1395"/>
      <c r="E4" s="1395"/>
      <c r="F4" s="1395"/>
      <c r="G4" s="1395"/>
      <c r="H4" s="1395"/>
      <c r="I4" s="1395"/>
    </row>
    <row r="5" spans="1:10" ht="17.399999999999999">
      <c r="A5" s="1395" t="s">
        <v>609</v>
      </c>
      <c r="B5" s="1395"/>
      <c r="C5" s="1395"/>
      <c r="D5" s="1395"/>
      <c r="E5" s="1395"/>
      <c r="F5" s="1395"/>
      <c r="G5" s="1395"/>
      <c r="H5" s="1395"/>
      <c r="I5" s="1395"/>
    </row>
    <row r="6" spans="1:10" ht="15.6">
      <c r="A6" s="271"/>
      <c r="B6" s="272"/>
      <c r="C6" s="272"/>
      <c r="D6" s="272"/>
      <c r="E6" s="272"/>
      <c r="F6" s="272"/>
      <c r="G6" s="272"/>
    </row>
    <row r="7" spans="1:10" s="704" customFormat="1" ht="15.6">
      <c r="A7" s="1396" t="s">
        <v>181</v>
      </c>
      <c r="B7" s="1396" t="s">
        <v>315</v>
      </c>
      <c r="C7" s="1397" t="s">
        <v>316</v>
      </c>
      <c r="D7" s="1397"/>
      <c r="E7" s="1397" t="s">
        <v>317</v>
      </c>
      <c r="F7" s="1397"/>
      <c r="G7" s="1397" t="s">
        <v>318</v>
      </c>
      <c r="H7" s="1397" t="s">
        <v>319</v>
      </c>
      <c r="I7" s="1397" t="s">
        <v>320</v>
      </c>
    </row>
    <row r="8" spans="1:10" s="704" customFormat="1" ht="15.6">
      <c r="A8" s="1396"/>
      <c r="B8" s="1396"/>
      <c r="C8" s="1397"/>
      <c r="D8" s="1397"/>
      <c r="E8" s="1397"/>
      <c r="F8" s="1397"/>
      <c r="G8" s="1397"/>
      <c r="H8" s="1397"/>
      <c r="I8" s="1397"/>
    </row>
    <row r="9" spans="1:10" s="704" customFormat="1" ht="23.25" customHeight="1">
      <c r="A9" s="741" t="s">
        <v>107</v>
      </c>
      <c r="B9" s="752" t="s">
        <v>402</v>
      </c>
      <c r="C9" s="743" t="s">
        <v>558</v>
      </c>
      <c r="D9" s="742"/>
      <c r="E9" s="743" t="s">
        <v>736</v>
      </c>
      <c r="F9" s="742"/>
      <c r="G9" s="742"/>
      <c r="H9" s="742"/>
      <c r="I9" s="1318">
        <f>I10+I11+I12</f>
        <v>1418795486</v>
      </c>
    </row>
    <row r="10" spans="1:10" s="210" customFormat="1" ht="50.4">
      <c r="A10" s="557" t="s">
        <v>108</v>
      </c>
      <c r="B10" s="558" t="s">
        <v>933</v>
      </c>
      <c r="C10" s="559" t="s">
        <v>130</v>
      </c>
      <c r="D10" s="560"/>
      <c r="E10" s="561" t="s">
        <v>513</v>
      </c>
      <c r="F10" s="562"/>
      <c r="G10" s="563">
        <f>'3.TH CHI TIET'!J119</f>
        <v>998247250</v>
      </c>
      <c r="H10" s="563">
        <v>0</v>
      </c>
      <c r="I10" s="1319">
        <f>G10+H10</f>
        <v>998247250</v>
      </c>
    </row>
    <row r="11" spans="1:10" s="210" customFormat="1" ht="33.6">
      <c r="A11" s="953" t="s">
        <v>349</v>
      </c>
      <c r="B11" s="954" t="s">
        <v>721</v>
      </c>
      <c r="C11" s="958" t="s">
        <v>130</v>
      </c>
      <c r="D11" s="955"/>
      <c r="E11" s="959" t="s">
        <v>513</v>
      </c>
      <c r="F11" s="956"/>
      <c r="G11" s="957">
        <f>'3.TH CHI TIET'!K119</f>
        <v>204547378</v>
      </c>
      <c r="H11" s="957">
        <f>ROUND(G11*10%,0)</f>
        <v>20454738</v>
      </c>
      <c r="I11" s="1320">
        <f>H11+G11</f>
        <v>225002116</v>
      </c>
    </row>
    <row r="12" spans="1:10" s="274" customFormat="1" ht="33.75" customHeight="1">
      <c r="A12" s="566" t="s">
        <v>720</v>
      </c>
      <c r="B12" s="567" t="s">
        <v>514</v>
      </c>
      <c r="C12" s="1400" t="s">
        <v>83</v>
      </c>
      <c r="D12" s="1400"/>
      <c r="E12" s="564" t="s">
        <v>515</v>
      </c>
      <c r="F12" s="568"/>
      <c r="G12" s="569">
        <f>'2.THXL'!E14</f>
        <v>177769200</v>
      </c>
      <c r="H12" s="565">
        <f>G12*0.1</f>
        <v>17776920</v>
      </c>
      <c r="I12" s="1321">
        <f>G12+H12</f>
        <v>195546120</v>
      </c>
      <c r="J12" s="300">
        <f>I12+I10</f>
        <v>1193793370</v>
      </c>
    </row>
    <row r="13" spans="1:10" s="274" customFormat="1" ht="33.75" customHeight="1">
      <c r="A13" s="687" t="s">
        <v>140</v>
      </c>
      <c r="B13" s="688" t="s">
        <v>321</v>
      </c>
      <c r="C13" s="1401" t="s">
        <v>322</v>
      </c>
      <c r="D13" s="1401"/>
      <c r="E13" s="689" t="s">
        <v>931</v>
      </c>
      <c r="F13" s="690"/>
      <c r="G13" s="691"/>
      <c r="H13" s="691"/>
      <c r="I13" s="1322">
        <f>ROUND(5%*I9,0)</f>
        <v>70939774</v>
      </c>
      <c r="J13" s="300">
        <f>J12+I13</f>
        <v>1264733144</v>
      </c>
    </row>
    <row r="14" spans="1:10" s="210" customFormat="1" ht="33.75" customHeight="1">
      <c r="A14" s="396" t="s">
        <v>80</v>
      </c>
      <c r="B14" s="397" t="s">
        <v>426</v>
      </c>
      <c r="C14" s="1402"/>
      <c r="D14" s="1402"/>
      <c r="E14" s="692" t="s">
        <v>559</v>
      </c>
      <c r="F14" s="401"/>
      <c r="G14" s="418"/>
      <c r="H14" s="418"/>
      <c r="I14" s="1323">
        <f>I9+I13</f>
        <v>1489735260</v>
      </c>
      <c r="J14" s="962">
        <f>I9-I16</f>
        <v>1393707371</v>
      </c>
    </row>
    <row r="15" spans="1:10" s="210" customFormat="1" ht="33.75" customHeight="1">
      <c r="A15" s="1403" t="s">
        <v>932</v>
      </c>
      <c r="B15" s="1404"/>
      <c r="C15" s="1404"/>
      <c r="D15" s="1404"/>
      <c r="E15" s="1404"/>
      <c r="F15" s="1404"/>
      <c r="G15" s="1404"/>
      <c r="H15" s="1404"/>
      <c r="I15" s="1405"/>
      <c r="J15" s="770">
        <v>1917529767</v>
      </c>
    </row>
    <row r="16" spans="1:10" s="210" customFormat="1" ht="33.75" customHeight="1">
      <c r="A16" s="553" t="s">
        <v>156</v>
      </c>
      <c r="B16" s="301" t="s">
        <v>302</v>
      </c>
      <c r="C16" s="1406" t="s">
        <v>303</v>
      </c>
      <c r="D16" s="1406"/>
      <c r="E16" s="302" t="s">
        <v>730</v>
      </c>
      <c r="F16" s="303"/>
      <c r="G16" s="304">
        <f>'7.vtth'!G44</f>
        <v>25088115</v>
      </c>
      <c r="H16" s="304">
        <v>0</v>
      </c>
      <c r="I16" s="1324">
        <f>G16+H16</f>
        <v>25088115</v>
      </c>
      <c r="J16" s="771">
        <f>I14-J15</f>
        <v>-427794507</v>
      </c>
    </row>
    <row r="17" spans="1:10" s="211" customFormat="1" ht="35.25" customHeight="1">
      <c r="A17" s="1407" t="s">
        <v>928</v>
      </c>
      <c r="B17" s="1408"/>
      <c r="C17" s="1408"/>
      <c r="D17" s="1408"/>
      <c r="E17" s="1408"/>
      <c r="F17" s="1408"/>
      <c r="G17" s="1408"/>
      <c r="H17" s="1408"/>
      <c r="I17" s="1409"/>
      <c r="J17" s="983">
        <f>I9-I16</f>
        <v>1393707371</v>
      </c>
    </row>
    <row r="18" spans="1:10" s="212" customFormat="1" ht="15"/>
    <row r="19" spans="1:10" s="213" customFormat="1" ht="16.8">
      <c r="B19" s="1399" t="s">
        <v>304</v>
      </c>
      <c r="C19" s="215"/>
      <c r="D19" s="215"/>
      <c r="E19" s="1398" t="s">
        <v>764</v>
      </c>
      <c r="F19" s="215"/>
      <c r="G19" s="215"/>
      <c r="H19" s="1398" t="s">
        <v>354</v>
      </c>
    </row>
    <row r="20" spans="1:10" s="213" customFormat="1" ht="16.8">
      <c r="B20" s="1399"/>
      <c r="C20" s="215"/>
      <c r="D20" s="215"/>
      <c r="E20" s="1398"/>
      <c r="F20" s="215"/>
      <c r="G20" s="215"/>
      <c r="H20" s="1398"/>
    </row>
    <row r="21" spans="1:10" s="213" customFormat="1" ht="53.25" customHeight="1">
      <c r="B21" s="217"/>
      <c r="C21" s="215"/>
      <c r="D21" s="215"/>
      <c r="E21" s="216"/>
      <c r="F21" s="215"/>
      <c r="G21" s="215"/>
      <c r="H21" s="216"/>
    </row>
    <row r="22" spans="1:10" s="213" customFormat="1" ht="16.8">
      <c r="B22" s="217"/>
      <c r="C22" s="215"/>
      <c r="D22" s="215"/>
      <c r="E22" s="216"/>
      <c r="F22" s="215"/>
      <c r="G22" s="215"/>
      <c r="H22" s="216"/>
    </row>
    <row r="23" spans="1:10" s="213" customFormat="1" ht="16.8">
      <c r="B23" s="214" t="s">
        <v>763</v>
      </c>
      <c r="C23" s="215"/>
      <c r="D23" s="215"/>
      <c r="E23" s="216" t="s">
        <v>307</v>
      </c>
      <c r="F23" s="215"/>
      <c r="G23" s="215"/>
      <c r="H23" s="216" t="s">
        <v>765</v>
      </c>
    </row>
  </sheetData>
  <mergeCells count="20">
    <mergeCell ref="E19:E20"/>
    <mergeCell ref="B19:B20"/>
    <mergeCell ref="C12:D12"/>
    <mergeCell ref="C13:D13"/>
    <mergeCell ref="C14:D14"/>
    <mergeCell ref="A15:I15"/>
    <mergeCell ref="C16:D16"/>
    <mergeCell ref="A17:I17"/>
    <mergeCell ref="H19:H20"/>
    <mergeCell ref="A4:I4"/>
    <mergeCell ref="A2:I2"/>
    <mergeCell ref="A7:A8"/>
    <mergeCell ref="B7:B8"/>
    <mergeCell ref="C7:D8"/>
    <mergeCell ref="E7:F8"/>
    <mergeCell ref="G7:G8"/>
    <mergeCell ref="H7:H8"/>
    <mergeCell ref="I7:I8"/>
    <mergeCell ref="A3:I3"/>
    <mergeCell ref="A5:I5"/>
  </mergeCells>
  <printOptions horizontalCentered="1"/>
  <pageMargins left="0" right="0" top="0.55118110236220474" bottom="0.35433070866141736" header="0.31496062992125984" footer="0.31496062992125984"/>
  <pageSetup paperSize="9" scale="84"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zoomScale="68" zoomScaleNormal="68" workbookViewId="0">
      <selection activeCell="B16" sqref="B16"/>
    </sheetView>
  </sheetViews>
  <sheetFormatPr defaultColWidth="28.5546875" defaultRowHeight="13.2"/>
  <cols>
    <col min="1" max="1" width="5.44140625" bestFit="1" customWidth="1"/>
    <col min="2" max="2" width="61.33203125" bestFit="1" customWidth="1"/>
    <col min="3" max="3" width="14.88671875" customWidth="1"/>
    <col min="4" max="4" width="28.5546875" hidden="1" customWidth="1"/>
    <col min="5" max="5" width="27.6640625" customWidth="1"/>
    <col min="6" max="6" width="28.5546875" hidden="1" customWidth="1"/>
    <col min="7" max="8" width="27" customWidth="1"/>
    <col min="9" max="9" width="17.5546875" customWidth="1"/>
    <col min="10" max="10" width="18.88671875" customWidth="1"/>
  </cols>
  <sheetData>
    <row r="1" spans="1:10" ht="13.8">
      <c r="A1" s="270"/>
      <c r="B1" s="270"/>
      <c r="C1" s="270"/>
      <c r="D1" s="270"/>
      <c r="E1" s="270"/>
      <c r="F1" s="270"/>
      <c r="G1" s="270"/>
      <c r="H1" s="270"/>
      <c r="I1" s="280"/>
    </row>
    <row r="2" spans="1:10" ht="17.399999999999999">
      <c r="A2" s="1395" t="s">
        <v>401</v>
      </c>
      <c r="B2" s="1395"/>
      <c r="C2" s="1395"/>
      <c r="D2" s="1395"/>
      <c r="E2" s="1395"/>
      <c r="F2" s="1395"/>
      <c r="G2" s="1395"/>
      <c r="H2" s="1395"/>
      <c r="I2" s="1395"/>
      <c r="J2" s="1395"/>
    </row>
    <row r="3" spans="1:10" ht="17.399999999999999">
      <c r="A3" s="1395" t="str">
        <f>"Công trình: "&amp;BIA!A14</f>
        <v>Công trình: Mã số tài sản: 1.37013000.0001217; 1.37013000.0001215; 1.37013000.0001216.</v>
      </c>
      <c r="B3" s="1395"/>
      <c r="C3" s="1395"/>
      <c r="D3" s="1395"/>
      <c r="E3" s="1395"/>
      <c r="F3" s="1395"/>
      <c r="G3" s="1395"/>
      <c r="H3" s="1395"/>
      <c r="I3" s="1395"/>
      <c r="J3" s="1395"/>
    </row>
    <row r="4" spans="1:10" ht="15.6">
      <c r="A4" s="271"/>
      <c r="B4" s="272"/>
      <c r="C4" s="272"/>
      <c r="D4" s="272"/>
      <c r="E4" s="272"/>
      <c r="F4" s="272"/>
      <c r="G4" s="272"/>
      <c r="H4" s="272"/>
    </row>
    <row r="5" spans="1:10" s="273" customFormat="1" ht="15.6">
      <c r="A5" s="1396" t="s">
        <v>181</v>
      </c>
      <c r="B5" s="1396" t="s">
        <v>315</v>
      </c>
      <c r="C5" s="1397" t="s">
        <v>316</v>
      </c>
      <c r="D5" s="1397"/>
      <c r="E5" s="1397" t="s">
        <v>317</v>
      </c>
      <c r="F5" s="1397"/>
      <c r="G5" s="1397" t="s">
        <v>318</v>
      </c>
      <c r="H5" s="394"/>
      <c r="I5" s="1397" t="s">
        <v>319</v>
      </c>
      <c r="J5" s="1397" t="s">
        <v>320</v>
      </c>
    </row>
    <row r="6" spans="1:10" s="273" customFormat="1" ht="15.6">
      <c r="A6" s="1396"/>
      <c r="B6" s="1396"/>
      <c r="C6" s="1397"/>
      <c r="D6" s="1397"/>
      <c r="E6" s="1397"/>
      <c r="F6" s="1397"/>
      <c r="G6" s="1397"/>
      <c r="H6" s="394"/>
      <c r="I6" s="1397"/>
      <c r="J6" s="1397"/>
    </row>
    <row r="7" spans="1:10" s="210" customFormat="1" ht="16.8">
      <c r="A7" s="396" t="s">
        <v>107</v>
      </c>
      <c r="B7" s="397" t="s">
        <v>402</v>
      </c>
      <c r="C7" s="398" t="s">
        <v>404</v>
      </c>
      <c r="D7" s="399"/>
      <c r="E7" s="400" t="s">
        <v>405</v>
      </c>
      <c r="F7" s="401"/>
      <c r="G7" s="402">
        <f>'2.DT'!F20</f>
        <v>433512061.10300004</v>
      </c>
      <c r="H7" s="402"/>
      <c r="I7" s="402">
        <v>0</v>
      </c>
      <c r="J7" s="402">
        <f>G7+I7</f>
        <v>433512061.10300004</v>
      </c>
    </row>
    <row r="8" spans="1:10" s="210" customFormat="1" ht="33.6">
      <c r="A8" s="411"/>
      <c r="B8" s="404" t="s">
        <v>403</v>
      </c>
      <c r="C8" s="414"/>
      <c r="D8" s="415"/>
      <c r="E8" s="407"/>
      <c r="F8" s="416"/>
      <c r="G8" s="409"/>
      <c r="H8" s="409"/>
      <c r="I8" s="409"/>
      <c r="J8" s="409"/>
    </row>
    <row r="9" spans="1:10" s="210" customFormat="1" ht="16.8">
      <c r="A9" s="396" t="s">
        <v>140</v>
      </c>
      <c r="B9" s="397" t="s">
        <v>406</v>
      </c>
      <c r="C9" s="412" t="s">
        <v>411</v>
      </c>
      <c r="D9" s="399"/>
      <c r="E9" s="400"/>
      <c r="F9" s="401"/>
      <c r="G9" s="402"/>
      <c r="H9" s="402"/>
      <c r="I9" s="402"/>
      <c r="J9" s="402"/>
    </row>
    <row r="10" spans="1:10" s="210" customFormat="1" ht="16.8">
      <c r="A10" s="396" t="s">
        <v>407</v>
      </c>
      <c r="B10" s="397" t="s">
        <v>408</v>
      </c>
      <c r="C10" s="398"/>
      <c r="D10" s="399"/>
      <c r="E10" s="400"/>
      <c r="F10" s="401"/>
      <c r="G10" s="402"/>
      <c r="H10" s="402"/>
      <c r="I10" s="402"/>
      <c r="J10" s="402"/>
    </row>
    <row r="11" spans="1:10" s="210" customFormat="1" ht="16.8">
      <c r="A11" s="435">
        <v>1</v>
      </c>
      <c r="B11" s="436" t="s">
        <v>409</v>
      </c>
      <c r="C11" s="437"/>
      <c r="D11" s="438"/>
      <c r="E11" s="439"/>
      <c r="F11" s="440"/>
      <c r="G11" s="441"/>
      <c r="H11" s="441"/>
      <c r="I11" s="441"/>
      <c r="J11" s="441"/>
    </row>
    <row r="12" spans="1:10" s="210" customFormat="1" ht="16.8">
      <c r="A12" s="442">
        <v>2</v>
      </c>
      <c r="B12" s="443" t="s">
        <v>410</v>
      </c>
      <c r="C12" s="449"/>
      <c r="D12" s="450"/>
      <c r="E12" s="446"/>
      <c r="F12" s="451"/>
      <c r="G12" s="448"/>
      <c r="H12" s="448"/>
      <c r="I12" s="448"/>
      <c r="J12" s="448"/>
    </row>
    <row r="13" spans="1:10" s="210" customFormat="1" ht="16.8">
      <c r="A13" s="403" t="s">
        <v>412</v>
      </c>
      <c r="B13" s="410" t="s">
        <v>413</v>
      </c>
      <c r="C13" s="405"/>
      <c r="D13" s="406"/>
      <c r="E13" s="407"/>
      <c r="F13" s="408"/>
      <c r="G13" s="409"/>
      <c r="H13" s="409"/>
      <c r="I13" s="409"/>
      <c r="J13" s="409"/>
    </row>
    <row r="14" spans="1:10" s="210" customFormat="1" ht="16.8">
      <c r="A14" s="435">
        <v>1</v>
      </c>
      <c r="B14" s="436" t="s">
        <v>414</v>
      </c>
      <c r="C14" s="437"/>
      <c r="D14" s="438"/>
      <c r="E14" s="439"/>
      <c r="F14" s="440"/>
      <c r="G14" s="441"/>
      <c r="H14" s="441"/>
      <c r="I14" s="441"/>
      <c r="J14" s="441"/>
    </row>
    <row r="15" spans="1:10" s="210" customFormat="1" ht="16.8">
      <c r="A15" s="442">
        <v>2</v>
      </c>
      <c r="B15" s="443" t="s">
        <v>415</v>
      </c>
      <c r="C15" s="444"/>
      <c r="D15" s="445"/>
      <c r="E15" s="446"/>
      <c r="F15" s="447"/>
      <c r="G15" s="448"/>
      <c r="H15" s="448"/>
      <c r="I15" s="448"/>
      <c r="J15" s="448"/>
    </row>
    <row r="16" spans="1:10" s="210" customFormat="1" ht="16.8">
      <c r="A16" s="396" t="s">
        <v>99</v>
      </c>
      <c r="B16" s="397" t="s">
        <v>416</v>
      </c>
      <c r="C16" s="412" t="s">
        <v>417</v>
      </c>
      <c r="D16" s="399"/>
      <c r="E16" s="417"/>
      <c r="F16" s="401"/>
      <c r="G16" s="418"/>
      <c r="H16" s="418"/>
      <c r="I16" s="418"/>
      <c r="J16" s="418"/>
    </row>
    <row r="17" spans="1:11" s="210" customFormat="1" ht="16.8">
      <c r="A17" s="419">
        <v>1</v>
      </c>
      <c r="B17" s="420" t="s">
        <v>418</v>
      </c>
      <c r="C17" s="421"/>
      <c r="D17" s="422"/>
      <c r="E17" s="423"/>
      <c r="F17" s="424"/>
      <c r="G17" s="425"/>
      <c r="H17" s="425"/>
      <c r="I17" s="426">
        <v>0.1</v>
      </c>
      <c r="J17" s="425"/>
    </row>
    <row r="18" spans="1:11" s="210" customFormat="1" ht="16.8">
      <c r="A18" s="427">
        <v>2</v>
      </c>
      <c r="B18" s="428" t="s">
        <v>419</v>
      </c>
      <c r="C18" s="429"/>
      <c r="D18" s="430"/>
      <c r="E18" s="431"/>
      <c r="F18" s="432"/>
      <c r="G18" s="433"/>
      <c r="H18" s="433"/>
      <c r="I18" s="434">
        <v>0.1</v>
      </c>
      <c r="J18" s="433"/>
    </row>
    <row r="19" spans="1:11" s="210" customFormat="1" ht="16.8">
      <c r="A19" s="427">
        <v>3</v>
      </c>
      <c r="B19" s="428" t="s">
        <v>420</v>
      </c>
      <c r="C19" s="429"/>
      <c r="D19" s="430"/>
      <c r="E19" s="431"/>
      <c r="F19" s="432"/>
      <c r="G19" s="433"/>
      <c r="H19" s="433"/>
      <c r="I19" s="434">
        <v>0.1</v>
      </c>
      <c r="J19" s="433"/>
    </row>
    <row r="20" spans="1:11" s="210" customFormat="1" ht="16.8">
      <c r="A20" s="427">
        <v>4</v>
      </c>
      <c r="B20" s="428" t="s">
        <v>421</v>
      </c>
      <c r="C20" s="429"/>
      <c r="D20" s="430"/>
      <c r="E20" s="431"/>
      <c r="F20" s="432"/>
      <c r="G20" s="433"/>
      <c r="H20" s="433"/>
      <c r="I20" s="434">
        <v>0.1</v>
      </c>
      <c r="J20" s="433"/>
    </row>
    <row r="21" spans="1:11" s="210" customFormat="1" ht="16.8">
      <c r="A21" s="427">
        <v>5</v>
      </c>
      <c r="B21" s="428" t="s">
        <v>422</v>
      </c>
      <c r="C21" s="429"/>
      <c r="D21" s="430"/>
      <c r="E21" s="431"/>
      <c r="F21" s="432"/>
      <c r="G21" s="433"/>
      <c r="H21" s="433"/>
      <c r="I21" s="434">
        <v>0.1</v>
      </c>
      <c r="J21" s="433"/>
    </row>
    <row r="22" spans="1:11" s="210" customFormat="1" ht="16.8">
      <c r="A22" s="427">
        <v>6</v>
      </c>
      <c r="B22" s="428" t="s">
        <v>423</v>
      </c>
      <c r="C22" s="429"/>
      <c r="D22" s="430"/>
      <c r="E22" s="431"/>
      <c r="F22" s="432"/>
      <c r="G22" s="433"/>
      <c r="H22" s="433"/>
      <c r="I22" s="434">
        <v>0.1</v>
      </c>
      <c r="J22" s="433"/>
    </row>
    <row r="23" spans="1:11" s="210" customFormat="1" ht="16.8">
      <c r="A23" s="427">
        <v>7</v>
      </c>
      <c r="B23" s="428" t="s">
        <v>281</v>
      </c>
      <c r="C23" s="429"/>
      <c r="D23" s="430"/>
      <c r="E23" s="431"/>
      <c r="F23" s="432"/>
      <c r="G23" s="433"/>
      <c r="H23" s="433"/>
      <c r="I23" s="434">
        <v>0.1</v>
      </c>
      <c r="J23" s="433"/>
    </row>
    <row r="24" spans="1:11" s="210" customFormat="1" ht="16.8">
      <c r="A24" s="452">
        <v>8</v>
      </c>
      <c r="B24" s="453" t="s">
        <v>424</v>
      </c>
      <c r="C24" s="454"/>
      <c r="D24" s="455"/>
      <c r="E24" s="456"/>
      <c r="F24" s="457"/>
      <c r="G24" s="458"/>
      <c r="H24" s="458"/>
      <c r="I24" s="459">
        <v>0.1</v>
      </c>
      <c r="J24" s="458"/>
    </row>
    <row r="25" spans="1:11" s="210" customFormat="1" ht="16.8">
      <c r="A25" s="442">
        <v>9</v>
      </c>
      <c r="B25" s="443" t="s">
        <v>425</v>
      </c>
      <c r="C25" s="460"/>
      <c r="D25" s="450"/>
      <c r="E25" s="446"/>
      <c r="F25" s="451"/>
      <c r="G25" s="448"/>
      <c r="H25" s="448"/>
      <c r="I25" s="461">
        <v>0.1</v>
      </c>
      <c r="J25" s="448"/>
    </row>
    <row r="26" spans="1:11" s="274" customFormat="1" ht="16.8">
      <c r="A26" s="462" t="s">
        <v>149</v>
      </c>
      <c r="B26" s="463" t="s">
        <v>321</v>
      </c>
      <c r="C26" s="1410" t="s">
        <v>322</v>
      </c>
      <c r="D26" s="1410"/>
      <c r="E26" s="400" t="s">
        <v>427</v>
      </c>
      <c r="F26" s="464"/>
      <c r="G26" s="465"/>
      <c r="H26" s="465"/>
      <c r="I26" s="465"/>
      <c r="J26" s="465" t="e">
        <f>ROUND(5%*(J7+#REF!+#REF!),0)</f>
        <v>#REF!</v>
      </c>
      <c r="K26" s="300" t="e">
        <f>#REF!+J26</f>
        <v>#REF!</v>
      </c>
    </row>
    <row r="27" spans="1:11" s="210" customFormat="1" ht="33.75" customHeight="1">
      <c r="A27" s="1415" t="s">
        <v>80</v>
      </c>
      <c r="B27" s="410" t="s">
        <v>426</v>
      </c>
      <c r="C27" s="1411"/>
      <c r="D27" s="1411"/>
      <c r="E27" s="414" t="s">
        <v>324</v>
      </c>
      <c r="F27" s="408"/>
      <c r="G27" s="413"/>
      <c r="H27" s="413"/>
      <c r="I27" s="413"/>
      <c r="J27" s="413" t="e">
        <f>SUM(J7:J26)</f>
        <v>#REF!</v>
      </c>
    </row>
    <row r="28" spans="1:11" s="210" customFormat="1" ht="33.75" customHeight="1">
      <c r="A28" s="1416"/>
      <c r="B28" s="1417" t="s">
        <v>358</v>
      </c>
      <c r="C28" s="1418"/>
      <c r="D28" s="1418"/>
      <c r="E28" s="1418"/>
      <c r="F28" s="1418"/>
      <c r="G28" s="1418"/>
      <c r="H28" s="1418"/>
      <c r="I28" s="1418"/>
      <c r="J28" s="1419"/>
    </row>
    <row r="29" spans="1:11" s="210" customFormat="1" ht="33.75" customHeight="1">
      <c r="A29" s="1415" t="s">
        <v>156</v>
      </c>
      <c r="B29" s="301" t="s">
        <v>302</v>
      </c>
      <c r="C29" s="1406" t="s">
        <v>303</v>
      </c>
      <c r="D29" s="1406"/>
      <c r="E29" s="302" t="s">
        <v>335</v>
      </c>
      <c r="F29" s="303"/>
      <c r="G29" s="304">
        <f>'7.vtth'!G44</f>
        <v>25088115</v>
      </c>
      <c r="H29" s="304"/>
      <c r="I29" s="304">
        <v>0</v>
      </c>
      <c r="J29" s="304">
        <f>G29+I29</f>
        <v>25088115</v>
      </c>
    </row>
    <row r="30" spans="1:11" s="211" customFormat="1" ht="35.25" customHeight="1">
      <c r="A30" s="1416"/>
      <c r="B30" s="1412" t="s">
        <v>356</v>
      </c>
      <c r="C30" s="1413"/>
      <c r="D30" s="1413"/>
      <c r="E30" s="1413"/>
      <c r="F30" s="1413"/>
      <c r="G30" s="1413"/>
      <c r="H30" s="1413"/>
      <c r="I30" s="1413"/>
      <c r="J30" s="1414"/>
    </row>
    <row r="31" spans="1:11" s="212" customFormat="1" ht="15"/>
    <row r="32" spans="1:11" s="213" customFormat="1" ht="16.8">
      <c r="B32" s="214" t="s">
        <v>304</v>
      </c>
      <c r="C32" s="215"/>
      <c r="D32" s="215"/>
      <c r="E32" s="216" t="s">
        <v>305</v>
      </c>
      <c r="F32" s="215"/>
      <c r="G32" s="215"/>
      <c r="H32" s="215"/>
      <c r="I32" s="216" t="s">
        <v>354</v>
      </c>
    </row>
    <row r="33" spans="2:9" s="213" customFormat="1" ht="16.8">
      <c r="B33" s="214"/>
      <c r="C33" s="215"/>
      <c r="D33" s="215"/>
      <c r="E33" s="216"/>
      <c r="F33" s="215"/>
      <c r="G33" s="215"/>
      <c r="H33" s="215"/>
      <c r="I33" s="216"/>
    </row>
    <row r="34" spans="2:9" s="213" customFormat="1" ht="42" customHeight="1">
      <c r="B34" s="217"/>
      <c r="C34" s="215"/>
      <c r="D34" s="215"/>
      <c r="E34" s="216"/>
      <c r="F34" s="215"/>
      <c r="G34" s="215"/>
      <c r="H34" s="215"/>
      <c r="I34" s="216"/>
    </row>
    <row r="35" spans="2:9" s="213" customFormat="1" ht="16.8">
      <c r="B35" s="217"/>
      <c r="C35" s="215"/>
      <c r="D35" s="215"/>
      <c r="E35" s="216"/>
      <c r="F35" s="215"/>
      <c r="G35" s="215"/>
      <c r="H35" s="215"/>
      <c r="I35" s="216"/>
    </row>
    <row r="36" spans="2:9" s="213" customFormat="1" ht="16.8">
      <c r="B36" s="214" t="s">
        <v>306</v>
      </c>
      <c r="C36" s="215"/>
      <c r="D36" s="215"/>
      <c r="E36" s="216" t="s">
        <v>307</v>
      </c>
      <c r="F36" s="215"/>
      <c r="G36" s="215"/>
      <c r="H36" s="215"/>
      <c r="I36" s="216" t="s">
        <v>355</v>
      </c>
    </row>
  </sheetData>
  <mergeCells count="16">
    <mergeCell ref="C26:D26"/>
    <mergeCell ref="C27:D27"/>
    <mergeCell ref="C29:D29"/>
    <mergeCell ref="B30:J30"/>
    <mergeCell ref="A29:A30"/>
    <mergeCell ref="B28:J28"/>
    <mergeCell ref="A27:A28"/>
    <mergeCell ref="A2:J2"/>
    <mergeCell ref="A5:A6"/>
    <mergeCell ref="B5:B6"/>
    <mergeCell ref="C5:D6"/>
    <mergeCell ref="E5:F6"/>
    <mergeCell ref="G5:G6"/>
    <mergeCell ref="I5:I6"/>
    <mergeCell ref="J5:J6"/>
    <mergeCell ref="A3:J3"/>
  </mergeCells>
  <printOptions horizontalCentered="1"/>
  <pageMargins left="0" right="0" top="0.55118110236220474" bottom="0.35433070866141736" header="0.31496062992125984" footer="0.31496062992125984"/>
  <pageSetup paperSize="9" orientation="landscape" blackAndWhite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showGridLines="0" showZeros="0" view="pageBreakPreview" zoomScale="77" zoomScaleNormal="100" zoomScaleSheetLayoutView="77" workbookViewId="0">
      <selection activeCell="B8" sqref="B8"/>
    </sheetView>
  </sheetViews>
  <sheetFormatPr defaultColWidth="9.109375" defaultRowHeight="13.8"/>
  <cols>
    <col min="1" max="1" width="11" style="270" customWidth="1"/>
    <col min="2" max="2" width="68.88671875" style="270" customWidth="1"/>
    <col min="3" max="3" width="21.109375" style="270" customWidth="1"/>
    <col min="4" max="4" width="28" style="270" customWidth="1"/>
    <col min="5" max="5" width="27.88671875" style="749" customWidth="1"/>
    <col min="6" max="6" width="13" style="270" bestFit="1" customWidth="1"/>
    <col min="7" max="16384" width="9.109375" style="270"/>
  </cols>
  <sheetData>
    <row r="1" spans="1:8" ht="17.399999999999999">
      <c r="A1" s="466" t="s">
        <v>560</v>
      </c>
      <c r="B1" s="681"/>
      <c r="C1" s="681"/>
      <c r="D1" s="682"/>
      <c r="E1" s="682"/>
      <c r="H1" s="683"/>
    </row>
    <row r="2" spans="1:8" ht="17.399999999999999">
      <c r="A2" s="1420" t="str">
        <f>BIA!A11</f>
        <v>Tên công trình: Sửa chữa đường dây trung thế huyện Cẩm Mỹ năm 2020.</v>
      </c>
      <c r="B2" s="1420"/>
      <c r="C2" s="1420"/>
      <c r="D2" s="1420"/>
      <c r="E2" s="1420"/>
      <c r="H2" s="683"/>
    </row>
    <row r="3" spans="1:8" ht="17.399999999999999" hidden="1">
      <c r="A3" s="1395" t="str">
        <f>BIA!A14</f>
        <v>Mã số tài sản: 1.37013000.0001217; 1.37013000.0001215; 1.37013000.0001216.</v>
      </c>
      <c r="B3" s="1395"/>
      <c r="C3" s="1395"/>
      <c r="D3" s="1395"/>
      <c r="E3" s="1395"/>
      <c r="H3" s="683"/>
    </row>
    <row r="4" spans="1:8" ht="17.399999999999999">
      <c r="A4" s="466"/>
      <c r="B4" s="681"/>
      <c r="C4" s="681"/>
      <c r="D4" s="682"/>
      <c r="E4" s="682"/>
      <c r="H4" s="683"/>
    </row>
    <row r="5" spans="1:8">
      <c r="A5" s="693" t="s">
        <v>181</v>
      </c>
      <c r="B5" s="693" t="s">
        <v>278</v>
      </c>
      <c r="C5" s="693" t="s">
        <v>429</v>
      </c>
      <c r="D5" s="693" t="s">
        <v>279</v>
      </c>
      <c r="E5" s="694" t="s">
        <v>535</v>
      </c>
    </row>
    <row r="6" spans="1:8" ht="19.5" customHeight="1">
      <c r="A6" s="684" t="s">
        <v>80</v>
      </c>
      <c r="B6" s="696" t="s">
        <v>435</v>
      </c>
      <c r="C6" s="684" t="s">
        <v>37</v>
      </c>
      <c r="D6" s="693" t="s">
        <v>434</v>
      </c>
      <c r="E6" s="697">
        <f>E7+E9+E10</f>
        <v>126528926</v>
      </c>
    </row>
    <row r="7" spans="1:8" ht="19.5" customHeight="1">
      <c r="A7" s="684">
        <v>1</v>
      </c>
      <c r="B7" s="696" t="s">
        <v>436</v>
      </c>
      <c r="C7" s="684" t="s">
        <v>130</v>
      </c>
      <c r="D7" s="744" t="s">
        <v>561</v>
      </c>
      <c r="E7" s="700">
        <f>SUM(E8:E8)</f>
        <v>2645143</v>
      </c>
    </row>
    <row r="8" spans="1:8" ht="20.25" customHeight="1">
      <c r="A8" s="695"/>
      <c r="B8" s="745" t="s">
        <v>934</v>
      </c>
      <c r="C8" s="695" t="s">
        <v>561</v>
      </c>
      <c r="D8" s="698" t="s">
        <v>731</v>
      </c>
      <c r="E8" s="699">
        <f>ROUND('8.VCDD'!C29,0)</f>
        <v>2645143</v>
      </c>
    </row>
    <row r="9" spans="1:8" ht="19.5" customHeight="1">
      <c r="A9" s="684">
        <v>2</v>
      </c>
      <c r="B9" s="696" t="s">
        <v>443</v>
      </c>
      <c r="C9" s="684" t="s">
        <v>131</v>
      </c>
      <c r="D9" s="744" t="s">
        <v>649</v>
      </c>
      <c r="E9" s="700">
        <f>ROUND('4. CT NC'!G26,0)</f>
        <v>117651045</v>
      </c>
      <c r="F9" s="749">
        <f>'4. CT NC'!G26</f>
        <v>117651045</v>
      </c>
    </row>
    <row r="10" spans="1:8" ht="19.5" customHeight="1">
      <c r="A10" s="684">
        <v>3</v>
      </c>
      <c r="B10" s="696" t="s">
        <v>444</v>
      </c>
      <c r="C10" s="684" t="s">
        <v>301</v>
      </c>
      <c r="D10" s="744" t="s">
        <v>729</v>
      </c>
      <c r="E10" s="700">
        <f>ROUND('6.mtcvtth'!M21,0)</f>
        <v>6232738</v>
      </c>
      <c r="F10" s="749">
        <f>'6.mtcvtth'!M21</f>
        <v>6232738</v>
      </c>
    </row>
    <row r="11" spans="1:8" ht="19.5" customHeight="1">
      <c r="A11" s="684" t="s">
        <v>156</v>
      </c>
      <c r="B11" s="696" t="s">
        <v>123</v>
      </c>
      <c r="C11" s="684" t="s">
        <v>99</v>
      </c>
      <c r="D11" s="693" t="s">
        <v>446</v>
      </c>
      <c r="E11" s="697">
        <f>ROUND(35%*E9,0)</f>
        <v>41177866</v>
      </c>
    </row>
    <row r="12" spans="1:8" ht="19.5" customHeight="1">
      <c r="A12" s="701"/>
      <c r="B12" s="754" t="s">
        <v>282</v>
      </c>
      <c r="C12" s="701" t="s">
        <v>536</v>
      </c>
      <c r="D12" s="702" t="s">
        <v>605</v>
      </c>
      <c r="E12" s="791">
        <f>E11+E6</f>
        <v>167706792</v>
      </c>
    </row>
    <row r="13" spans="1:8" ht="19.5" customHeight="1">
      <c r="A13" s="684" t="s">
        <v>35</v>
      </c>
      <c r="B13" s="696" t="s">
        <v>283</v>
      </c>
      <c r="C13" s="684" t="s">
        <v>129</v>
      </c>
      <c r="D13" s="693" t="s">
        <v>573</v>
      </c>
      <c r="E13" s="697">
        <f>ROUND(E12*6%,0)</f>
        <v>10062408</v>
      </c>
    </row>
    <row r="14" spans="1:8" ht="19.5" customHeight="1">
      <c r="A14" s="701"/>
      <c r="B14" s="754" t="s">
        <v>448</v>
      </c>
      <c r="C14" s="701" t="s">
        <v>374</v>
      </c>
      <c r="D14" s="702" t="s">
        <v>574</v>
      </c>
      <c r="E14" s="791">
        <f>E13+E12</f>
        <v>177769200</v>
      </c>
    </row>
    <row r="15" spans="1:8" ht="19.5" customHeight="1">
      <c r="A15" s="684" t="s">
        <v>87</v>
      </c>
      <c r="B15" s="696" t="s">
        <v>537</v>
      </c>
      <c r="C15" s="684" t="s">
        <v>451</v>
      </c>
      <c r="D15" s="693" t="s">
        <v>575</v>
      </c>
      <c r="E15" s="697">
        <f>ROUND(E14*10%,0)</f>
        <v>17776920</v>
      </c>
    </row>
    <row r="16" spans="1:8" ht="19.5" customHeight="1">
      <c r="A16" s="684"/>
      <c r="B16" s="755" t="s">
        <v>571</v>
      </c>
      <c r="C16" s="684" t="s">
        <v>572</v>
      </c>
      <c r="D16" s="684" t="s">
        <v>454</v>
      </c>
      <c r="E16" s="686">
        <f>E14+E15</f>
        <v>195546120</v>
      </c>
      <c r="G16" s="270">
        <f>70*700</f>
        <v>49000</v>
      </c>
    </row>
    <row r="17" spans="1:7" s="747" customFormat="1" hidden="1">
      <c r="A17" s="684" t="s">
        <v>112</v>
      </c>
      <c r="B17" s="746" t="s">
        <v>267</v>
      </c>
      <c r="C17" s="701" t="s">
        <v>268</v>
      </c>
      <c r="D17" s="702" t="s">
        <v>269</v>
      </c>
      <c r="E17" s="703">
        <f>E14*1%*1.1*0</f>
        <v>0</v>
      </c>
    </row>
    <row r="18" spans="1:7" hidden="1">
      <c r="A18" s="748"/>
      <c r="B18" s="685" t="s">
        <v>69</v>
      </c>
      <c r="C18" s="684"/>
      <c r="D18" s="684" t="s">
        <v>270</v>
      </c>
      <c r="E18" s="686">
        <f>E16+E17</f>
        <v>195546120</v>
      </c>
    </row>
    <row r="19" spans="1:7">
      <c r="G19" s="270">
        <f>40*700</f>
        <v>28000</v>
      </c>
    </row>
    <row r="20" spans="1:7">
      <c r="E20" s="750"/>
      <c r="G20" s="270">
        <f>10*700</f>
        <v>7000</v>
      </c>
    </row>
    <row r="30" spans="1:7">
      <c r="B30" s="751"/>
      <c r="C30" s="751"/>
    </row>
    <row r="31" spans="1:7">
      <c r="B31" s="751"/>
      <c r="C31" s="751"/>
    </row>
    <row r="32" spans="1:7">
      <c r="B32" s="751"/>
      <c r="C32" s="751"/>
    </row>
    <row r="33" spans="2:5" hidden="1">
      <c r="B33" s="751"/>
      <c r="C33" s="751"/>
      <c r="E33" s="270"/>
    </row>
    <row r="34" spans="2:5">
      <c r="B34" s="751"/>
      <c r="C34" s="751"/>
    </row>
    <row r="35" spans="2:5">
      <c r="B35" s="751"/>
      <c r="C35" s="751"/>
    </row>
    <row r="36" spans="2:5">
      <c r="B36" s="751"/>
      <c r="C36" s="751"/>
    </row>
    <row r="37" spans="2:5">
      <c r="B37" s="751"/>
      <c r="C37" s="751"/>
    </row>
    <row r="38" spans="2:5">
      <c r="B38" s="751"/>
      <c r="C38" s="751"/>
    </row>
    <row r="39" spans="2:5">
      <c r="B39" s="751"/>
      <c r="C39" s="751"/>
    </row>
    <row r="40" spans="2:5">
      <c r="B40" s="751"/>
      <c r="C40" s="751"/>
    </row>
    <row r="41" spans="2:5">
      <c r="B41" s="751"/>
      <c r="C41" s="751"/>
    </row>
    <row r="42" spans="2:5">
      <c r="B42" s="751"/>
      <c r="C42" s="751"/>
    </row>
    <row r="43" spans="2:5">
      <c r="B43" s="751"/>
      <c r="C43" s="751"/>
    </row>
    <row r="44" spans="2:5">
      <c r="B44" s="751"/>
      <c r="C44" s="751"/>
    </row>
    <row r="45" spans="2:5">
      <c r="B45" s="751"/>
      <c r="C45" s="751"/>
    </row>
  </sheetData>
  <mergeCells count="2">
    <mergeCell ref="A2:E2"/>
    <mergeCell ref="A3:E3"/>
  </mergeCells>
  <printOptions horizontalCentered="1"/>
  <pageMargins left="0" right="0" top="0.59055118110236227" bottom="0.39370078740157483" header="0.23622047244094491" footer="0.23622047244094491"/>
  <pageSetup paperSize="9" scale="98" orientation="landscape" blackAndWhite="1" useFirstPageNumber="1" r:id="rId1"/>
  <headerFooter alignWithMargins="0">
    <oddHeader xml:space="preserve">&amp;C
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I49"/>
  <sheetViews>
    <sheetView showGridLines="0" showZeros="0" view="pageBreakPreview" topLeftCell="B1" zoomScale="73" zoomScaleNormal="100" zoomScaleSheetLayoutView="73" workbookViewId="0">
      <selection activeCell="I18" sqref="I18"/>
    </sheetView>
  </sheetViews>
  <sheetFormatPr defaultColWidth="9.109375" defaultRowHeight="13.8"/>
  <cols>
    <col min="1" max="1" width="8.6640625" style="25" customWidth="1"/>
    <col min="2" max="2" width="44.5546875" style="25" customWidth="1"/>
    <col min="3" max="3" width="11.33203125" style="25" customWidth="1"/>
    <col min="4" max="4" width="22.44140625" style="25" customWidth="1"/>
    <col min="5" max="5" width="18.44140625" style="25" customWidth="1"/>
    <col min="6" max="6" width="18.109375" style="25" customWidth="1"/>
    <col min="7" max="16384" width="9.109375" style="25"/>
  </cols>
  <sheetData>
    <row r="1" spans="1:9" ht="17.399999999999999">
      <c r="A1" s="466" t="s">
        <v>428</v>
      </c>
      <c r="B1" s="26"/>
      <c r="C1" s="26"/>
      <c r="D1" s="27"/>
      <c r="E1" s="27"/>
      <c r="F1" s="27"/>
      <c r="I1" s="279"/>
    </row>
    <row r="2" spans="1:9" ht="17.399999999999999">
      <c r="A2" s="466" t="str">
        <f>"Công trình: "&amp;BIA!A14</f>
        <v>Công trình: Mã số tài sản: 1.37013000.0001217; 1.37013000.0001215; 1.37013000.0001216.</v>
      </c>
      <c r="B2" s="26"/>
      <c r="C2" s="26"/>
      <c r="D2" s="27"/>
      <c r="E2" s="27"/>
      <c r="F2" s="27"/>
      <c r="I2" s="279"/>
    </row>
    <row r="3" spans="1:9" ht="17.399999999999999">
      <c r="A3" s="466"/>
      <c r="B3" s="26"/>
      <c r="C3" s="26"/>
      <c r="D3" s="27"/>
      <c r="E3" s="27"/>
      <c r="F3" s="27"/>
      <c r="I3" s="279"/>
    </row>
    <row r="4" spans="1:9" ht="46.8">
      <c r="A4" s="1421" t="s">
        <v>181</v>
      </c>
      <c r="B4" s="1421" t="s">
        <v>315</v>
      </c>
      <c r="C4" s="1421" t="s">
        <v>429</v>
      </c>
      <c r="D4" s="1421" t="s">
        <v>279</v>
      </c>
      <c r="E4" s="467" t="s">
        <v>430</v>
      </c>
      <c r="F4" s="1422" t="s">
        <v>432</v>
      </c>
    </row>
    <row r="5" spans="1:9" ht="15.6">
      <c r="A5" s="1421"/>
      <c r="B5" s="1421"/>
      <c r="C5" s="1421"/>
      <c r="D5" s="1421"/>
      <c r="E5" s="467" t="s">
        <v>431</v>
      </c>
      <c r="F5" s="1423"/>
    </row>
    <row r="6" spans="1:9" ht="22.5" customHeight="1">
      <c r="A6" s="468" t="s">
        <v>21</v>
      </c>
      <c r="B6" s="468" t="s">
        <v>22</v>
      </c>
      <c r="C6" s="468" t="s">
        <v>23</v>
      </c>
      <c r="D6" s="468" t="s">
        <v>24</v>
      </c>
      <c r="E6" s="468" t="s">
        <v>25</v>
      </c>
      <c r="F6" s="468" t="s">
        <v>433</v>
      </c>
    </row>
    <row r="7" spans="1:9" ht="22.5" customHeight="1">
      <c r="A7" s="469" t="s">
        <v>80</v>
      </c>
      <c r="B7" s="470" t="s">
        <v>435</v>
      </c>
      <c r="C7" s="469" t="s">
        <v>37</v>
      </c>
      <c r="D7" s="467" t="s">
        <v>434</v>
      </c>
      <c r="E7" s="467">
        <f>E8+E13+E14</f>
        <v>328433928</v>
      </c>
      <c r="F7" s="467">
        <f>E7</f>
        <v>328433928</v>
      </c>
    </row>
    <row r="8" spans="1:9" ht="22.5" customHeight="1">
      <c r="A8" s="469">
        <v>1</v>
      </c>
      <c r="B8" s="470" t="s">
        <v>436</v>
      </c>
      <c r="C8" s="469" t="s">
        <v>130</v>
      </c>
      <c r="D8" s="471" t="s">
        <v>457</v>
      </c>
      <c r="E8" s="471">
        <f>E9+E10+E11+E12</f>
        <v>204547378</v>
      </c>
      <c r="F8" s="471">
        <f>E8</f>
        <v>204547378</v>
      </c>
    </row>
    <row r="9" spans="1:9" ht="22.5" customHeight="1">
      <c r="A9" s="477"/>
      <c r="B9" s="478" t="s">
        <v>437</v>
      </c>
      <c r="C9" s="477" t="s">
        <v>108</v>
      </c>
      <c r="D9" s="479" t="s">
        <v>359</v>
      </c>
      <c r="E9" s="479">
        <f>'3.TH CHI TIET'!K120</f>
        <v>204547378</v>
      </c>
      <c r="F9" s="479">
        <f>E9</f>
        <v>204547378</v>
      </c>
    </row>
    <row r="10" spans="1:9" ht="22.5" customHeight="1">
      <c r="A10" s="480"/>
      <c r="B10" s="481" t="s">
        <v>438</v>
      </c>
      <c r="C10" s="480" t="s">
        <v>349</v>
      </c>
      <c r="D10" s="482" t="s">
        <v>359</v>
      </c>
      <c r="E10" s="482"/>
      <c r="F10" s="482"/>
    </row>
    <row r="11" spans="1:9" ht="22.5" customHeight="1">
      <c r="A11" s="480"/>
      <c r="B11" s="481" t="s">
        <v>439</v>
      </c>
      <c r="C11" s="480" t="s">
        <v>456</v>
      </c>
      <c r="D11" s="482" t="s">
        <v>440</v>
      </c>
      <c r="E11" s="482"/>
      <c r="F11" s="482"/>
    </row>
    <row r="12" spans="1:9" ht="22.5" customHeight="1">
      <c r="A12" s="483"/>
      <c r="B12" s="484" t="s">
        <v>441</v>
      </c>
      <c r="C12" s="483" t="s">
        <v>323</v>
      </c>
      <c r="D12" s="485" t="s">
        <v>442</v>
      </c>
      <c r="E12" s="485"/>
      <c r="F12" s="485"/>
    </row>
    <row r="13" spans="1:9" ht="22.5" customHeight="1">
      <c r="A13" s="469">
        <v>2</v>
      </c>
      <c r="B13" s="486" t="s">
        <v>443</v>
      </c>
      <c r="C13" s="469" t="s">
        <v>131</v>
      </c>
      <c r="D13" s="487" t="s">
        <v>512</v>
      </c>
      <c r="E13" s="554">
        <f>ROUND('4. CT NC'!G26*1.053,0)</f>
        <v>123886550</v>
      </c>
      <c r="F13" s="555">
        <f>E13</f>
        <v>123886550</v>
      </c>
    </row>
    <row r="14" spans="1:9" ht="22.5" customHeight="1">
      <c r="A14" s="469">
        <v>3</v>
      </c>
      <c r="B14" s="470" t="s">
        <v>444</v>
      </c>
      <c r="C14" s="469" t="s">
        <v>301</v>
      </c>
      <c r="D14" s="467" t="s">
        <v>445</v>
      </c>
      <c r="E14" s="471"/>
      <c r="F14" s="471"/>
    </row>
    <row r="15" spans="1:9" ht="22.5" customHeight="1">
      <c r="A15" s="469" t="s">
        <v>156</v>
      </c>
      <c r="B15" s="470" t="s">
        <v>123</v>
      </c>
      <c r="C15" s="469" t="s">
        <v>99</v>
      </c>
      <c r="D15" s="467" t="s">
        <v>446</v>
      </c>
      <c r="E15" s="467">
        <f>35%*E13</f>
        <v>43360292.5</v>
      </c>
      <c r="F15" s="555">
        <f t="shared" ref="F15:F20" si="0">E15</f>
        <v>43360292.5</v>
      </c>
    </row>
    <row r="16" spans="1:9" ht="22.5" customHeight="1">
      <c r="A16" s="469"/>
      <c r="B16" s="470" t="s">
        <v>282</v>
      </c>
      <c r="C16" s="469" t="s">
        <v>97</v>
      </c>
      <c r="D16" s="467" t="s">
        <v>128</v>
      </c>
      <c r="E16" s="467">
        <f>E7+E15</f>
        <v>371794220.5</v>
      </c>
      <c r="F16" s="555">
        <f t="shared" si="0"/>
        <v>371794220.5</v>
      </c>
    </row>
    <row r="17" spans="1:6" ht="22.5" customHeight="1">
      <c r="A17" s="469" t="s">
        <v>35</v>
      </c>
      <c r="B17" s="470" t="s">
        <v>283</v>
      </c>
      <c r="C17" s="469" t="s">
        <v>129</v>
      </c>
      <c r="D17" s="467" t="s">
        <v>447</v>
      </c>
      <c r="E17" s="467">
        <f>6%*(E7+E15)</f>
        <v>22307653.23</v>
      </c>
      <c r="F17" s="556">
        <f t="shared" si="0"/>
        <v>22307653.23</v>
      </c>
    </row>
    <row r="18" spans="1:6" ht="22.5" customHeight="1">
      <c r="A18" s="469"/>
      <c r="B18" s="470" t="s">
        <v>448</v>
      </c>
      <c r="C18" s="469" t="s">
        <v>374</v>
      </c>
      <c r="D18" s="467" t="s">
        <v>452</v>
      </c>
      <c r="E18" s="467">
        <f>E7+E15+E17</f>
        <v>394101873.73000002</v>
      </c>
      <c r="F18" s="555">
        <f t="shared" si="0"/>
        <v>394101873.73000002</v>
      </c>
    </row>
    <row r="19" spans="1:6" ht="22.5" customHeight="1">
      <c r="A19" s="469" t="s">
        <v>87</v>
      </c>
      <c r="B19" s="470" t="s">
        <v>450</v>
      </c>
      <c r="C19" s="469" t="s">
        <v>451</v>
      </c>
      <c r="D19" s="467" t="s">
        <v>449</v>
      </c>
      <c r="E19" s="467">
        <f>10%*E18</f>
        <v>39410187.373000003</v>
      </c>
      <c r="F19" s="555">
        <f t="shared" si="0"/>
        <v>39410187.373000003</v>
      </c>
    </row>
    <row r="20" spans="1:6" ht="22.5" customHeight="1">
      <c r="A20" s="469"/>
      <c r="B20" s="488" t="s">
        <v>453</v>
      </c>
      <c r="C20" s="469" t="s">
        <v>455</v>
      </c>
      <c r="D20" s="469" t="s">
        <v>454</v>
      </c>
      <c r="E20" s="469">
        <f>E18+E19</f>
        <v>433512061.10300004</v>
      </c>
      <c r="F20" s="555">
        <f t="shared" si="0"/>
        <v>433512061.10300004</v>
      </c>
    </row>
    <row r="21" spans="1:6" s="275" customFormat="1" ht="31.2" hidden="1">
      <c r="A21" s="469" t="s">
        <v>112</v>
      </c>
      <c r="B21" s="473" t="s">
        <v>267</v>
      </c>
      <c r="C21" s="474" t="s">
        <v>268</v>
      </c>
      <c r="D21" s="475" t="s">
        <v>269</v>
      </c>
      <c r="E21" s="475"/>
      <c r="F21" s="555"/>
    </row>
    <row r="22" spans="1:6" ht="15.6" hidden="1">
      <c r="A22" s="476"/>
      <c r="B22" s="472" t="s">
        <v>69</v>
      </c>
      <c r="C22" s="469"/>
      <c r="D22" s="469" t="s">
        <v>270</v>
      </c>
      <c r="E22" s="469"/>
      <c r="F22" s="469"/>
    </row>
    <row r="24" spans="1:6">
      <c r="B24" s="25">
        <f>477+2834.3</f>
        <v>3311.3</v>
      </c>
    </row>
    <row r="34" spans="2:3">
      <c r="B34" s="28"/>
      <c r="C34" s="28"/>
    </row>
    <row r="35" spans="2:3">
      <c r="B35" s="28"/>
      <c r="C35" s="28"/>
    </row>
    <row r="36" spans="2:3">
      <c r="B36" s="28"/>
      <c r="C36" s="28"/>
    </row>
    <row r="37" spans="2:3" s="2" customFormat="1" hidden="1">
      <c r="B37" s="3"/>
      <c r="C37" s="3"/>
    </row>
    <row r="38" spans="2:3">
      <c r="B38" s="28"/>
      <c r="C38" s="28"/>
    </row>
    <row r="39" spans="2:3">
      <c r="B39" s="28"/>
      <c r="C39" s="28"/>
    </row>
    <row r="40" spans="2:3">
      <c r="B40" s="28"/>
      <c r="C40" s="28"/>
    </row>
    <row r="41" spans="2:3">
      <c r="B41" s="28"/>
      <c r="C41" s="28"/>
    </row>
    <row r="42" spans="2:3">
      <c r="B42" s="28"/>
      <c r="C42" s="28"/>
    </row>
    <row r="43" spans="2:3">
      <c r="B43" s="28"/>
      <c r="C43" s="28"/>
    </row>
    <row r="44" spans="2:3">
      <c r="B44" s="28"/>
      <c r="C44" s="28"/>
    </row>
    <row r="45" spans="2:3">
      <c r="B45" s="28"/>
      <c r="C45" s="28"/>
    </row>
    <row r="46" spans="2:3">
      <c r="B46" s="28"/>
      <c r="C46" s="28"/>
    </row>
    <row r="47" spans="2:3">
      <c r="B47" s="28"/>
      <c r="C47" s="28"/>
    </row>
    <row r="48" spans="2:3">
      <c r="B48" s="28"/>
      <c r="C48" s="28"/>
    </row>
    <row r="49" spans="2:3">
      <c r="B49" s="28"/>
      <c r="C49" s="28"/>
    </row>
  </sheetData>
  <mergeCells count="5">
    <mergeCell ref="A4:A5"/>
    <mergeCell ref="B4:B5"/>
    <mergeCell ref="C4:C5"/>
    <mergeCell ref="D4:D5"/>
    <mergeCell ref="F4:F5"/>
  </mergeCells>
  <phoneticPr fontId="0" type="noConversion"/>
  <printOptions horizontalCentered="1"/>
  <pageMargins left="0" right="0" top="0.59055118110236227" bottom="0.39370078740157483" header="0.23622047244094491" footer="0.23622047244094491"/>
  <pageSetup paperSize="9" scale="105" orientation="landscape" blackAndWhite="1" useFirstPageNumber="1" horizontalDpi="4294967292" verticalDpi="300" r:id="rId1"/>
  <headerFooter alignWithMargins="0">
    <oddHeader xml:space="preserve">&amp;C
</oddHeader>
    <oddFooter>&amp;C&amp;A&amp;RPage&amp;P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FF0000"/>
  </sheetPr>
  <dimension ref="A1:M261"/>
  <sheetViews>
    <sheetView showGridLines="0" showZeros="0" topLeftCell="B6" zoomScale="71" zoomScaleNormal="71" workbookViewId="0">
      <selection activeCell="I254" sqref="I254"/>
    </sheetView>
  </sheetViews>
  <sheetFormatPr defaultColWidth="9.109375" defaultRowHeight="13.2" outlineLevelRow="1"/>
  <cols>
    <col min="1" max="1" width="3.6640625" style="123" hidden="1" customWidth="1"/>
    <col min="2" max="2" width="11.6640625" style="102" customWidth="1"/>
    <col min="3" max="3" width="68.6640625" style="103" customWidth="1"/>
    <col min="4" max="4" width="9.109375" style="102" customWidth="1"/>
    <col min="5" max="5" width="13" style="104" bestFit="1" customWidth="1"/>
    <col min="6" max="6" width="14.88671875" style="96" customWidth="1"/>
    <col min="7" max="7" width="11.5546875" style="96" customWidth="1"/>
    <col min="8" max="8" width="9.44140625" style="96" customWidth="1"/>
    <col min="9" max="10" width="20" style="102" bestFit="1" customWidth="1"/>
    <col min="11" max="11" width="16.6640625" style="102" customWidth="1"/>
    <col min="12" max="16384" width="9.109375" style="122"/>
  </cols>
  <sheetData>
    <row r="1" spans="1:11" s="112" customFormat="1" ht="14.25" hidden="1" customHeight="1" outlineLevel="1">
      <c r="A1" s="105"/>
      <c r="B1" s="106"/>
      <c r="C1" s="107" t="s">
        <v>150</v>
      </c>
      <c r="D1" s="108">
        <v>1.5</v>
      </c>
      <c r="E1" s="100"/>
      <c r="F1" s="109"/>
      <c r="G1" s="109" t="s">
        <v>65</v>
      </c>
      <c r="H1" s="278" t="s">
        <v>126</v>
      </c>
      <c r="I1" s="110" t="s">
        <v>65</v>
      </c>
      <c r="J1" s="111" t="s">
        <v>126</v>
      </c>
      <c r="K1" s="98"/>
    </row>
    <row r="2" spans="1:11" s="112" customFormat="1" ht="14.25" hidden="1" customHeight="1" outlineLevel="1">
      <c r="A2" s="113"/>
      <c r="B2" s="98"/>
      <c r="C2" s="114" t="s">
        <v>151</v>
      </c>
      <c r="D2" s="108">
        <v>1.7</v>
      </c>
      <c r="E2" s="100"/>
      <c r="F2" s="115"/>
      <c r="G2" s="115" t="s">
        <v>62</v>
      </c>
      <c r="H2" s="115">
        <v>1.5</v>
      </c>
      <c r="I2" s="116" t="s">
        <v>68</v>
      </c>
      <c r="J2" s="117">
        <v>2</v>
      </c>
      <c r="K2" s="98"/>
    </row>
    <row r="3" spans="1:11" s="112" customFormat="1" ht="14.25" hidden="1" customHeight="1" outlineLevel="1">
      <c r="A3" s="113"/>
      <c r="B3" s="98"/>
      <c r="C3" s="114" t="s">
        <v>152</v>
      </c>
      <c r="D3" s="108">
        <v>0.7</v>
      </c>
      <c r="E3" s="100"/>
      <c r="F3" s="115"/>
      <c r="G3" s="115" t="s">
        <v>63</v>
      </c>
      <c r="H3" s="115">
        <v>1</v>
      </c>
      <c r="I3" s="116"/>
      <c r="J3" s="118"/>
      <c r="K3" s="98"/>
    </row>
    <row r="4" spans="1:11" s="112" customFormat="1" ht="14.25" hidden="1" customHeight="1" outlineLevel="1">
      <c r="A4" s="113"/>
      <c r="B4" s="98"/>
      <c r="C4" s="114" t="s">
        <v>153</v>
      </c>
      <c r="D4" s="108">
        <v>0.7</v>
      </c>
      <c r="E4" s="100"/>
      <c r="F4" s="119"/>
      <c r="G4" s="119" t="s">
        <v>127</v>
      </c>
      <c r="H4" s="119">
        <v>0.8</v>
      </c>
      <c r="I4" s="120"/>
      <c r="J4" s="118"/>
      <c r="K4" s="98"/>
    </row>
    <row r="5" spans="1:11" s="112" customFormat="1" ht="14.25" hidden="1" customHeight="1" outlineLevel="1">
      <c r="A5" s="113"/>
      <c r="B5" s="98"/>
      <c r="C5" s="114" t="s">
        <v>64</v>
      </c>
      <c r="D5" s="121" t="e">
        <f>#REF!</f>
        <v>#REF!</v>
      </c>
      <c r="E5" s="100"/>
      <c r="F5" s="119"/>
      <c r="G5" s="119" t="s">
        <v>121</v>
      </c>
      <c r="H5" s="119">
        <v>1.3</v>
      </c>
      <c r="I5" s="120"/>
      <c r="J5" s="118"/>
      <c r="K5" s="98"/>
    </row>
    <row r="6" spans="1:11" s="112" customFormat="1" collapsed="1">
      <c r="A6" s="113" t="e">
        <f>#REF!</f>
        <v>#REF!</v>
      </c>
      <c r="B6" s="98"/>
      <c r="C6" s="99"/>
      <c r="D6" s="98"/>
      <c r="E6" s="100"/>
      <c r="F6" s="101"/>
      <c r="G6" s="101"/>
      <c r="H6" s="101"/>
      <c r="I6" s="98"/>
      <c r="J6" s="98"/>
      <c r="K6" s="98"/>
    </row>
    <row r="7" spans="1:11" ht="17.399999999999999">
      <c r="A7" s="113"/>
      <c r="B7" s="1427" t="s">
        <v>467</v>
      </c>
      <c r="C7" s="1427"/>
      <c r="D7" s="1427"/>
      <c r="E7" s="1427"/>
      <c r="F7" s="1427"/>
      <c r="G7" s="1427"/>
      <c r="H7" s="1427"/>
      <c r="I7" s="1427"/>
      <c r="J7" s="1427"/>
      <c r="K7" s="1427"/>
    </row>
    <row r="8" spans="1:11" ht="17.399999999999999">
      <c r="A8" s="113"/>
      <c r="B8" s="1427" t="str">
        <f>'1.TH'!A3</f>
        <v>Công trình: Mã số tài sản: 1.37013000.0001217; 1.37013000.0001215; 1.37013000.0001216.</v>
      </c>
      <c r="C8" s="1427"/>
      <c r="D8" s="1427"/>
      <c r="E8" s="1427"/>
      <c r="F8" s="1427"/>
      <c r="G8" s="1427"/>
      <c r="H8" s="1427"/>
      <c r="I8" s="1427"/>
      <c r="J8" s="1427"/>
      <c r="K8" s="1427"/>
    </row>
    <row r="10" spans="1:11" s="380" customFormat="1" ht="15.6">
      <c r="A10" s="124"/>
      <c r="B10" s="1428" t="s">
        <v>181</v>
      </c>
      <c r="C10" s="1428" t="s">
        <v>459</v>
      </c>
      <c r="D10" s="1428" t="s">
        <v>14</v>
      </c>
      <c r="E10" s="1430" t="s">
        <v>460</v>
      </c>
      <c r="F10" s="1432" t="s">
        <v>461</v>
      </c>
      <c r="G10" s="1433"/>
      <c r="H10" s="1434"/>
      <c r="I10" s="1432" t="s">
        <v>463</v>
      </c>
      <c r="J10" s="1433"/>
      <c r="K10" s="1434"/>
    </row>
    <row r="11" spans="1:11" s="380" customFormat="1" ht="15.6">
      <c r="A11" s="124"/>
      <c r="B11" s="1429"/>
      <c r="C11" s="1429"/>
      <c r="D11" s="1429"/>
      <c r="E11" s="1431"/>
      <c r="F11" s="489" t="s">
        <v>221</v>
      </c>
      <c r="G11" s="489" t="s">
        <v>462</v>
      </c>
      <c r="H11" s="489" t="s">
        <v>132</v>
      </c>
      <c r="I11" s="489" t="s">
        <v>221</v>
      </c>
      <c r="J11" s="489" t="s">
        <v>462</v>
      </c>
      <c r="K11" s="489" t="s">
        <v>132</v>
      </c>
    </row>
    <row r="12" spans="1:11" s="373" customFormat="1" ht="15.6">
      <c r="A12" s="14"/>
      <c r="B12" s="490" t="s">
        <v>21</v>
      </c>
      <c r="C12" s="490" t="s">
        <v>22</v>
      </c>
      <c r="D12" s="490" t="s">
        <v>23</v>
      </c>
      <c r="E12" s="491" t="s">
        <v>24</v>
      </c>
      <c r="F12" s="490" t="s">
        <v>25</v>
      </c>
      <c r="G12" s="490" t="s">
        <v>26</v>
      </c>
      <c r="H12" s="490" t="s">
        <v>27</v>
      </c>
      <c r="I12" s="490" t="s">
        <v>465</v>
      </c>
      <c r="J12" s="490" t="s">
        <v>464</v>
      </c>
      <c r="K12" s="490" t="s">
        <v>466</v>
      </c>
    </row>
    <row r="13" spans="1:11" s="373" customFormat="1" ht="15.6">
      <c r="A13" s="14"/>
      <c r="B13" s="317" t="s">
        <v>80</v>
      </c>
      <c r="C13" s="318" t="s">
        <v>42</v>
      </c>
      <c r="D13" s="381"/>
      <c r="E13" s="374">
        <v>1</v>
      </c>
      <c r="F13" s="382"/>
      <c r="G13" s="382"/>
      <c r="H13" s="382"/>
      <c r="I13" s="383"/>
      <c r="J13" s="383"/>
      <c r="K13" s="383"/>
    </row>
    <row r="14" spans="1:11" s="136" customFormat="1" ht="15.6" hidden="1">
      <c r="A14" s="130" t="s">
        <v>91</v>
      </c>
      <c r="B14" s="131">
        <v>1</v>
      </c>
      <c r="C14" s="132" t="s">
        <v>200</v>
      </c>
      <c r="D14" s="131" t="s">
        <v>135</v>
      </c>
      <c r="E14" s="133">
        <v>0</v>
      </c>
      <c r="F14" s="134"/>
      <c r="G14" s="134"/>
      <c r="H14" s="134"/>
      <c r="I14" s="135">
        <f t="shared" ref="I14:I49" si="0">ROUND((E14*F14),0)</f>
        <v>0</v>
      </c>
      <c r="J14" s="135">
        <f t="shared" ref="J14:J25" si="1">ROUND((E14*G14),0)</f>
        <v>0</v>
      </c>
      <c r="K14" s="135">
        <f t="shared" ref="K14:K25" si="2">ROUND((E14*H14),0)</f>
        <v>0</v>
      </c>
    </row>
    <row r="15" spans="1:11" s="136" customFormat="1" ht="15.6" hidden="1">
      <c r="A15" s="130"/>
      <c r="B15" s="137" t="s">
        <v>189</v>
      </c>
      <c r="C15" s="138" t="s">
        <v>46</v>
      </c>
      <c r="D15" s="137" t="s">
        <v>67</v>
      </c>
      <c r="E15" s="139">
        <f>E14*0.226</f>
        <v>0</v>
      </c>
      <c r="F15" s="134">
        <v>0</v>
      </c>
      <c r="G15" s="134">
        <v>142162</v>
      </c>
      <c r="H15" s="134"/>
      <c r="I15" s="135">
        <f t="shared" si="0"/>
        <v>0</v>
      </c>
      <c r="J15" s="135">
        <f>ROUND((E15*G15),0)</f>
        <v>0</v>
      </c>
      <c r="K15" s="135">
        <f t="shared" si="2"/>
        <v>0</v>
      </c>
    </row>
    <row r="16" spans="1:11" s="136" customFormat="1" ht="15.6" hidden="1">
      <c r="A16" s="130"/>
      <c r="B16" s="137" t="s">
        <v>190</v>
      </c>
      <c r="C16" s="138" t="s">
        <v>47</v>
      </c>
      <c r="D16" s="137" t="s">
        <v>67</v>
      </c>
      <c r="E16" s="139">
        <f>E14*0.099</f>
        <v>0</v>
      </c>
      <c r="F16" s="134">
        <v>0</v>
      </c>
      <c r="G16" s="134">
        <v>65943</v>
      </c>
      <c r="H16" s="134"/>
      <c r="I16" s="135">
        <f t="shared" si="0"/>
        <v>0</v>
      </c>
      <c r="J16" s="135">
        <f t="shared" si="1"/>
        <v>0</v>
      </c>
      <c r="K16" s="135">
        <f t="shared" si="2"/>
        <v>0</v>
      </c>
    </row>
    <row r="17" spans="1:11" s="16" customFormat="1" ht="15.6" hidden="1">
      <c r="A17" s="14" t="s">
        <v>139</v>
      </c>
      <c r="B17" s="44">
        <v>1</v>
      </c>
      <c r="C17" s="91" t="s">
        <v>78</v>
      </c>
      <c r="D17" s="44" t="s">
        <v>135</v>
      </c>
      <c r="E17" s="140">
        <f>'BKe TT'!O247</f>
        <v>19</v>
      </c>
      <c r="F17" s="23"/>
      <c r="G17" s="23"/>
      <c r="H17" s="23"/>
      <c r="I17" s="13">
        <f t="shared" si="0"/>
        <v>0</v>
      </c>
      <c r="J17" s="13">
        <f t="shared" si="1"/>
        <v>0</v>
      </c>
      <c r="K17" s="13">
        <f t="shared" si="2"/>
        <v>0</v>
      </c>
    </row>
    <row r="18" spans="1:11" s="311" customFormat="1" ht="15.6" hidden="1">
      <c r="A18" s="305"/>
      <c r="B18" s="306"/>
      <c r="C18" s="307" t="s">
        <v>182</v>
      </c>
      <c r="D18" s="306" t="s">
        <v>183</v>
      </c>
      <c r="E18" s="308">
        <f>E17*1</f>
        <v>19</v>
      </c>
      <c r="F18" s="309">
        <v>300000</v>
      </c>
      <c r="G18" s="309"/>
      <c r="H18" s="309"/>
      <c r="I18" s="310">
        <f t="shared" si="0"/>
        <v>5700000</v>
      </c>
      <c r="J18" s="310">
        <f t="shared" si="1"/>
        <v>0</v>
      </c>
      <c r="K18" s="310">
        <f t="shared" si="2"/>
        <v>0</v>
      </c>
    </row>
    <row r="19" spans="1:11" s="16" customFormat="1" ht="15.6" hidden="1">
      <c r="A19" s="14"/>
      <c r="B19" s="15"/>
      <c r="C19" s="92" t="s">
        <v>337</v>
      </c>
      <c r="D19" s="15" t="s">
        <v>89</v>
      </c>
      <c r="E19" s="21">
        <f>E17*1</f>
        <v>19</v>
      </c>
      <c r="F19" s="23">
        <f>75900+2*2100</f>
        <v>80100</v>
      </c>
      <c r="G19" s="23"/>
      <c r="H19" s="23"/>
      <c r="I19" s="13">
        <f t="shared" si="0"/>
        <v>1521900</v>
      </c>
      <c r="J19" s="13">
        <f t="shared" si="1"/>
        <v>0</v>
      </c>
      <c r="K19" s="13">
        <f t="shared" si="2"/>
        <v>0</v>
      </c>
    </row>
    <row r="20" spans="1:11" s="136" customFormat="1" ht="15.6" hidden="1" collapsed="1">
      <c r="A20" s="130" t="s">
        <v>114</v>
      </c>
      <c r="B20" s="131">
        <v>3</v>
      </c>
      <c r="C20" s="132" t="s">
        <v>110</v>
      </c>
      <c r="D20" s="131" t="s">
        <v>135</v>
      </c>
      <c r="E20" s="141"/>
      <c r="F20" s="202"/>
      <c r="G20" s="134"/>
      <c r="H20" s="134"/>
      <c r="I20" s="135">
        <f t="shared" si="0"/>
        <v>0</v>
      </c>
      <c r="J20" s="135">
        <f t="shared" si="1"/>
        <v>0</v>
      </c>
      <c r="K20" s="135">
        <f t="shared" si="2"/>
        <v>0</v>
      </c>
    </row>
    <row r="21" spans="1:11" s="136" customFormat="1" ht="15.6" hidden="1">
      <c r="A21" s="130"/>
      <c r="B21" s="137" t="s">
        <v>195</v>
      </c>
      <c r="C21" s="138" t="s">
        <v>182</v>
      </c>
      <c r="D21" s="137" t="s">
        <v>183</v>
      </c>
      <c r="E21" s="139">
        <f>E20*2</f>
        <v>0</v>
      </c>
      <c r="F21" s="202">
        <v>150000</v>
      </c>
      <c r="G21" s="134"/>
      <c r="H21" s="134"/>
      <c r="I21" s="135">
        <f t="shared" si="0"/>
        <v>0</v>
      </c>
      <c r="J21" s="135">
        <f t="shared" si="1"/>
        <v>0</v>
      </c>
      <c r="K21" s="135">
        <f t="shared" si="2"/>
        <v>0</v>
      </c>
    </row>
    <row r="22" spans="1:11" s="136" customFormat="1" ht="15.6" hidden="1">
      <c r="A22" s="130"/>
      <c r="B22" s="137"/>
      <c r="C22" s="138" t="s">
        <v>43</v>
      </c>
      <c r="D22" s="137" t="s">
        <v>89</v>
      </c>
      <c r="E22" s="139">
        <f>E20*3</f>
        <v>0</v>
      </c>
      <c r="F22" s="202">
        <f>2*2400+78000</f>
        <v>82800</v>
      </c>
      <c r="G22" s="134"/>
      <c r="H22" s="134"/>
      <c r="I22" s="135">
        <f t="shared" si="0"/>
        <v>0</v>
      </c>
      <c r="J22" s="135">
        <f t="shared" si="1"/>
        <v>0</v>
      </c>
      <c r="K22" s="135">
        <f t="shared" si="2"/>
        <v>0</v>
      </c>
    </row>
    <row r="23" spans="1:11" s="136" customFormat="1" ht="15.6" hidden="1">
      <c r="A23" s="130"/>
      <c r="B23" s="137" t="s">
        <v>189</v>
      </c>
      <c r="C23" s="138" t="s">
        <v>44</v>
      </c>
      <c r="D23" s="137" t="s">
        <v>67</v>
      </c>
      <c r="E23" s="142">
        <f>E20*0.658</f>
        <v>0</v>
      </c>
      <c r="F23" s="202"/>
      <c r="G23" s="134"/>
      <c r="H23" s="134"/>
      <c r="I23" s="135">
        <f t="shared" si="0"/>
        <v>0</v>
      </c>
      <c r="J23" s="135">
        <f t="shared" si="1"/>
        <v>0</v>
      </c>
      <c r="K23" s="135">
        <f t="shared" si="2"/>
        <v>0</v>
      </c>
    </row>
    <row r="24" spans="1:11" s="136" customFormat="1" ht="15.6" hidden="1">
      <c r="A24" s="130"/>
      <c r="B24" s="137" t="s">
        <v>190</v>
      </c>
      <c r="C24" s="138" t="s">
        <v>45</v>
      </c>
      <c r="D24" s="137" t="s">
        <v>67</v>
      </c>
      <c r="E24" s="142">
        <f>E20*0.195</f>
        <v>0</v>
      </c>
      <c r="F24" s="202"/>
      <c r="G24" s="134"/>
      <c r="H24" s="134"/>
      <c r="I24" s="135">
        <f t="shared" si="0"/>
        <v>0</v>
      </c>
      <c r="J24" s="135">
        <f t="shared" si="1"/>
        <v>0</v>
      </c>
      <c r="K24" s="135">
        <f t="shared" si="2"/>
        <v>0</v>
      </c>
    </row>
    <row r="25" spans="1:11" s="126" customFormat="1" ht="15.6" hidden="1">
      <c r="A25" s="46" t="e">
        <f>A20+1</f>
        <v>#VALUE!</v>
      </c>
      <c r="B25" s="46">
        <v>2</v>
      </c>
      <c r="C25" s="125" t="s">
        <v>199</v>
      </c>
      <c r="D25" s="47" t="s">
        <v>1</v>
      </c>
      <c r="E25" s="45" t="e">
        <f>'BKe TT'!#REF!</f>
        <v>#REF!</v>
      </c>
      <c r="F25" s="202"/>
      <c r="G25" s="23"/>
      <c r="H25" s="23"/>
      <c r="I25" s="13" t="e">
        <f t="shared" si="0"/>
        <v>#REF!</v>
      </c>
      <c r="J25" s="13" t="e">
        <f t="shared" si="1"/>
        <v>#REF!</v>
      </c>
      <c r="K25" s="13" t="e">
        <f t="shared" si="2"/>
        <v>#REF!</v>
      </c>
    </row>
    <row r="26" spans="1:11" s="287" customFormat="1" ht="15.6" hidden="1">
      <c r="A26" s="286"/>
      <c r="C26" s="288" t="s">
        <v>338</v>
      </c>
      <c r="D26" s="395" t="s">
        <v>77</v>
      </c>
      <c r="E26" s="289" t="e">
        <f>505*E25</f>
        <v>#REF!</v>
      </c>
      <c r="F26" s="290">
        <v>1700</v>
      </c>
      <c r="G26" s="291"/>
      <c r="H26" s="291"/>
      <c r="I26" s="292" t="e">
        <f t="shared" si="0"/>
        <v>#REF!</v>
      </c>
      <c r="J26" s="292" t="e">
        <f>ROUND((E26*G26),0)</f>
        <v>#REF!</v>
      </c>
      <c r="K26" s="292" t="e">
        <f>ROUND((E26*H26),0)</f>
        <v>#REF!</v>
      </c>
    </row>
    <row r="27" spans="1:11" s="287" customFormat="1" ht="18.600000000000001" hidden="1">
      <c r="A27" s="286"/>
      <c r="C27" s="288" t="s">
        <v>339</v>
      </c>
      <c r="D27" s="395" t="s">
        <v>346</v>
      </c>
      <c r="E27" s="293" t="e">
        <f>0.63*E25</f>
        <v>#REF!</v>
      </c>
      <c r="F27" s="290">
        <v>290000</v>
      </c>
      <c r="G27" s="291"/>
      <c r="H27" s="291"/>
      <c r="I27" s="292" t="e">
        <f t="shared" si="0"/>
        <v>#REF!</v>
      </c>
      <c r="J27" s="292" t="e">
        <f t="shared" ref="J27:J90" si="3">ROUND((E27*G27),0)</f>
        <v>#REF!</v>
      </c>
      <c r="K27" s="292" t="e">
        <f t="shared" ref="K27:K90" si="4">ROUND((E27*H27),0)</f>
        <v>#REF!</v>
      </c>
    </row>
    <row r="28" spans="1:11" s="287" customFormat="1" ht="18.600000000000001" hidden="1">
      <c r="A28" s="286"/>
      <c r="C28" s="288" t="s">
        <v>340</v>
      </c>
      <c r="D28" s="395" t="s">
        <v>346</v>
      </c>
      <c r="E28" s="293" t="e">
        <f>1.21*E25</f>
        <v>#REF!</v>
      </c>
      <c r="F28" s="290">
        <v>225000</v>
      </c>
      <c r="G28" s="291"/>
      <c r="H28" s="291"/>
      <c r="I28" s="292" t="e">
        <f t="shared" si="0"/>
        <v>#REF!</v>
      </c>
      <c r="J28" s="292" t="e">
        <f t="shared" si="3"/>
        <v>#REF!</v>
      </c>
      <c r="K28" s="292" t="e">
        <f t="shared" si="4"/>
        <v>#REF!</v>
      </c>
    </row>
    <row r="29" spans="1:11" s="49" customFormat="1" ht="15.6" hidden="1">
      <c r="A29" s="48"/>
      <c r="B29" s="52"/>
      <c r="C29" s="93" t="s">
        <v>223</v>
      </c>
      <c r="D29" s="53" t="s">
        <v>157</v>
      </c>
      <c r="E29" s="69" t="e">
        <f>E25</f>
        <v>#REF!</v>
      </c>
      <c r="F29" s="202">
        <f>36400+2*2100</f>
        <v>40600</v>
      </c>
      <c r="G29" s="32"/>
      <c r="H29" s="32"/>
      <c r="I29" s="13" t="e">
        <f t="shared" si="0"/>
        <v>#REF!</v>
      </c>
      <c r="J29" s="13" t="e">
        <f t="shared" si="3"/>
        <v>#REF!</v>
      </c>
      <c r="K29" s="13" t="e">
        <f t="shared" si="4"/>
        <v>#REF!</v>
      </c>
    </row>
    <row r="30" spans="1:11" s="49" customFormat="1" ht="15.6" hidden="1">
      <c r="A30" s="48"/>
      <c r="B30" s="68"/>
      <c r="C30" s="93" t="s">
        <v>224</v>
      </c>
      <c r="D30" s="53" t="s">
        <v>157</v>
      </c>
      <c r="E30" s="69" t="e">
        <f>E25</f>
        <v>#REF!</v>
      </c>
      <c r="F30" s="202">
        <f>41400+2*2100</f>
        <v>45600</v>
      </c>
      <c r="G30" s="32"/>
      <c r="H30" s="32"/>
      <c r="I30" s="13" t="e">
        <f t="shared" si="0"/>
        <v>#REF!</v>
      </c>
      <c r="J30" s="13" t="e">
        <f>ROUND((E30*G30),0)</f>
        <v>#REF!</v>
      </c>
      <c r="K30" s="13" t="e">
        <f>ROUND((E30*H30),0)</f>
        <v>#REF!</v>
      </c>
    </row>
    <row r="31" spans="1:11" s="49" customFormat="1" ht="15.6" hidden="1">
      <c r="A31" s="48"/>
      <c r="B31" s="68"/>
      <c r="C31" s="93" t="s">
        <v>225</v>
      </c>
      <c r="D31" s="53" t="s">
        <v>157</v>
      </c>
      <c r="E31" s="69" t="e">
        <f>E25</f>
        <v>#REF!</v>
      </c>
      <c r="F31" s="202">
        <f>46500+2*2100</f>
        <v>50700</v>
      </c>
      <c r="G31" s="32"/>
      <c r="H31" s="32"/>
      <c r="I31" s="13" t="e">
        <f t="shared" si="0"/>
        <v>#REF!</v>
      </c>
      <c r="J31" s="13" t="e">
        <f t="shared" si="3"/>
        <v>#REF!</v>
      </c>
      <c r="K31" s="13" t="e">
        <f t="shared" si="4"/>
        <v>#REF!</v>
      </c>
    </row>
    <row r="32" spans="1:11" s="136" customFormat="1" ht="15.6" hidden="1">
      <c r="A32" s="130" t="s">
        <v>115</v>
      </c>
      <c r="B32" s="131">
        <v>5</v>
      </c>
      <c r="C32" s="132" t="s">
        <v>70</v>
      </c>
      <c r="D32" s="131" t="s">
        <v>135</v>
      </c>
      <c r="E32" s="141"/>
      <c r="F32" s="202"/>
      <c r="G32" s="134"/>
      <c r="H32" s="134"/>
      <c r="I32" s="135">
        <f t="shared" si="0"/>
        <v>0</v>
      </c>
      <c r="J32" s="135">
        <f t="shared" si="3"/>
        <v>0</v>
      </c>
      <c r="K32" s="135">
        <f t="shared" si="4"/>
        <v>0</v>
      </c>
    </row>
    <row r="33" spans="1:11" s="136" customFormat="1" ht="15.6" hidden="1">
      <c r="A33" s="130"/>
      <c r="B33" s="137" t="s">
        <v>195</v>
      </c>
      <c r="C33" s="138" t="s">
        <v>182</v>
      </c>
      <c r="D33" s="137" t="s">
        <v>183</v>
      </c>
      <c r="E33" s="139">
        <f>E32*1</f>
        <v>0</v>
      </c>
      <c r="F33" s="202">
        <f>F21</f>
        <v>150000</v>
      </c>
      <c r="G33" s="134"/>
      <c r="H33" s="134"/>
      <c r="I33" s="135">
        <f t="shared" si="0"/>
        <v>0</v>
      </c>
      <c r="J33" s="135">
        <f t="shared" si="3"/>
        <v>0</v>
      </c>
      <c r="K33" s="135">
        <f t="shared" si="4"/>
        <v>0</v>
      </c>
    </row>
    <row r="34" spans="1:11" s="136" customFormat="1" ht="15.6" hidden="1">
      <c r="A34" s="130"/>
      <c r="B34" s="137"/>
      <c r="C34" s="138" t="s">
        <v>143</v>
      </c>
      <c r="D34" s="137" t="s">
        <v>89</v>
      </c>
      <c r="E34" s="139">
        <f>E32*1</f>
        <v>0</v>
      </c>
      <c r="F34" s="202">
        <f>F19</f>
        <v>80100</v>
      </c>
      <c r="G34" s="134"/>
      <c r="H34" s="134"/>
      <c r="I34" s="135">
        <f t="shared" si="0"/>
        <v>0</v>
      </c>
      <c r="J34" s="135">
        <f t="shared" si="3"/>
        <v>0</v>
      </c>
      <c r="K34" s="135">
        <f t="shared" si="4"/>
        <v>0</v>
      </c>
    </row>
    <row r="35" spans="1:11" s="136" customFormat="1" ht="15.6" hidden="1">
      <c r="A35" s="130"/>
      <c r="B35" s="137" t="s">
        <v>189</v>
      </c>
      <c r="C35" s="138" t="s">
        <v>185</v>
      </c>
      <c r="D35" s="137" t="s">
        <v>67</v>
      </c>
      <c r="E35" s="139">
        <f>E32*1.038</f>
        <v>0</v>
      </c>
      <c r="F35" s="202">
        <v>0</v>
      </c>
      <c r="G35" s="134"/>
      <c r="H35" s="134"/>
      <c r="I35" s="135">
        <f t="shared" si="0"/>
        <v>0</v>
      </c>
      <c r="J35" s="135">
        <f t="shared" si="3"/>
        <v>0</v>
      </c>
      <c r="K35" s="135">
        <f t="shared" si="4"/>
        <v>0</v>
      </c>
    </row>
    <row r="36" spans="1:11" s="136" customFormat="1" ht="15.6" hidden="1">
      <c r="A36" s="130"/>
      <c r="B36" s="137" t="s">
        <v>190</v>
      </c>
      <c r="C36" s="138" t="s">
        <v>72</v>
      </c>
      <c r="D36" s="137" t="s">
        <v>67</v>
      </c>
      <c r="E36" s="139">
        <f>E32*0.992</f>
        <v>0</v>
      </c>
      <c r="F36" s="202">
        <v>0</v>
      </c>
      <c r="G36" s="134"/>
      <c r="H36" s="134"/>
      <c r="I36" s="135">
        <f t="shared" si="0"/>
        <v>0</v>
      </c>
      <c r="J36" s="135">
        <f t="shared" si="3"/>
        <v>0</v>
      </c>
      <c r="K36" s="135">
        <f t="shared" si="4"/>
        <v>0</v>
      </c>
    </row>
    <row r="37" spans="1:11" s="136" customFormat="1" ht="15.6" hidden="1">
      <c r="A37" s="130" t="s">
        <v>76</v>
      </c>
      <c r="B37" s="131">
        <v>3</v>
      </c>
      <c r="C37" s="132" t="s">
        <v>201</v>
      </c>
      <c r="D37" s="131" t="s">
        <v>93</v>
      </c>
      <c r="E37" s="141"/>
      <c r="F37" s="202"/>
      <c r="G37" s="134"/>
      <c r="H37" s="134"/>
      <c r="I37" s="135">
        <f t="shared" si="0"/>
        <v>0</v>
      </c>
      <c r="J37" s="135">
        <f t="shared" si="3"/>
        <v>0</v>
      </c>
      <c r="K37" s="135">
        <f t="shared" si="4"/>
        <v>0</v>
      </c>
    </row>
    <row r="38" spans="1:11" s="136" customFormat="1" ht="15.6" hidden="1">
      <c r="A38" s="130"/>
      <c r="B38" s="137"/>
      <c r="C38" s="138" t="s">
        <v>202</v>
      </c>
      <c r="D38" s="137" t="s">
        <v>77</v>
      </c>
      <c r="E38" s="143">
        <f>ROUND((E37*1*0.224),1)</f>
        <v>0</v>
      </c>
      <c r="F38" s="202">
        <v>240600</v>
      </c>
      <c r="G38" s="134"/>
      <c r="H38" s="134"/>
      <c r="I38" s="135">
        <f>ROUND((E38*F38),0)</f>
        <v>0</v>
      </c>
      <c r="J38" s="135">
        <f t="shared" si="3"/>
        <v>0</v>
      </c>
      <c r="K38" s="135">
        <f t="shared" si="4"/>
        <v>0</v>
      </c>
    </row>
    <row r="39" spans="1:11" s="136" customFormat="1" ht="15.6" hidden="1">
      <c r="A39" s="130"/>
      <c r="B39" s="137"/>
      <c r="C39" s="138" t="s">
        <v>144</v>
      </c>
      <c r="D39" s="137" t="s">
        <v>89</v>
      </c>
      <c r="E39" s="139">
        <f>E37*0</f>
        <v>0</v>
      </c>
      <c r="F39" s="202">
        <f>98600+9700</f>
        <v>108300</v>
      </c>
      <c r="G39" s="134"/>
      <c r="H39" s="134"/>
      <c r="I39" s="135">
        <f t="shared" si="0"/>
        <v>0</v>
      </c>
      <c r="J39" s="135">
        <f t="shared" si="3"/>
        <v>0</v>
      </c>
      <c r="K39" s="135">
        <f t="shared" si="4"/>
        <v>0</v>
      </c>
    </row>
    <row r="40" spans="1:11" s="136" customFormat="1" ht="15.6" hidden="1">
      <c r="A40" s="130"/>
      <c r="B40" s="137"/>
      <c r="C40" s="138" t="s">
        <v>203</v>
      </c>
      <c r="D40" s="137" t="s">
        <v>183</v>
      </c>
      <c r="E40" s="139">
        <f>E37*2</f>
        <v>0</v>
      </c>
      <c r="F40" s="202">
        <v>13000</v>
      </c>
      <c r="G40" s="134"/>
      <c r="H40" s="134"/>
      <c r="I40" s="135">
        <f>ROUND((E40*F40),0)</f>
        <v>0</v>
      </c>
      <c r="J40" s="135">
        <f t="shared" si="3"/>
        <v>0</v>
      </c>
      <c r="K40" s="135">
        <f t="shared" si="4"/>
        <v>0</v>
      </c>
    </row>
    <row r="41" spans="1:11" s="136" customFormat="1" ht="15.6" hidden="1">
      <c r="A41" s="130"/>
      <c r="B41" s="137" t="s">
        <v>145</v>
      </c>
      <c r="C41" s="138" t="s">
        <v>84</v>
      </c>
      <c r="D41" s="137" t="s">
        <v>77</v>
      </c>
      <c r="E41" s="139">
        <f>E38</f>
        <v>0</v>
      </c>
      <c r="F41" s="202"/>
      <c r="G41" s="134"/>
      <c r="H41" s="134"/>
      <c r="I41" s="135">
        <f t="shared" si="0"/>
        <v>0</v>
      </c>
      <c r="J41" s="135">
        <f t="shared" si="3"/>
        <v>0</v>
      </c>
      <c r="K41" s="135">
        <f t="shared" si="4"/>
        <v>0</v>
      </c>
    </row>
    <row r="42" spans="1:11" s="136" customFormat="1" ht="15.6" hidden="1">
      <c r="A42" s="130"/>
      <c r="B42" s="144" t="s">
        <v>193</v>
      </c>
      <c r="C42" s="138" t="s">
        <v>147</v>
      </c>
      <c r="D42" s="137" t="s">
        <v>122</v>
      </c>
      <c r="E42" s="139">
        <f>E39</f>
        <v>0</v>
      </c>
      <c r="F42" s="202"/>
      <c r="G42" s="134"/>
      <c r="H42" s="134"/>
      <c r="I42" s="135">
        <f t="shared" si="0"/>
        <v>0</v>
      </c>
      <c r="J42" s="135">
        <f t="shared" si="3"/>
        <v>0</v>
      </c>
      <c r="K42" s="135">
        <f t="shared" si="4"/>
        <v>0</v>
      </c>
    </row>
    <row r="43" spans="1:11" s="373" customFormat="1" ht="31.2">
      <c r="A43" s="14" t="s">
        <v>76</v>
      </c>
      <c r="B43" s="317">
        <v>1</v>
      </c>
      <c r="C43" s="318" t="s">
        <v>341</v>
      </c>
      <c r="D43" s="317" t="s">
        <v>93</v>
      </c>
      <c r="E43" s="319"/>
      <c r="F43" s="320"/>
      <c r="G43" s="320"/>
      <c r="H43" s="320"/>
      <c r="I43" s="321">
        <f t="shared" si="0"/>
        <v>0</v>
      </c>
      <c r="J43" s="321">
        <f t="shared" si="3"/>
        <v>0</v>
      </c>
      <c r="K43" s="321">
        <f t="shared" si="4"/>
        <v>0</v>
      </c>
    </row>
    <row r="44" spans="1:11" s="373" customFormat="1" ht="15.6">
      <c r="A44" s="305"/>
      <c r="B44" s="322"/>
      <c r="C44" s="323" t="s">
        <v>202</v>
      </c>
      <c r="D44" s="322" t="s">
        <v>77</v>
      </c>
      <c r="E44" s="299"/>
      <c r="F44" s="320">
        <v>186600</v>
      </c>
      <c r="G44" s="320"/>
      <c r="H44" s="320"/>
      <c r="I44" s="321">
        <f>ROUND((E44*F44),0)</f>
        <v>0</v>
      </c>
      <c r="J44" s="321">
        <f t="shared" si="3"/>
        <v>0</v>
      </c>
      <c r="K44" s="321">
        <f t="shared" si="4"/>
        <v>0</v>
      </c>
    </row>
    <row r="45" spans="1:11" s="16" customFormat="1" ht="15.6" hidden="1">
      <c r="A45" s="14"/>
      <c r="B45" s="15"/>
      <c r="C45" s="92" t="s">
        <v>144</v>
      </c>
      <c r="D45" s="15" t="s">
        <v>89</v>
      </c>
      <c r="E45" s="57"/>
      <c r="F45" s="202">
        <f>129000+14000</f>
        <v>143000</v>
      </c>
      <c r="G45" s="23"/>
      <c r="H45" s="23"/>
      <c r="I45" s="13">
        <f t="shared" si="0"/>
        <v>0</v>
      </c>
      <c r="J45" s="13">
        <f t="shared" si="3"/>
        <v>0</v>
      </c>
      <c r="K45" s="13">
        <f t="shared" si="4"/>
        <v>0</v>
      </c>
    </row>
    <row r="46" spans="1:11" s="373" customFormat="1" ht="15.6">
      <c r="A46" s="14"/>
      <c r="B46" s="322"/>
      <c r="C46" s="323" t="s">
        <v>400</v>
      </c>
      <c r="D46" s="322" t="s">
        <v>183</v>
      </c>
      <c r="E46" s="324"/>
      <c r="F46" s="320">
        <v>11000</v>
      </c>
      <c r="G46" s="320"/>
      <c r="H46" s="320"/>
      <c r="I46" s="321">
        <f>ROUND((E46*F46),0)</f>
        <v>0</v>
      </c>
      <c r="J46" s="321">
        <f t="shared" si="3"/>
        <v>0</v>
      </c>
      <c r="K46" s="321">
        <f t="shared" si="4"/>
        <v>0</v>
      </c>
    </row>
    <row r="47" spans="1:11" s="373" customFormat="1" ht="15.6" hidden="1">
      <c r="A47" s="130"/>
      <c r="B47" s="322" t="s">
        <v>145</v>
      </c>
      <c r="C47" s="323" t="s">
        <v>84</v>
      </c>
      <c r="D47" s="322" t="s">
        <v>77</v>
      </c>
      <c r="E47" s="324"/>
      <c r="F47" s="320"/>
      <c r="G47" s="320"/>
      <c r="H47" s="320"/>
      <c r="I47" s="321">
        <f t="shared" si="0"/>
        <v>0</v>
      </c>
      <c r="J47" s="321">
        <f t="shared" si="3"/>
        <v>0</v>
      </c>
      <c r="K47" s="321">
        <f t="shared" si="4"/>
        <v>0</v>
      </c>
    </row>
    <row r="48" spans="1:11" s="136" customFormat="1" ht="15.6" hidden="1">
      <c r="A48" s="130"/>
      <c r="B48" s="144" t="s">
        <v>193</v>
      </c>
      <c r="C48" s="138" t="s">
        <v>147</v>
      </c>
      <c r="D48" s="137" t="s">
        <v>122</v>
      </c>
      <c r="E48" s="139">
        <f>E45</f>
        <v>0</v>
      </c>
      <c r="F48" s="202"/>
      <c r="G48" s="134"/>
      <c r="H48" s="134"/>
      <c r="I48" s="135">
        <f t="shared" si="0"/>
        <v>0</v>
      </c>
      <c r="J48" s="135">
        <f t="shared" si="3"/>
        <v>0</v>
      </c>
      <c r="K48" s="135">
        <f t="shared" si="4"/>
        <v>0</v>
      </c>
    </row>
    <row r="49" spans="1:11" s="16" customFormat="1" ht="15.6" hidden="1">
      <c r="A49" s="55" t="s">
        <v>85</v>
      </c>
      <c r="B49" s="44">
        <v>4</v>
      </c>
      <c r="C49" s="91" t="s">
        <v>133</v>
      </c>
      <c r="D49" s="44" t="s">
        <v>90</v>
      </c>
      <c r="E49" s="56">
        <f>'BKe TT'!M247+'BKe TT'!N247</f>
        <v>19</v>
      </c>
      <c r="F49" s="202"/>
      <c r="G49" s="23"/>
      <c r="H49" s="23"/>
      <c r="I49" s="13">
        <f t="shared" si="0"/>
        <v>0</v>
      </c>
      <c r="J49" s="13">
        <f t="shared" si="3"/>
        <v>0</v>
      </c>
      <c r="K49" s="13">
        <f t="shared" si="4"/>
        <v>0</v>
      </c>
    </row>
    <row r="50" spans="1:11" s="311" customFormat="1" ht="15.6" hidden="1">
      <c r="A50" s="305"/>
      <c r="B50" s="306"/>
      <c r="C50" s="307" t="s">
        <v>196</v>
      </c>
      <c r="D50" s="306" t="s">
        <v>155</v>
      </c>
      <c r="E50" s="308">
        <f>E49*1</f>
        <v>19</v>
      </c>
      <c r="F50" s="309">
        <v>3460000</v>
      </c>
      <c r="G50" s="309"/>
      <c r="H50" s="309"/>
      <c r="I50" s="310">
        <f>ROUND((E50*F50),0)</f>
        <v>65740000</v>
      </c>
      <c r="J50" s="310">
        <f t="shared" si="3"/>
        <v>0</v>
      </c>
      <c r="K50" s="310">
        <f t="shared" si="4"/>
        <v>0</v>
      </c>
    </row>
    <row r="51" spans="1:11" s="136" customFormat="1" ht="15.6" hidden="1">
      <c r="A51" s="130"/>
      <c r="B51" s="144" t="s">
        <v>191</v>
      </c>
      <c r="C51" s="138" t="s">
        <v>187</v>
      </c>
      <c r="D51" s="137" t="s">
        <v>155</v>
      </c>
      <c r="E51" s="139">
        <f>E49*1</f>
        <v>19</v>
      </c>
      <c r="F51" s="202"/>
      <c r="G51" s="134"/>
      <c r="H51" s="134"/>
      <c r="I51" s="135">
        <f t="shared" ref="I51:I114" si="5">ROUND((E51*F51),0)</f>
        <v>0</v>
      </c>
      <c r="J51" s="135">
        <f>ROUND((E51*G51),0)</f>
        <v>0</v>
      </c>
      <c r="K51" s="135">
        <f t="shared" si="4"/>
        <v>0</v>
      </c>
    </row>
    <row r="52" spans="1:11" s="136" customFormat="1" ht="15.6" hidden="1">
      <c r="A52" s="145" t="s">
        <v>85</v>
      </c>
      <c r="B52" s="131"/>
      <c r="C52" s="132" t="s">
        <v>204</v>
      </c>
      <c r="D52" s="131" t="s">
        <v>90</v>
      </c>
      <c r="E52" s="133"/>
      <c r="F52" s="202"/>
      <c r="G52" s="134"/>
      <c r="H52" s="134"/>
      <c r="I52" s="135">
        <f t="shared" si="5"/>
        <v>0</v>
      </c>
      <c r="J52" s="135">
        <f t="shared" si="3"/>
        <v>0</v>
      </c>
      <c r="K52" s="135">
        <f t="shared" si="4"/>
        <v>0</v>
      </c>
    </row>
    <row r="53" spans="1:11" s="136" customFormat="1" ht="15.6" hidden="1">
      <c r="A53" s="130"/>
      <c r="B53" s="137"/>
      <c r="C53" s="138" t="s">
        <v>196</v>
      </c>
      <c r="D53" s="137" t="s">
        <v>155</v>
      </c>
      <c r="E53" s="139">
        <f>E52*1</f>
        <v>0</v>
      </c>
      <c r="F53" s="202">
        <v>2227273</v>
      </c>
      <c r="G53" s="134"/>
      <c r="H53" s="134"/>
      <c r="I53" s="135">
        <f>ROUND((E53*F53),0)</f>
        <v>0</v>
      </c>
      <c r="J53" s="135">
        <f t="shared" si="3"/>
        <v>0</v>
      </c>
      <c r="K53" s="135">
        <f t="shared" si="4"/>
        <v>0</v>
      </c>
    </row>
    <row r="54" spans="1:11" s="136" customFormat="1" ht="15.6" hidden="1">
      <c r="A54" s="130"/>
      <c r="B54" s="144" t="s">
        <v>227</v>
      </c>
      <c r="C54" s="138" t="s">
        <v>205</v>
      </c>
      <c r="D54" s="137" t="s">
        <v>155</v>
      </c>
      <c r="E54" s="139">
        <f>E52*1</f>
        <v>0</v>
      </c>
      <c r="F54" s="202"/>
      <c r="G54" s="134"/>
      <c r="H54" s="134"/>
      <c r="I54" s="135">
        <f t="shared" si="5"/>
        <v>0</v>
      </c>
      <c r="J54" s="135">
        <f t="shared" si="3"/>
        <v>0</v>
      </c>
      <c r="K54" s="135">
        <f t="shared" si="4"/>
        <v>0</v>
      </c>
    </row>
    <row r="55" spans="1:11" s="136" customFormat="1" ht="15.6" hidden="1">
      <c r="A55" s="145" t="s">
        <v>85</v>
      </c>
      <c r="B55" s="131"/>
      <c r="C55" s="132" t="s">
        <v>206</v>
      </c>
      <c r="D55" s="131" t="s">
        <v>90</v>
      </c>
      <c r="E55" s="133"/>
      <c r="F55" s="202"/>
      <c r="G55" s="134"/>
      <c r="H55" s="134"/>
      <c r="I55" s="135">
        <f t="shared" si="5"/>
        <v>0</v>
      </c>
      <c r="J55" s="135">
        <f t="shared" si="3"/>
        <v>0</v>
      </c>
      <c r="K55" s="135">
        <f t="shared" si="4"/>
        <v>0</v>
      </c>
    </row>
    <row r="56" spans="1:11" s="136" customFormat="1" ht="15.6" hidden="1">
      <c r="A56" s="130"/>
      <c r="B56" s="137"/>
      <c r="C56" s="138" t="s">
        <v>222</v>
      </c>
      <c r="D56" s="137" t="s">
        <v>155</v>
      </c>
      <c r="E56" s="139">
        <f>E55*1</f>
        <v>0</v>
      </c>
      <c r="F56" s="202">
        <v>3468182</v>
      </c>
      <c r="G56" s="134"/>
      <c r="H56" s="134"/>
      <c r="I56" s="135">
        <f>ROUND((E56*F56),0)</f>
        <v>0</v>
      </c>
      <c r="J56" s="135">
        <f t="shared" si="3"/>
        <v>0</v>
      </c>
      <c r="K56" s="135">
        <f t="shared" si="4"/>
        <v>0</v>
      </c>
    </row>
    <row r="57" spans="1:11" s="146" customFormat="1" ht="15.6" hidden="1">
      <c r="B57" s="147" t="s">
        <v>228</v>
      </c>
      <c r="C57" s="148" t="s">
        <v>207</v>
      </c>
      <c r="D57" s="149" t="s">
        <v>155</v>
      </c>
      <c r="E57" s="150">
        <f>E55*1</f>
        <v>0</v>
      </c>
      <c r="F57" s="203"/>
      <c r="G57" s="151"/>
      <c r="H57" s="151"/>
      <c r="I57" s="152">
        <f t="shared" si="5"/>
        <v>0</v>
      </c>
      <c r="J57" s="152">
        <f t="shared" si="3"/>
        <v>0</v>
      </c>
      <c r="K57" s="152">
        <f t="shared" si="4"/>
        <v>0</v>
      </c>
    </row>
    <row r="58" spans="1:11" s="373" customFormat="1" ht="15.6">
      <c r="A58" s="14"/>
      <c r="B58" s="384" t="s">
        <v>156</v>
      </c>
      <c r="C58" s="385" t="s">
        <v>96</v>
      </c>
      <c r="D58" s="386"/>
      <c r="E58" s="375"/>
      <c r="F58" s="376"/>
      <c r="G58" s="376"/>
      <c r="H58" s="376"/>
      <c r="I58" s="387">
        <f t="shared" si="5"/>
        <v>0</v>
      </c>
      <c r="J58" s="387">
        <f t="shared" si="3"/>
        <v>0</v>
      </c>
      <c r="K58" s="387">
        <f t="shared" si="4"/>
        <v>0</v>
      </c>
    </row>
    <row r="59" spans="1:11" s="136" customFormat="1" ht="31.2" hidden="1">
      <c r="A59" s="130" t="s">
        <v>86</v>
      </c>
      <c r="B59" s="131">
        <v>1</v>
      </c>
      <c r="C59" s="132" t="s">
        <v>231</v>
      </c>
      <c r="D59" s="131" t="s">
        <v>93</v>
      </c>
      <c r="E59" s="133"/>
      <c r="F59" s="202"/>
      <c r="G59" s="134"/>
      <c r="H59" s="134"/>
      <c r="I59" s="135">
        <f t="shared" si="5"/>
        <v>0</v>
      </c>
      <c r="J59" s="135">
        <f t="shared" si="3"/>
        <v>0</v>
      </c>
      <c r="K59" s="135">
        <f t="shared" si="4"/>
        <v>0</v>
      </c>
    </row>
    <row r="60" spans="1:11" s="136" customFormat="1" ht="15.6" hidden="1">
      <c r="A60" s="130"/>
      <c r="B60" s="153"/>
      <c r="C60" s="138" t="str">
        <f>"Saét goùc L75 x75 x8 daøi 2200/Zn-04 ốp: 22,37kg/caùi* "&amp;E59&amp;"  caùi"</f>
        <v>Saét goùc L75 x75 x8 daøi 2200/Zn-04 ốp: 22,37kg/caùi*   caùi</v>
      </c>
      <c r="D60" s="137" t="s">
        <v>77</v>
      </c>
      <c r="E60" s="154">
        <f>ROUND((E59*9.02*(2.2+0.07*4)),3)</f>
        <v>0</v>
      </c>
      <c r="F60" s="202">
        <v>30750</v>
      </c>
      <c r="G60" s="134"/>
      <c r="H60" s="134"/>
      <c r="I60" s="135">
        <f>ROUND((E60*F60),0)</f>
        <v>0</v>
      </c>
      <c r="J60" s="135">
        <f t="shared" si="3"/>
        <v>0</v>
      </c>
      <c r="K60" s="135">
        <f t="shared" si="4"/>
        <v>0</v>
      </c>
    </row>
    <row r="61" spans="1:11" s="136" customFormat="1" ht="30" hidden="1">
      <c r="A61" s="130"/>
      <c r="B61" s="153"/>
      <c r="C61" s="138" t="str">
        <f>"Saét goùc L50 x50 x5 choáng daøi 700/Zn: 2,639kg/caùi * "&amp;E59&amp;" x2 caùi"</f>
        <v>Saét goùc L50 x50 x5 choáng daøi 700/Zn: 2,639kg/caùi *  x2 caùi</v>
      </c>
      <c r="D61" s="137" t="s">
        <v>77</v>
      </c>
      <c r="E61" s="154">
        <f>ROUND((E59*3.77*0.7*2),3)</f>
        <v>0</v>
      </c>
      <c r="F61" s="202"/>
      <c r="G61" s="134"/>
      <c r="H61" s="134"/>
      <c r="I61" s="135">
        <f>ROUND((E61*F61),0)</f>
        <v>0</v>
      </c>
      <c r="J61" s="135">
        <f t="shared" si="3"/>
        <v>0</v>
      </c>
      <c r="K61" s="135">
        <f t="shared" si="4"/>
        <v>0</v>
      </c>
    </row>
    <row r="62" spans="1:11" s="136" customFormat="1" ht="15.6" hidden="1">
      <c r="A62" s="130"/>
      <c r="B62" s="137"/>
      <c r="C62" s="138" t="s">
        <v>229</v>
      </c>
      <c r="D62" s="137" t="s">
        <v>89</v>
      </c>
      <c r="E62" s="139">
        <f>E59*6</f>
        <v>0</v>
      </c>
      <c r="F62" s="202">
        <f>7100+2*2100</f>
        <v>11300</v>
      </c>
      <c r="G62" s="134"/>
      <c r="H62" s="134"/>
      <c r="I62" s="135">
        <f>ROUND((E62*F62),0)</f>
        <v>0</v>
      </c>
      <c r="J62" s="135">
        <f t="shared" si="3"/>
        <v>0</v>
      </c>
      <c r="K62" s="135">
        <f t="shared" si="4"/>
        <v>0</v>
      </c>
    </row>
    <row r="63" spans="1:11" s="136" customFormat="1" ht="15.6" hidden="1">
      <c r="A63" s="130"/>
      <c r="B63" s="155" t="s">
        <v>253</v>
      </c>
      <c r="C63" s="138" t="s">
        <v>259</v>
      </c>
      <c r="D63" s="137" t="s">
        <v>89</v>
      </c>
      <c r="E63" s="156">
        <f>E59</f>
        <v>0</v>
      </c>
      <c r="F63" s="202"/>
      <c r="G63" s="134">
        <f>ROUND((78821*1.067*1.5),0)</f>
        <v>126153</v>
      </c>
      <c r="H63" s="134"/>
      <c r="I63" s="135">
        <f t="shared" si="5"/>
        <v>0</v>
      </c>
      <c r="J63" s="135">
        <f t="shared" si="3"/>
        <v>0</v>
      </c>
      <c r="K63" s="135">
        <f t="shared" si="4"/>
        <v>0</v>
      </c>
    </row>
    <row r="64" spans="1:11" s="373" customFormat="1" ht="15.6">
      <c r="A64" s="130" t="s">
        <v>141</v>
      </c>
      <c r="B64" s="317">
        <v>1</v>
      </c>
      <c r="C64" s="318" t="s">
        <v>142</v>
      </c>
      <c r="D64" s="317" t="s">
        <v>93</v>
      </c>
      <c r="E64" s="319"/>
      <c r="F64" s="320"/>
      <c r="G64" s="320"/>
      <c r="H64" s="320"/>
      <c r="I64" s="321">
        <f t="shared" si="5"/>
        <v>0</v>
      </c>
      <c r="J64" s="321">
        <f t="shared" si="3"/>
        <v>0</v>
      </c>
      <c r="K64" s="321">
        <f t="shared" si="4"/>
        <v>0</v>
      </c>
    </row>
    <row r="65" spans="1:13" s="373" customFormat="1" ht="15.6">
      <c r="A65" s="130"/>
      <c r="B65" s="322"/>
      <c r="C65" s="323" t="s">
        <v>397</v>
      </c>
      <c r="D65" s="322" t="s">
        <v>183</v>
      </c>
      <c r="E65" s="321"/>
      <c r="F65" s="320">
        <f>26279*16.236</f>
        <v>426665.84400000004</v>
      </c>
      <c r="G65" s="320"/>
      <c r="H65" s="320"/>
      <c r="I65" s="321">
        <f t="shared" si="5"/>
        <v>0</v>
      </c>
      <c r="J65" s="321">
        <f t="shared" si="3"/>
        <v>0</v>
      </c>
      <c r="K65" s="321">
        <f t="shared" si="4"/>
        <v>0</v>
      </c>
    </row>
    <row r="66" spans="1:13" s="373" customFormat="1" ht="30">
      <c r="A66" s="130"/>
      <c r="B66" s="322"/>
      <c r="C66" s="323" t="s">
        <v>398</v>
      </c>
      <c r="D66" s="322" t="s">
        <v>183</v>
      </c>
      <c r="E66" s="393"/>
      <c r="F66" s="320">
        <f>26279*3.054</f>
        <v>80256.065999999992</v>
      </c>
      <c r="G66" s="320"/>
      <c r="H66" s="320"/>
      <c r="I66" s="321">
        <f t="shared" si="5"/>
        <v>0</v>
      </c>
      <c r="J66" s="321">
        <f t="shared" si="3"/>
        <v>0</v>
      </c>
      <c r="K66" s="321">
        <f t="shared" si="4"/>
        <v>0</v>
      </c>
    </row>
    <row r="67" spans="1:13" s="373" customFormat="1" ht="15.6">
      <c r="A67" s="130"/>
      <c r="B67" s="322"/>
      <c r="C67" s="323" t="s">
        <v>34</v>
      </c>
      <c r="D67" s="322" t="s">
        <v>89</v>
      </c>
      <c r="E67" s="324"/>
      <c r="F67" s="320">
        <v>21600</v>
      </c>
      <c r="G67" s="320"/>
      <c r="H67" s="320"/>
      <c r="I67" s="321">
        <f t="shared" si="5"/>
        <v>0</v>
      </c>
      <c r="J67" s="321">
        <f t="shared" si="3"/>
        <v>0</v>
      </c>
      <c r="K67" s="321">
        <f t="shared" si="4"/>
        <v>0</v>
      </c>
    </row>
    <row r="68" spans="1:13" s="373" customFormat="1" ht="15.6">
      <c r="A68" s="130"/>
      <c r="B68" s="322"/>
      <c r="C68" s="323" t="s">
        <v>146</v>
      </c>
      <c r="D68" s="322" t="s">
        <v>89</v>
      </c>
      <c r="E68" s="325"/>
      <c r="F68" s="320">
        <v>24000</v>
      </c>
      <c r="G68" s="320"/>
      <c r="H68" s="320"/>
      <c r="I68" s="321">
        <f t="shared" si="5"/>
        <v>0</v>
      </c>
      <c r="J68" s="321">
        <f t="shared" si="3"/>
        <v>0</v>
      </c>
      <c r="K68" s="321">
        <f t="shared" si="4"/>
        <v>0</v>
      </c>
    </row>
    <row r="69" spans="1:13" s="373" customFormat="1" ht="15.6">
      <c r="A69" s="130"/>
      <c r="B69" s="322"/>
      <c r="C69" s="323" t="s">
        <v>119</v>
      </c>
      <c r="D69" s="322" t="s">
        <v>89</v>
      </c>
      <c r="E69" s="324"/>
      <c r="F69" s="320">
        <f>20200+4*2400</f>
        <v>29800</v>
      </c>
      <c r="G69" s="320"/>
      <c r="H69" s="320"/>
      <c r="I69" s="321">
        <f t="shared" si="5"/>
        <v>0</v>
      </c>
      <c r="J69" s="321">
        <f t="shared" si="3"/>
        <v>0</v>
      </c>
      <c r="K69" s="321">
        <f t="shared" si="4"/>
        <v>0</v>
      </c>
    </row>
    <row r="70" spans="1:13" s="373" customFormat="1" ht="15.6">
      <c r="A70" s="130"/>
      <c r="B70" s="322"/>
      <c r="C70" s="323" t="s">
        <v>188</v>
      </c>
      <c r="D70" s="322" t="s">
        <v>89</v>
      </c>
      <c r="E70" s="324"/>
      <c r="F70" s="320">
        <f>7400+2*2200</f>
        <v>11800</v>
      </c>
      <c r="G70" s="320"/>
      <c r="H70" s="320"/>
      <c r="I70" s="321">
        <f t="shared" si="5"/>
        <v>0</v>
      </c>
      <c r="J70" s="321">
        <f t="shared" si="3"/>
        <v>0</v>
      </c>
      <c r="K70" s="321">
        <f t="shared" si="4"/>
        <v>0</v>
      </c>
    </row>
    <row r="71" spans="1:13" s="373" customFormat="1" ht="15.6" hidden="1">
      <c r="A71" s="130"/>
      <c r="B71" s="326" t="s">
        <v>192</v>
      </c>
      <c r="C71" s="323" t="s">
        <v>0</v>
      </c>
      <c r="D71" s="322" t="s">
        <v>89</v>
      </c>
      <c r="E71" s="325"/>
      <c r="F71" s="320"/>
      <c r="G71" s="320">
        <f>106640</f>
        <v>106640</v>
      </c>
      <c r="H71" s="320"/>
      <c r="I71" s="321">
        <f t="shared" si="5"/>
        <v>0</v>
      </c>
      <c r="J71" s="321">
        <f t="shared" si="3"/>
        <v>0</v>
      </c>
      <c r="K71" s="321">
        <f t="shared" si="4"/>
        <v>0</v>
      </c>
    </row>
    <row r="72" spans="1:13" s="373" customFormat="1" ht="31.2">
      <c r="A72" s="130" t="s">
        <v>86</v>
      </c>
      <c r="B72" s="317">
        <v>2</v>
      </c>
      <c r="C72" s="318" t="s">
        <v>230</v>
      </c>
      <c r="D72" s="317" t="s">
        <v>93</v>
      </c>
      <c r="E72" s="319"/>
      <c r="F72" s="320"/>
      <c r="G72" s="320"/>
      <c r="H72" s="320"/>
      <c r="I72" s="321">
        <f t="shared" si="5"/>
        <v>0</v>
      </c>
      <c r="J72" s="321">
        <f t="shared" si="3"/>
        <v>0</v>
      </c>
      <c r="K72" s="321">
        <f t="shared" si="4"/>
        <v>0</v>
      </c>
    </row>
    <row r="73" spans="1:13" s="373" customFormat="1" ht="15.6">
      <c r="A73" s="130"/>
      <c r="B73" s="322">
        <f>9.02*(1.66+0.07*2)</f>
        <v>16.235999999999997</v>
      </c>
      <c r="C73" s="323" t="str">
        <f>"Saét goùc L75 x75 x8 daøi 1660/Zn-02 ốp: 16,236kg/caùi* "&amp;E72&amp;"  caùi"</f>
        <v>Saét goùc L75 x75 x8 daøi 1660/Zn-02 ốp: 16,236kg/caùi*   caùi</v>
      </c>
      <c r="D73" s="322" t="s">
        <v>183</v>
      </c>
      <c r="E73" s="321"/>
      <c r="F73" s="320">
        <f>F65</f>
        <v>426665.84400000004</v>
      </c>
      <c r="G73" s="320"/>
      <c r="H73" s="320"/>
      <c r="I73" s="321">
        <f>ROUND((E73*F73),0)</f>
        <v>0</v>
      </c>
      <c r="J73" s="321">
        <f t="shared" si="3"/>
        <v>0</v>
      </c>
      <c r="K73" s="321">
        <f t="shared" si="4"/>
        <v>0</v>
      </c>
      <c r="M73" s="320"/>
    </row>
    <row r="74" spans="1:13" s="373" customFormat="1" ht="15.6">
      <c r="A74" s="130"/>
      <c r="B74" s="322"/>
      <c r="C74" s="323" t="str">
        <f>"Saét goùc L50 x50 x5 choáng daøi 810/Zn: 3,054kg/caùi* "&amp;E72&amp;" x2 caùi"</f>
        <v>Saét goùc L50 x50 x5 choáng daøi 810/Zn: 3,054kg/caùi*  x2 caùi</v>
      </c>
      <c r="D74" s="322" t="s">
        <v>183</v>
      </c>
      <c r="E74" s="321"/>
      <c r="F74" s="320">
        <f>F66</f>
        <v>80256.065999999992</v>
      </c>
      <c r="G74" s="320"/>
      <c r="H74" s="320"/>
      <c r="I74" s="321">
        <f>ROUND((E74*F74),0)</f>
        <v>0</v>
      </c>
      <c r="J74" s="321">
        <f t="shared" si="3"/>
        <v>0</v>
      </c>
      <c r="K74" s="321">
        <f t="shared" si="4"/>
        <v>0</v>
      </c>
    </row>
    <row r="75" spans="1:13" s="373" customFormat="1" ht="15.6">
      <c r="A75" s="130"/>
      <c r="B75" s="322"/>
      <c r="C75" s="323" t="s">
        <v>232</v>
      </c>
      <c r="D75" s="322" t="s">
        <v>89</v>
      </c>
      <c r="E75" s="325"/>
      <c r="F75" s="320">
        <v>21600</v>
      </c>
      <c r="G75" s="320"/>
      <c r="H75" s="320"/>
      <c r="I75" s="321">
        <f t="shared" si="5"/>
        <v>0</v>
      </c>
      <c r="J75" s="321">
        <f t="shared" si="3"/>
        <v>0</v>
      </c>
      <c r="K75" s="321">
        <f t="shared" si="4"/>
        <v>0</v>
      </c>
    </row>
    <row r="76" spans="1:13" s="373" customFormat="1" ht="15.6" hidden="1">
      <c r="A76" s="130"/>
      <c r="B76" s="322"/>
      <c r="C76" s="323" t="s">
        <v>233</v>
      </c>
      <c r="D76" s="322" t="s">
        <v>89</v>
      </c>
      <c r="E76" s="325"/>
      <c r="F76" s="320">
        <v>24000</v>
      </c>
      <c r="G76" s="320"/>
      <c r="H76" s="320"/>
      <c r="I76" s="321">
        <f t="shared" si="5"/>
        <v>0</v>
      </c>
      <c r="J76" s="321">
        <f t="shared" si="3"/>
        <v>0</v>
      </c>
      <c r="K76" s="321">
        <f t="shared" si="4"/>
        <v>0</v>
      </c>
    </row>
    <row r="77" spans="1:13" s="373" customFormat="1" ht="15.6">
      <c r="A77" s="130"/>
      <c r="B77" s="322"/>
      <c r="C77" s="323" t="s">
        <v>234</v>
      </c>
      <c r="D77" s="322" t="s">
        <v>89</v>
      </c>
      <c r="E77" s="324"/>
      <c r="F77" s="320">
        <f>7400+2*2200</f>
        <v>11800</v>
      </c>
      <c r="G77" s="320"/>
      <c r="H77" s="320"/>
      <c r="I77" s="321">
        <f t="shared" si="5"/>
        <v>0</v>
      </c>
      <c r="J77" s="321">
        <f t="shared" si="3"/>
        <v>0</v>
      </c>
      <c r="K77" s="321">
        <f t="shared" si="4"/>
        <v>0</v>
      </c>
    </row>
    <row r="78" spans="1:13" s="373" customFormat="1" ht="15.6" hidden="1">
      <c r="A78" s="130"/>
      <c r="B78" s="327" t="s">
        <v>254</v>
      </c>
      <c r="C78" s="323" t="s">
        <v>260</v>
      </c>
      <c r="D78" s="322" t="s">
        <v>89</v>
      </c>
      <c r="E78" s="325"/>
      <c r="F78" s="320"/>
      <c r="G78" s="320">
        <f>ROUND((78821*1.022*1.5),0)</f>
        <v>120833</v>
      </c>
      <c r="H78" s="320"/>
      <c r="I78" s="321">
        <f t="shared" si="5"/>
        <v>0</v>
      </c>
      <c r="J78" s="321">
        <f t="shared" si="3"/>
        <v>0</v>
      </c>
      <c r="K78" s="321">
        <f t="shared" si="4"/>
        <v>0</v>
      </c>
    </row>
    <row r="79" spans="1:13" s="373" customFormat="1" ht="15.6">
      <c r="A79" s="14" t="s">
        <v>74</v>
      </c>
      <c r="B79" s="317">
        <v>3</v>
      </c>
      <c r="C79" s="318" t="s">
        <v>380</v>
      </c>
      <c r="D79" s="317" t="s">
        <v>93</v>
      </c>
      <c r="E79" s="319"/>
      <c r="F79" s="320"/>
      <c r="G79" s="320"/>
      <c r="H79" s="320"/>
      <c r="I79" s="321">
        <f t="shared" si="5"/>
        <v>0</v>
      </c>
      <c r="J79" s="321">
        <f t="shared" si="3"/>
        <v>0</v>
      </c>
      <c r="K79" s="321">
        <f t="shared" si="4"/>
        <v>0</v>
      </c>
    </row>
    <row r="80" spans="1:13" s="373" customFormat="1" ht="15.6">
      <c r="A80" s="305"/>
      <c r="B80" s="322"/>
      <c r="C80" s="323" t="str">
        <f>"Ñaø saét L75 x75 x8 daøi 2200/Zn-04 ốp: 22,37kg/caùi* "&amp;E79&amp;" caùi"</f>
        <v>Ñaø saét L75 x75 x8 daøi 2200/Zn-04 ốp: 22,37kg/caùi*  caùi</v>
      </c>
      <c r="D80" s="322" t="s">
        <v>183</v>
      </c>
      <c r="E80" s="321"/>
      <c r="F80" s="320">
        <f>26279*22.37</f>
        <v>587861.23</v>
      </c>
      <c r="G80" s="320"/>
      <c r="H80" s="320"/>
      <c r="I80" s="321">
        <f t="shared" si="5"/>
        <v>0</v>
      </c>
      <c r="J80" s="321">
        <f t="shared" si="3"/>
        <v>0</v>
      </c>
      <c r="K80" s="321">
        <f t="shared" si="4"/>
        <v>0</v>
      </c>
    </row>
    <row r="81" spans="1:11" s="373" customFormat="1" ht="30">
      <c r="A81" s="305"/>
      <c r="B81" s="322"/>
      <c r="C81" s="323" t="str">
        <f>"Thanh choáng V50 x50 x5 choáng daøi 810/Zn: 3,054kg/caùi*  "&amp;E79&amp;"x2 caùi"</f>
        <v>Thanh choáng V50 x50 x5 choáng daøi 810/Zn: 3,054kg/caùi*  x2 caùi</v>
      </c>
      <c r="D81" s="322" t="s">
        <v>183</v>
      </c>
      <c r="E81" s="325"/>
      <c r="F81" s="320">
        <f>F66</f>
        <v>80256.065999999992</v>
      </c>
      <c r="G81" s="320"/>
      <c r="H81" s="320"/>
      <c r="I81" s="321">
        <f>ROUND((E81*F81),0)</f>
        <v>0</v>
      </c>
      <c r="J81" s="321">
        <f t="shared" si="3"/>
        <v>0</v>
      </c>
      <c r="K81" s="321">
        <f t="shared" si="4"/>
        <v>0</v>
      </c>
    </row>
    <row r="82" spans="1:11" s="373" customFormat="1" ht="30">
      <c r="A82" s="14"/>
      <c r="B82" s="322"/>
      <c r="C82" s="323" t="s">
        <v>235</v>
      </c>
      <c r="D82" s="322" t="s">
        <v>89</v>
      </c>
      <c r="E82" s="325"/>
      <c r="F82" s="320">
        <f>17600+4*2200</f>
        <v>26400</v>
      </c>
      <c r="G82" s="320"/>
      <c r="H82" s="320"/>
      <c r="I82" s="321">
        <f t="shared" si="5"/>
        <v>0</v>
      </c>
      <c r="J82" s="321">
        <f t="shared" si="3"/>
        <v>0</v>
      </c>
      <c r="K82" s="321">
        <f t="shared" si="4"/>
        <v>0</v>
      </c>
    </row>
    <row r="83" spans="1:11" s="373" customFormat="1" ht="15.6">
      <c r="A83" s="130"/>
      <c r="B83" s="322"/>
      <c r="C83" s="323" t="s">
        <v>146</v>
      </c>
      <c r="D83" s="322" t="s">
        <v>89</v>
      </c>
      <c r="E83" s="325"/>
      <c r="F83" s="320">
        <v>24000</v>
      </c>
      <c r="G83" s="320"/>
      <c r="H83" s="320"/>
      <c r="I83" s="321">
        <f t="shared" si="5"/>
        <v>0</v>
      </c>
      <c r="J83" s="321">
        <f t="shared" si="3"/>
        <v>0</v>
      </c>
      <c r="K83" s="321">
        <f t="shared" si="4"/>
        <v>0</v>
      </c>
    </row>
    <row r="84" spans="1:11" s="373" customFormat="1" ht="15.6">
      <c r="A84" s="14"/>
      <c r="B84" s="322"/>
      <c r="C84" s="323" t="s">
        <v>234</v>
      </c>
      <c r="D84" s="322" t="s">
        <v>89</v>
      </c>
      <c r="E84" s="325"/>
      <c r="F84" s="320">
        <f>7400+2*2200</f>
        <v>11800</v>
      </c>
      <c r="G84" s="320"/>
      <c r="H84" s="320"/>
      <c r="I84" s="321">
        <f t="shared" si="5"/>
        <v>0</v>
      </c>
      <c r="J84" s="321">
        <f t="shared" si="3"/>
        <v>0</v>
      </c>
      <c r="K84" s="321">
        <f t="shared" si="4"/>
        <v>0</v>
      </c>
    </row>
    <row r="85" spans="1:11" s="16" customFormat="1" ht="15.6" hidden="1">
      <c r="A85" s="14"/>
      <c r="B85" s="58" t="s">
        <v>253</v>
      </c>
      <c r="C85" s="92" t="s">
        <v>260</v>
      </c>
      <c r="D85" s="15" t="s">
        <v>89</v>
      </c>
      <c r="E85" s="57"/>
      <c r="F85" s="202"/>
      <c r="G85" s="23">
        <f>ROUND((78821*1.067*1.5),0)</f>
        <v>126153</v>
      </c>
      <c r="H85" s="23"/>
      <c r="I85" s="13">
        <f t="shared" si="5"/>
        <v>0</v>
      </c>
      <c r="J85" s="13">
        <f t="shared" si="3"/>
        <v>0</v>
      </c>
      <c r="K85" s="13">
        <f t="shared" si="4"/>
        <v>0</v>
      </c>
    </row>
    <row r="86" spans="1:11" s="16" customFormat="1" ht="22.5" hidden="1" customHeight="1">
      <c r="A86" s="14" t="s">
        <v>74</v>
      </c>
      <c r="B86" s="44">
        <v>2</v>
      </c>
      <c r="C86" s="91" t="s">
        <v>289</v>
      </c>
      <c r="D86" s="44" t="s">
        <v>93</v>
      </c>
      <c r="E86" s="56"/>
      <c r="F86" s="202"/>
      <c r="G86" s="23"/>
      <c r="H86" s="23"/>
      <c r="I86" s="13">
        <f t="shared" si="5"/>
        <v>0</v>
      </c>
      <c r="J86" s="13">
        <f t="shared" si="3"/>
        <v>0</v>
      </c>
      <c r="K86" s="13">
        <f t="shared" si="4"/>
        <v>0</v>
      </c>
    </row>
    <row r="87" spans="1:11" s="311" customFormat="1" ht="15.6" hidden="1">
      <c r="A87" s="305"/>
      <c r="B87" s="306"/>
      <c r="C87" s="307" t="s">
        <v>378</v>
      </c>
      <c r="D87" s="306" t="s">
        <v>183</v>
      </c>
      <c r="E87" s="310">
        <f>ROUND((E86*2),3)</f>
        <v>0</v>
      </c>
      <c r="F87" s="309">
        <f>F80</f>
        <v>587861.23</v>
      </c>
      <c r="G87" s="309"/>
      <c r="H87" s="309"/>
      <c r="I87" s="310">
        <f t="shared" si="5"/>
        <v>0</v>
      </c>
      <c r="J87" s="310">
        <f t="shared" si="3"/>
        <v>0</v>
      </c>
      <c r="K87" s="310">
        <f t="shared" si="4"/>
        <v>0</v>
      </c>
    </row>
    <row r="88" spans="1:11" s="311" customFormat="1" ht="30" hidden="1">
      <c r="A88" s="305"/>
      <c r="B88" s="306"/>
      <c r="C88" s="307" t="s">
        <v>379</v>
      </c>
      <c r="D88" s="306" t="s">
        <v>183</v>
      </c>
      <c r="E88" s="312">
        <f>ROUND((E86*4),3)</f>
        <v>0</v>
      </c>
      <c r="F88" s="309">
        <f>F81</f>
        <v>80256.065999999992</v>
      </c>
      <c r="G88" s="309"/>
      <c r="H88" s="309"/>
      <c r="I88" s="310">
        <f t="shared" si="5"/>
        <v>0</v>
      </c>
      <c r="J88" s="310">
        <f t="shared" si="3"/>
        <v>0</v>
      </c>
      <c r="K88" s="310">
        <f t="shared" si="4"/>
        <v>0</v>
      </c>
    </row>
    <row r="89" spans="1:11" s="16" customFormat="1" ht="30" hidden="1">
      <c r="A89" s="14"/>
      <c r="B89" s="15"/>
      <c r="C89" s="92" t="s">
        <v>233</v>
      </c>
      <c r="D89" s="15" t="s">
        <v>89</v>
      </c>
      <c r="E89" s="57">
        <f>E86*2</f>
        <v>0</v>
      </c>
      <c r="F89" s="202">
        <f>F83</f>
        <v>24000</v>
      </c>
      <c r="G89" s="23"/>
      <c r="H89" s="23"/>
      <c r="I89" s="13">
        <f t="shared" si="5"/>
        <v>0</v>
      </c>
      <c r="J89" s="13">
        <f t="shared" si="3"/>
        <v>0</v>
      </c>
      <c r="K89" s="13">
        <f t="shared" si="4"/>
        <v>0</v>
      </c>
    </row>
    <row r="90" spans="1:11" s="16" customFormat="1" ht="30" hidden="1">
      <c r="A90" s="14"/>
      <c r="B90" s="15"/>
      <c r="C90" s="92" t="s">
        <v>235</v>
      </c>
      <c r="D90" s="15" t="s">
        <v>89</v>
      </c>
      <c r="E90" s="21">
        <f>E86*2</f>
        <v>0</v>
      </c>
      <c r="F90" s="202">
        <f>23800+4*2100</f>
        <v>32200</v>
      </c>
      <c r="G90" s="23"/>
      <c r="H90" s="23"/>
      <c r="I90" s="13">
        <f t="shared" si="5"/>
        <v>0</v>
      </c>
      <c r="J90" s="13">
        <f t="shared" si="3"/>
        <v>0</v>
      </c>
      <c r="K90" s="13">
        <f t="shared" si="4"/>
        <v>0</v>
      </c>
    </row>
    <row r="91" spans="1:11" s="16" customFormat="1" ht="15.6" hidden="1">
      <c r="A91" s="14"/>
      <c r="B91" s="15"/>
      <c r="C91" s="92" t="s">
        <v>236</v>
      </c>
      <c r="D91" s="15" t="s">
        <v>89</v>
      </c>
      <c r="E91" s="21">
        <f>E86*4</f>
        <v>0</v>
      </c>
      <c r="F91" s="202">
        <f>F84</f>
        <v>11800</v>
      </c>
      <c r="G91" s="23"/>
      <c r="H91" s="23"/>
      <c r="I91" s="13">
        <f t="shared" si="5"/>
        <v>0</v>
      </c>
      <c r="J91" s="13">
        <f t="shared" ref="J91:J154" si="6">ROUND((E91*G91),0)</f>
        <v>0</v>
      </c>
      <c r="K91" s="13">
        <f t="shared" ref="K91:K154" si="7">ROUND((E91*H91),0)</f>
        <v>0</v>
      </c>
    </row>
    <row r="92" spans="1:11" s="16" customFormat="1" ht="15.6" hidden="1">
      <c r="A92" s="14"/>
      <c r="B92" s="54" t="s">
        <v>255</v>
      </c>
      <c r="C92" s="92" t="s">
        <v>261</v>
      </c>
      <c r="D92" s="15" t="s">
        <v>89</v>
      </c>
      <c r="E92" s="57"/>
      <c r="F92" s="202"/>
      <c r="G92" s="23">
        <f>141877*1.06*1.5</f>
        <v>225584.43</v>
      </c>
      <c r="H92" s="23"/>
      <c r="I92" s="13">
        <f t="shared" si="5"/>
        <v>0</v>
      </c>
      <c r="J92" s="13">
        <f t="shared" si="6"/>
        <v>0</v>
      </c>
      <c r="K92" s="13">
        <f t="shared" si="7"/>
        <v>0</v>
      </c>
    </row>
    <row r="93" spans="1:11" s="16" customFormat="1" ht="31.2" hidden="1">
      <c r="A93" s="14" t="s">
        <v>75</v>
      </c>
      <c r="B93" s="44">
        <v>3</v>
      </c>
      <c r="C93" s="91" t="s">
        <v>291</v>
      </c>
      <c r="D93" s="44" t="s">
        <v>93</v>
      </c>
      <c r="E93" s="56"/>
      <c r="F93" s="202"/>
      <c r="G93" s="23"/>
      <c r="H93" s="23"/>
      <c r="I93" s="13">
        <f t="shared" si="5"/>
        <v>0</v>
      </c>
      <c r="J93" s="13">
        <f t="shared" si="6"/>
        <v>0</v>
      </c>
      <c r="K93" s="13">
        <f t="shared" si="7"/>
        <v>0</v>
      </c>
    </row>
    <row r="94" spans="1:11" s="311" customFormat="1" ht="15.6" hidden="1">
      <c r="A94" s="305"/>
      <c r="B94" s="306"/>
      <c r="C94" s="307" t="str">
        <f>"Ñaø saét L75 x75 x8 daøi 2200/Zn-04 ốp: 22,37kg/caùi* "&amp;E93&amp;" caùi"</f>
        <v>Ñaø saét L75 x75 x8 daøi 2200/Zn-04 ốp: 22,37kg/caùi*  caùi</v>
      </c>
      <c r="D94" s="306" t="s">
        <v>183</v>
      </c>
      <c r="E94" s="310">
        <f>E93</f>
        <v>0</v>
      </c>
      <c r="F94" s="309">
        <f>F80</f>
        <v>587861.23</v>
      </c>
      <c r="G94" s="309"/>
      <c r="H94" s="309"/>
      <c r="I94" s="310">
        <f t="shared" si="5"/>
        <v>0</v>
      </c>
      <c r="J94" s="310">
        <f t="shared" si="6"/>
        <v>0</v>
      </c>
      <c r="K94" s="310">
        <f t="shared" si="7"/>
        <v>0</v>
      </c>
    </row>
    <row r="95" spans="1:11" s="311" customFormat="1" ht="30" hidden="1">
      <c r="A95" s="305"/>
      <c r="B95" s="306"/>
      <c r="C95" s="307" t="str">
        <f>"Thanh choáng V50 x50 x5 choáng daøi 810/Zn: 3,054kg/caùi* "&amp;E93&amp;"x2 caùi"</f>
        <v>Thanh choáng V50 x50 x5 choáng daøi 810/Zn: 3,054kg/caùi* x2 caùi</v>
      </c>
      <c r="D95" s="306" t="s">
        <v>183</v>
      </c>
      <c r="E95" s="312">
        <f>ROUND((E93*2),3)</f>
        <v>0</v>
      </c>
      <c r="F95" s="309">
        <f>F81</f>
        <v>80256.065999999992</v>
      </c>
      <c r="G95" s="309"/>
      <c r="H95" s="309"/>
      <c r="I95" s="310">
        <f t="shared" si="5"/>
        <v>0</v>
      </c>
      <c r="J95" s="310">
        <f t="shared" si="6"/>
        <v>0</v>
      </c>
      <c r="K95" s="310">
        <f t="shared" si="7"/>
        <v>0</v>
      </c>
    </row>
    <row r="96" spans="1:11" s="16" customFormat="1" ht="30" hidden="1">
      <c r="A96" s="14"/>
      <c r="B96" s="15"/>
      <c r="C96" s="92" t="s">
        <v>328</v>
      </c>
      <c r="D96" s="15" t="s">
        <v>89</v>
      </c>
      <c r="E96" s="57">
        <f>E93*4</f>
        <v>0</v>
      </c>
      <c r="F96" s="202">
        <f>F29</f>
        <v>40600</v>
      </c>
      <c r="G96" s="23"/>
      <c r="H96" s="23"/>
      <c r="I96" s="13">
        <f t="shared" si="5"/>
        <v>0</v>
      </c>
      <c r="J96" s="13">
        <f t="shared" si="6"/>
        <v>0</v>
      </c>
      <c r="K96" s="13">
        <f t="shared" si="7"/>
        <v>0</v>
      </c>
    </row>
    <row r="97" spans="1:11" s="16" customFormat="1" ht="15.6" hidden="1">
      <c r="A97" s="14"/>
      <c r="B97" s="15"/>
      <c r="C97" s="92" t="s">
        <v>234</v>
      </c>
      <c r="D97" s="15" t="s">
        <v>89</v>
      </c>
      <c r="E97" s="21">
        <f>E93*2</f>
        <v>0</v>
      </c>
      <c r="F97" s="202">
        <f>F91</f>
        <v>11800</v>
      </c>
      <c r="G97" s="23"/>
      <c r="H97" s="23"/>
      <c r="I97" s="13">
        <f t="shared" si="5"/>
        <v>0</v>
      </c>
      <c r="J97" s="13">
        <f t="shared" si="6"/>
        <v>0</v>
      </c>
      <c r="K97" s="13">
        <f t="shared" si="7"/>
        <v>0</v>
      </c>
    </row>
    <row r="98" spans="1:11" s="136" customFormat="1" ht="15.6" hidden="1">
      <c r="A98" s="130"/>
      <c r="B98" s="155" t="s">
        <v>253</v>
      </c>
      <c r="C98" s="138" t="s">
        <v>260</v>
      </c>
      <c r="D98" s="137" t="s">
        <v>89</v>
      </c>
      <c r="E98" s="156"/>
      <c r="F98" s="202"/>
      <c r="G98" s="134">
        <f>ROUND((78821*1.067*1.5),0)</f>
        <v>126153</v>
      </c>
      <c r="H98" s="134"/>
      <c r="I98" s="135">
        <f t="shared" si="5"/>
        <v>0</v>
      </c>
      <c r="J98" s="135">
        <f t="shared" si="6"/>
        <v>0</v>
      </c>
      <c r="K98" s="135">
        <f t="shared" si="7"/>
        <v>0</v>
      </c>
    </row>
    <row r="99" spans="1:11" s="16" customFormat="1" ht="31.2" hidden="1">
      <c r="A99" s="14" t="s">
        <v>75</v>
      </c>
      <c r="B99" s="44">
        <v>4</v>
      </c>
      <c r="C99" s="91" t="s">
        <v>290</v>
      </c>
      <c r="D99" s="44" t="s">
        <v>93</v>
      </c>
      <c r="E99" s="56"/>
      <c r="F99" s="202"/>
      <c r="G99" s="23"/>
      <c r="H99" s="23"/>
      <c r="I99" s="13">
        <f t="shared" si="5"/>
        <v>0</v>
      </c>
      <c r="J99" s="13">
        <f t="shared" si="6"/>
        <v>0</v>
      </c>
      <c r="K99" s="13">
        <f t="shared" si="7"/>
        <v>0</v>
      </c>
    </row>
    <row r="100" spans="1:11" s="311" customFormat="1" ht="15.6" hidden="1">
      <c r="A100" s="305"/>
      <c r="B100" s="306"/>
      <c r="C100" s="307" t="str">
        <f>"Ñaø saét L75 x75 x8 daøi 2200/Zn-04 ốp: 22,37kg/caùi* "&amp;E99&amp;" x2caùi"</f>
        <v>Ñaø saét L75 x75 x8 daøi 2200/Zn-04 ốp: 22,37kg/caùi*  x2caùi</v>
      </c>
      <c r="D100" s="306" t="s">
        <v>183</v>
      </c>
      <c r="E100" s="310">
        <f>E99*2</f>
        <v>0</v>
      </c>
      <c r="F100" s="309">
        <f>F87</f>
        <v>587861.23</v>
      </c>
      <c r="G100" s="309"/>
      <c r="H100" s="309"/>
      <c r="I100" s="310">
        <f t="shared" si="5"/>
        <v>0</v>
      </c>
      <c r="J100" s="310">
        <f t="shared" si="6"/>
        <v>0</v>
      </c>
      <c r="K100" s="310">
        <f t="shared" si="7"/>
        <v>0</v>
      </c>
    </row>
    <row r="101" spans="1:11" s="311" customFormat="1" ht="30" hidden="1">
      <c r="A101" s="305"/>
      <c r="B101" s="306">
        <f>44+24+8+28</f>
        <v>104</v>
      </c>
      <c r="C101" s="307" t="str">
        <f>"Thanh choáng V50 x50 x5 choáng daøi 810/Zn: 3,054kg/caùi* "&amp;E99&amp;"x 4 caùi"</f>
        <v>Thanh choáng V50 x50 x5 choáng daøi 810/Zn: 3,054kg/caùi* x 4 caùi</v>
      </c>
      <c r="D101" s="306" t="s">
        <v>183</v>
      </c>
      <c r="E101" s="312">
        <f>E99*4</f>
        <v>0</v>
      </c>
      <c r="F101" s="309">
        <f>F88</f>
        <v>80256.065999999992</v>
      </c>
      <c r="G101" s="309"/>
      <c r="H101" s="309"/>
      <c r="I101" s="310">
        <f t="shared" si="5"/>
        <v>0</v>
      </c>
      <c r="J101" s="310">
        <f t="shared" si="6"/>
        <v>0</v>
      </c>
      <c r="K101" s="310">
        <f t="shared" si="7"/>
        <v>0</v>
      </c>
    </row>
    <row r="102" spans="1:11" s="16" customFormat="1" ht="30" hidden="1">
      <c r="A102" s="14"/>
      <c r="B102" s="15"/>
      <c r="C102" s="92" t="s">
        <v>334</v>
      </c>
      <c r="D102" s="15" t="s">
        <v>89</v>
      </c>
      <c r="E102" s="21">
        <f>E99*4</f>
        <v>0</v>
      </c>
      <c r="F102" s="202">
        <f>36400+4*2100</f>
        <v>44800</v>
      </c>
      <c r="G102" s="23"/>
      <c r="H102" s="23"/>
      <c r="I102" s="13">
        <f t="shared" si="5"/>
        <v>0</v>
      </c>
      <c r="J102" s="13">
        <f t="shared" si="6"/>
        <v>0</v>
      </c>
      <c r="K102" s="13">
        <f t="shared" si="7"/>
        <v>0</v>
      </c>
    </row>
    <row r="103" spans="1:11" s="16" customFormat="1" ht="15.6" hidden="1">
      <c r="A103" s="14"/>
      <c r="B103" s="15"/>
      <c r="C103" s="92" t="s">
        <v>236</v>
      </c>
      <c r="D103" s="15" t="s">
        <v>89</v>
      </c>
      <c r="E103" s="21">
        <f>E99*4</f>
        <v>0</v>
      </c>
      <c r="F103" s="202">
        <f>F97</f>
        <v>11800</v>
      </c>
      <c r="G103" s="23"/>
      <c r="H103" s="23"/>
      <c r="I103" s="13">
        <f t="shared" si="5"/>
        <v>0</v>
      </c>
      <c r="J103" s="13">
        <f t="shared" si="6"/>
        <v>0</v>
      </c>
      <c r="K103" s="13">
        <f t="shared" si="7"/>
        <v>0</v>
      </c>
    </row>
    <row r="104" spans="1:11" s="136" customFormat="1" ht="15.6" hidden="1">
      <c r="A104" s="130"/>
      <c r="B104" s="144" t="s">
        <v>255</v>
      </c>
      <c r="C104" s="138" t="s">
        <v>262</v>
      </c>
      <c r="D104" s="137" t="s">
        <v>89</v>
      </c>
      <c r="E104" s="156"/>
      <c r="F104" s="202"/>
      <c r="G104" s="134">
        <f>G92</f>
        <v>225584.43</v>
      </c>
      <c r="H104" s="134"/>
      <c r="I104" s="135">
        <f t="shared" si="5"/>
        <v>0</v>
      </c>
      <c r="J104" s="135">
        <f t="shared" si="6"/>
        <v>0</v>
      </c>
      <c r="K104" s="135">
        <f t="shared" si="7"/>
        <v>0</v>
      </c>
    </row>
    <row r="105" spans="1:11" s="136" customFormat="1" ht="31.2" hidden="1">
      <c r="A105" s="130" t="s">
        <v>74</v>
      </c>
      <c r="B105" s="131">
        <v>7</v>
      </c>
      <c r="C105" s="132" t="s">
        <v>238</v>
      </c>
      <c r="D105" s="131" t="s">
        <v>93</v>
      </c>
      <c r="E105" s="133"/>
      <c r="F105" s="202"/>
      <c r="G105" s="134"/>
      <c r="H105" s="134"/>
      <c r="I105" s="135">
        <f t="shared" si="5"/>
        <v>0</v>
      </c>
      <c r="J105" s="135">
        <f t="shared" si="6"/>
        <v>0</v>
      </c>
      <c r="K105" s="135">
        <f t="shared" si="7"/>
        <v>0</v>
      </c>
    </row>
    <row r="106" spans="1:11" s="136" customFormat="1" ht="15.6" hidden="1">
      <c r="A106" s="130"/>
      <c r="B106" s="137"/>
      <c r="C106" s="138" t="str">
        <f>"Saét goùc L75 x75 x8 daøi 2400/Zn-4 ốp: 24,174kg/caùi* "&amp;E105&amp;" x2caùi"</f>
        <v>Saét goùc L75 x75 x8 daøi 2400/Zn-4 ốp: 24,174kg/caùi*  x2caùi</v>
      </c>
      <c r="D106" s="137" t="s">
        <v>77</v>
      </c>
      <c r="E106" s="154">
        <f>ROUND((E105*9.02*(2.4+4*0.07)*2),3)</f>
        <v>0</v>
      </c>
      <c r="F106" s="202">
        <f>F100</f>
        <v>587861.23</v>
      </c>
      <c r="G106" s="134"/>
      <c r="H106" s="134"/>
      <c r="I106" s="135">
        <f t="shared" si="5"/>
        <v>0</v>
      </c>
      <c r="J106" s="135">
        <f t="shared" si="6"/>
        <v>0</v>
      </c>
      <c r="K106" s="135">
        <f t="shared" si="7"/>
        <v>0</v>
      </c>
    </row>
    <row r="107" spans="1:11" s="136" customFormat="1" ht="15.6" hidden="1">
      <c r="A107" s="130"/>
      <c r="B107" s="137"/>
      <c r="C107" s="138" t="str">
        <f>"Saét goùc L50 x50 x5 choáng daøi 810/Zn: 3,054kg/caùi* "&amp;E105&amp;"x 4 caùi"</f>
        <v>Saét goùc L50 x50 x5 choáng daøi 810/Zn: 3,054kg/caùi* x 4 caùi</v>
      </c>
      <c r="D107" s="137" t="s">
        <v>77</v>
      </c>
      <c r="E107" s="157">
        <f>ROUND((E105*3.77*0.81*4),3)</f>
        <v>0</v>
      </c>
      <c r="F107" s="202">
        <f>F106</f>
        <v>587861.23</v>
      </c>
      <c r="G107" s="134"/>
      <c r="H107" s="134"/>
      <c r="I107" s="135">
        <f t="shared" si="5"/>
        <v>0</v>
      </c>
      <c r="J107" s="135">
        <f t="shared" si="6"/>
        <v>0</v>
      </c>
      <c r="K107" s="135">
        <f t="shared" si="7"/>
        <v>0</v>
      </c>
    </row>
    <row r="108" spans="1:11" s="136" customFormat="1" ht="30" hidden="1">
      <c r="A108" s="130"/>
      <c r="B108" s="137"/>
      <c r="C108" s="138" t="s">
        <v>233</v>
      </c>
      <c r="D108" s="137" t="s">
        <v>89</v>
      </c>
      <c r="E108" s="156">
        <f>E105</f>
        <v>0</v>
      </c>
      <c r="F108" s="202">
        <f>F89</f>
        <v>24000</v>
      </c>
      <c r="G108" s="134"/>
      <c r="H108" s="134"/>
      <c r="I108" s="135">
        <f t="shared" si="5"/>
        <v>0</v>
      </c>
      <c r="J108" s="135">
        <f t="shared" si="6"/>
        <v>0</v>
      </c>
      <c r="K108" s="135">
        <f t="shared" si="7"/>
        <v>0</v>
      </c>
    </row>
    <row r="109" spans="1:11" s="136" customFormat="1" ht="30" hidden="1">
      <c r="A109" s="130"/>
      <c r="B109" s="137"/>
      <c r="C109" s="138" t="s">
        <v>239</v>
      </c>
      <c r="D109" s="137" t="s">
        <v>89</v>
      </c>
      <c r="E109" s="156">
        <f>E105</f>
        <v>0</v>
      </c>
      <c r="F109" s="202">
        <f>2*2100+21700</f>
        <v>25900</v>
      </c>
      <c r="G109" s="134"/>
      <c r="H109" s="134"/>
      <c r="I109" s="135">
        <f t="shared" si="5"/>
        <v>0</v>
      </c>
      <c r="J109" s="135">
        <f t="shared" si="6"/>
        <v>0</v>
      </c>
      <c r="K109" s="135">
        <f t="shared" si="7"/>
        <v>0</v>
      </c>
    </row>
    <row r="110" spans="1:11" s="136" customFormat="1" ht="30" hidden="1">
      <c r="A110" s="130"/>
      <c r="B110" s="137"/>
      <c r="C110" s="138" t="s">
        <v>250</v>
      </c>
      <c r="D110" s="137" t="s">
        <v>89</v>
      </c>
      <c r="E110" s="139">
        <f>E105*4</f>
        <v>0</v>
      </c>
      <c r="F110" s="202">
        <f>F90</f>
        <v>32200</v>
      </c>
      <c r="G110" s="134"/>
      <c r="H110" s="134"/>
      <c r="I110" s="135">
        <f t="shared" si="5"/>
        <v>0</v>
      </c>
      <c r="J110" s="135">
        <f t="shared" si="6"/>
        <v>0</v>
      </c>
      <c r="K110" s="135">
        <f t="shared" si="7"/>
        <v>0</v>
      </c>
    </row>
    <row r="111" spans="1:11" s="136" customFormat="1" ht="15.6" hidden="1">
      <c r="A111" s="130"/>
      <c r="B111" s="137"/>
      <c r="C111" s="138" t="s">
        <v>236</v>
      </c>
      <c r="D111" s="137" t="s">
        <v>89</v>
      </c>
      <c r="E111" s="139">
        <f>E105*4*0</f>
        <v>0</v>
      </c>
      <c r="F111" s="202">
        <f>F103</f>
        <v>11800</v>
      </c>
      <c r="G111" s="134"/>
      <c r="H111" s="134"/>
      <c r="I111" s="135">
        <f t="shared" si="5"/>
        <v>0</v>
      </c>
      <c r="J111" s="135">
        <f t="shared" si="6"/>
        <v>0</v>
      </c>
      <c r="K111" s="135">
        <f t="shared" si="7"/>
        <v>0</v>
      </c>
    </row>
    <row r="112" spans="1:11" s="136" customFormat="1" ht="15.6" hidden="1">
      <c r="A112" s="130"/>
      <c r="B112" s="144" t="s">
        <v>256</v>
      </c>
      <c r="C112" s="138" t="s">
        <v>262</v>
      </c>
      <c r="D112" s="137" t="s">
        <v>89</v>
      </c>
      <c r="E112" s="156">
        <f>E105</f>
        <v>0</v>
      </c>
      <c r="F112" s="202"/>
      <c r="G112" s="134">
        <f>ROUND((141877*1.091*1.5),0)</f>
        <v>232182</v>
      </c>
      <c r="H112" s="134"/>
      <c r="I112" s="135">
        <f t="shared" si="5"/>
        <v>0</v>
      </c>
      <c r="J112" s="135">
        <f t="shared" si="6"/>
        <v>0</v>
      </c>
      <c r="K112" s="135">
        <f t="shared" si="7"/>
        <v>0</v>
      </c>
    </row>
    <row r="113" spans="1:11" s="136" customFormat="1" ht="31.2" hidden="1">
      <c r="A113" s="130" t="s">
        <v>74</v>
      </c>
      <c r="B113" s="131">
        <v>8</v>
      </c>
      <c r="C113" s="132" t="s">
        <v>242</v>
      </c>
      <c r="D113" s="131" t="s">
        <v>93</v>
      </c>
      <c r="E113" s="133"/>
      <c r="F113" s="202"/>
      <c r="G113" s="134"/>
      <c r="H113" s="134"/>
      <c r="I113" s="135">
        <f t="shared" si="5"/>
        <v>0</v>
      </c>
      <c r="J113" s="135">
        <f t="shared" si="6"/>
        <v>0</v>
      </c>
      <c r="K113" s="135">
        <f t="shared" si="7"/>
        <v>0</v>
      </c>
    </row>
    <row r="114" spans="1:11" s="136" customFormat="1" ht="15.6" hidden="1">
      <c r="A114" s="130"/>
      <c r="B114" s="137"/>
      <c r="C114" s="138" t="str">
        <f>"Saét goùc L75 x75 x8 daøi 2400/Zn -3 ốp: 23,542kg/caùi* "&amp;E113&amp;" x2caùi"</f>
        <v>Saét goùc L75 x75 x8 daøi 2400/Zn -3 ốp: 23,542kg/caùi*  x2caùi</v>
      </c>
      <c r="D114" s="137" t="s">
        <v>77</v>
      </c>
      <c r="E114" s="154">
        <f>ROUND((E113*9.02*(2.4+3*0.07)*2),3)</f>
        <v>0</v>
      </c>
      <c r="F114" s="202">
        <f>F106</f>
        <v>587861.23</v>
      </c>
      <c r="G114" s="134"/>
      <c r="H114" s="134"/>
      <c r="I114" s="135">
        <f t="shared" si="5"/>
        <v>0</v>
      </c>
      <c r="J114" s="135">
        <f t="shared" si="6"/>
        <v>0</v>
      </c>
      <c r="K114" s="135">
        <f t="shared" si="7"/>
        <v>0</v>
      </c>
    </row>
    <row r="115" spans="1:11" s="136" customFormat="1" ht="30" hidden="1">
      <c r="A115" s="130"/>
      <c r="B115" s="137"/>
      <c r="C115" s="138" t="s">
        <v>240</v>
      </c>
      <c r="D115" s="137" t="s">
        <v>89</v>
      </c>
      <c r="E115" s="156">
        <f>E113*2</f>
        <v>0</v>
      </c>
      <c r="F115" s="202">
        <f>F108</f>
        <v>24000</v>
      </c>
      <c r="G115" s="134"/>
      <c r="H115" s="134"/>
      <c r="I115" s="135">
        <f t="shared" ref="I115:I178" si="8">ROUND((E115*F115),0)</f>
        <v>0</v>
      </c>
      <c r="J115" s="135">
        <f t="shared" si="6"/>
        <v>0</v>
      </c>
      <c r="K115" s="135">
        <f t="shared" si="7"/>
        <v>0</v>
      </c>
    </row>
    <row r="116" spans="1:11" s="136" customFormat="1" ht="30" hidden="1">
      <c r="A116" s="130"/>
      <c r="B116" s="137"/>
      <c r="C116" s="138" t="s">
        <v>237</v>
      </c>
      <c r="D116" s="137" t="s">
        <v>89</v>
      </c>
      <c r="E116" s="139">
        <f>E113*4</f>
        <v>0</v>
      </c>
      <c r="F116" s="202">
        <f>F110</f>
        <v>32200</v>
      </c>
      <c r="G116" s="134"/>
      <c r="H116" s="134"/>
      <c r="I116" s="135">
        <f t="shared" si="8"/>
        <v>0</v>
      </c>
      <c r="J116" s="135">
        <f t="shared" si="6"/>
        <v>0</v>
      </c>
      <c r="K116" s="135">
        <f t="shared" si="7"/>
        <v>0</v>
      </c>
    </row>
    <row r="117" spans="1:11" s="136" customFormat="1" ht="15.6" hidden="1">
      <c r="A117" s="130"/>
      <c r="B117" s="144" t="s">
        <v>257</v>
      </c>
      <c r="C117" s="138" t="s">
        <v>263</v>
      </c>
      <c r="D117" s="137" t="s">
        <v>89</v>
      </c>
      <c r="E117" s="156">
        <f>E113</f>
        <v>0</v>
      </c>
      <c r="F117" s="202"/>
      <c r="G117" s="134">
        <f>ROUND((216061*50/140*1.7),0)</f>
        <v>131180</v>
      </c>
      <c r="H117" s="134"/>
      <c r="I117" s="135">
        <f t="shared" si="8"/>
        <v>0</v>
      </c>
      <c r="J117" s="135">
        <f t="shared" si="6"/>
        <v>0</v>
      </c>
      <c r="K117" s="135">
        <f t="shared" si="7"/>
        <v>0</v>
      </c>
    </row>
    <row r="118" spans="1:11" s="136" customFormat="1" ht="31.2" hidden="1">
      <c r="A118" s="130" t="s">
        <v>74</v>
      </c>
      <c r="B118" s="131">
        <v>9</v>
      </c>
      <c r="C118" s="132" t="s">
        <v>241</v>
      </c>
      <c r="D118" s="131" t="s">
        <v>93</v>
      </c>
      <c r="E118" s="133"/>
      <c r="F118" s="202"/>
      <c r="G118" s="134"/>
      <c r="H118" s="134"/>
      <c r="I118" s="135">
        <f>ROUND((E118*F118),0)</f>
        <v>0</v>
      </c>
      <c r="J118" s="135">
        <f>ROUND((E118*G118),0)</f>
        <v>0</v>
      </c>
      <c r="K118" s="135">
        <f>ROUND((E118*H118),0)</f>
        <v>0</v>
      </c>
    </row>
    <row r="119" spans="1:11" s="136" customFormat="1" ht="15.6" hidden="1">
      <c r="A119" s="130"/>
      <c r="B119" s="137"/>
      <c r="C119" s="138" t="str">
        <f>"Saét goùc L75 x75 x8 daøi 2400/Zn-4 ốp: 24,174kg/caùi* "&amp;E118&amp;" x2caùi"</f>
        <v>Saét goùc L75 x75 x8 daøi 2400/Zn-4 ốp: 24,174kg/caùi*  x2caùi</v>
      </c>
      <c r="D119" s="137" t="s">
        <v>77</v>
      </c>
      <c r="E119" s="154">
        <f>ROUND((E118*9.02*(2.4+4*0.07)*2),3)</f>
        <v>0</v>
      </c>
      <c r="F119" s="202"/>
      <c r="G119" s="134"/>
      <c r="H119" s="134"/>
      <c r="I119" s="135">
        <f>ROUND((E119*F119),0)</f>
        <v>0</v>
      </c>
      <c r="J119" s="135">
        <f>ROUND((E119*G119),0)</f>
        <v>0</v>
      </c>
      <c r="K119" s="135">
        <f>ROUND((E119*H119),0)</f>
        <v>0</v>
      </c>
    </row>
    <row r="120" spans="1:11" s="136" customFormat="1" ht="30" hidden="1">
      <c r="A120" s="130"/>
      <c r="B120" s="137"/>
      <c r="C120" s="138" t="s">
        <v>240</v>
      </c>
      <c r="D120" s="137" t="s">
        <v>89</v>
      </c>
      <c r="E120" s="156">
        <f>E118*2</f>
        <v>0</v>
      </c>
      <c r="F120" s="202">
        <f>F115</f>
        <v>24000</v>
      </c>
      <c r="G120" s="134"/>
      <c r="H120" s="134"/>
      <c r="I120" s="135">
        <f>ROUND((E120*F120),0)</f>
        <v>0</v>
      </c>
      <c r="J120" s="135">
        <f>ROUND((E120*G120),0)</f>
        <v>0</v>
      </c>
      <c r="K120" s="135">
        <f>ROUND((E120*H120),0)</f>
        <v>0</v>
      </c>
    </row>
    <row r="121" spans="1:11" s="136" customFormat="1" ht="30" hidden="1">
      <c r="A121" s="130"/>
      <c r="B121" s="137"/>
      <c r="C121" s="138" t="s">
        <v>235</v>
      </c>
      <c r="D121" s="137" t="s">
        <v>89</v>
      </c>
      <c r="E121" s="139">
        <f>E118*2</f>
        <v>0</v>
      </c>
      <c r="F121" s="202">
        <f>F116</f>
        <v>32200</v>
      </c>
      <c r="G121" s="134"/>
      <c r="H121" s="134"/>
      <c r="I121" s="135">
        <f>ROUND((E121*F121),0)</f>
        <v>0</v>
      </c>
      <c r="J121" s="135">
        <f>ROUND((E121*G121),0)</f>
        <v>0</v>
      </c>
      <c r="K121" s="135">
        <f>ROUND((E121*H121),0)</f>
        <v>0</v>
      </c>
    </row>
    <row r="122" spans="1:11" s="136" customFormat="1" ht="15.6" hidden="1">
      <c r="A122" s="130"/>
      <c r="B122" s="144" t="s">
        <v>257</v>
      </c>
      <c r="C122" s="138" t="s">
        <v>273</v>
      </c>
      <c r="D122" s="137" t="s">
        <v>89</v>
      </c>
      <c r="E122" s="156">
        <f>E118</f>
        <v>0</v>
      </c>
      <c r="F122" s="202"/>
      <c r="G122" s="134">
        <f>ROUND((216061*50/140*1.7),0)</f>
        <v>131180</v>
      </c>
      <c r="H122" s="134"/>
      <c r="I122" s="135">
        <f>ROUND((E122*F122),0)</f>
        <v>0</v>
      </c>
      <c r="J122" s="135">
        <f>ROUND((E122*G122),0)</f>
        <v>0</v>
      </c>
      <c r="K122" s="135">
        <f>ROUND((E122*H122),0)</f>
        <v>0</v>
      </c>
    </row>
    <row r="123" spans="1:11" s="136" customFormat="1" ht="31.2" hidden="1">
      <c r="A123" s="130" t="s">
        <v>74</v>
      </c>
      <c r="B123" s="131">
        <v>10</v>
      </c>
      <c r="C123" s="132" t="s">
        <v>243</v>
      </c>
      <c r="D123" s="131" t="s">
        <v>93</v>
      </c>
      <c r="E123" s="133"/>
      <c r="F123" s="202"/>
      <c r="G123" s="134"/>
      <c r="H123" s="134"/>
      <c r="I123" s="135">
        <f t="shared" si="8"/>
        <v>0</v>
      </c>
      <c r="J123" s="135">
        <f t="shared" si="6"/>
        <v>0</v>
      </c>
      <c r="K123" s="135">
        <f t="shared" si="7"/>
        <v>0</v>
      </c>
    </row>
    <row r="124" spans="1:11" s="136" customFormat="1" ht="15.6" hidden="1">
      <c r="A124" s="130"/>
      <c r="B124" s="137"/>
      <c r="C124" s="138" t="str">
        <f>"Saét goùc L75 x75 x8 daøi 2600/Zn-04 ốp: 25,978kg/caùi* "&amp;E123&amp;" x2caùi"</f>
        <v>Saét goùc L75 x75 x8 daøi 2600/Zn-04 ốp: 25,978kg/caùi*  x2caùi</v>
      </c>
      <c r="D124" s="137" t="s">
        <v>77</v>
      </c>
      <c r="E124" s="154">
        <f>ROUND((E123*9.02*(2.6+4*0.07)*2),3)</f>
        <v>0</v>
      </c>
      <c r="F124" s="202">
        <f>F114</f>
        <v>587861.23</v>
      </c>
      <c r="G124" s="134"/>
      <c r="H124" s="134"/>
      <c r="I124" s="135">
        <f t="shared" si="8"/>
        <v>0</v>
      </c>
      <c r="J124" s="135">
        <f t="shared" si="6"/>
        <v>0</v>
      </c>
      <c r="K124" s="135">
        <f t="shared" si="7"/>
        <v>0</v>
      </c>
    </row>
    <row r="125" spans="1:11" s="136" customFormat="1" ht="30" hidden="1">
      <c r="A125" s="130"/>
      <c r="B125" s="137"/>
      <c r="C125" s="138" t="s">
        <v>240</v>
      </c>
      <c r="D125" s="137" t="s">
        <v>89</v>
      </c>
      <c r="E125" s="156">
        <f>E123*2</f>
        <v>0</v>
      </c>
      <c r="F125" s="202">
        <f>F115</f>
        <v>24000</v>
      </c>
      <c r="G125" s="134"/>
      <c r="H125" s="134"/>
      <c r="I125" s="135">
        <f t="shared" si="8"/>
        <v>0</v>
      </c>
      <c r="J125" s="135">
        <f t="shared" si="6"/>
        <v>0</v>
      </c>
      <c r="K125" s="135">
        <f t="shared" si="7"/>
        <v>0</v>
      </c>
    </row>
    <row r="126" spans="1:11" s="136" customFormat="1" ht="30" hidden="1">
      <c r="A126" s="130"/>
      <c r="B126" s="137"/>
      <c r="C126" s="138" t="s">
        <v>235</v>
      </c>
      <c r="D126" s="137" t="s">
        <v>89</v>
      </c>
      <c r="E126" s="139">
        <f>E123*2</f>
        <v>0</v>
      </c>
      <c r="F126" s="202">
        <f>F116</f>
        <v>32200</v>
      </c>
      <c r="G126" s="134"/>
      <c r="H126" s="134"/>
      <c r="I126" s="135">
        <f t="shared" si="8"/>
        <v>0</v>
      </c>
      <c r="J126" s="135">
        <f t="shared" si="6"/>
        <v>0</v>
      </c>
      <c r="K126" s="135">
        <f t="shared" si="7"/>
        <v>0</v>
      </c>
    </row>
    <row r="127" spans="1:11" s="136" customFormat="1" ht="15.6" hidden="1">
      <c r="A127" s="130"/>
      <c r="B127" s="144" t="s">
        <v>258</v>
      </c>
      <c r="C127" s="138" t="s">
        <v>272</v>
      </c>
      <c r="D127" s="137" t="s">
        <v>89</v>
      </c>
      <c r="E127" s="156">
        <f>E123</f>
        <v>0</v>
      </c>
      <c r="F127" s="202"/>
      <c r="G127" s="134">
        <f>ROUND((216061*53/140*1.7),0)</f>
        <v>139051</v>
      </c>
      <c r="H127" s="134"/>
      <c r="I127" s="135">
        <f t="shared" si="8"/>
        <v>0</v>
      </c>
      <c r="J127" s="135">
        <f t="shared" si="6"/>
        <v>0</v>
      </c>
      <c r="K127" s="135">
        <f t="shared" si="7"/>
        <v>0</v>
      </c>
    </row>
    <row r="128" spans="1:11" s="136" customFormat="1" ht="15.6" hidden="1">
      <c r="A128" s="130" t="s">
        <v>74</v>
      </c>
      <c r="B128" s="131">
        <v>11</v>
      </c>
      <c r="C128" s="132" t="s">
        <v>246</v>
      </c>
      <c r="D128" s="131" t="s">
        <v>93</v>
      </c>
      <c r="E128" s="133"/>
      <c r="F128" s="202"/>
      <c r="G128" s="134"/>
      <c r="H128" s="134"/>
      <c r="I128" s="135">
        <f t="shared" si="8"/>
        <v>0</v>
      </c>
      <c r="J128" s="135">
        <f t="shared" si="6"/>
        <v>0</v>
      </c>
      <c r="K128" s="135">
        <f t="shared" si="7"/>
        <v>0</v>
      </c>
    </row>
    <row r="129" spans="1:11" s="136" customFormat="1" ht="15.6" hidden="1">
      <c r="A129" s="130"/>
      <c r="B129" s="137"/>
      <c r="C129" s="138" t="str">
        <f>"Saét U140x58x4,9 daøi 2,5m/Zn: 12,3kg/m * 2,5m* "&amp;E128&amp;" *2caùi"</f>
        <v>Saét U140x58x4,9 daøi 2,5m/Zn: 12,3kg/m * 2,5m*  *2caùi</v>
      </c>
      <c r="D129" s="137" t="s">
        <v>77</v>
      </c>
      <c r="E129" s="154">
        <f>ROUND((E128*12.3*2.5*2),3)</f>
        <v>0</v>
      </c>
      <c r="F129" s="202"/>
      <c r="G129" s="134"/>
      <c r="H129" s="134"/>
      <c r="I129" s="135">
        <f t="shared" si="8"/>
        <v>0</v>
      </c>
      <c r="J129" s="135">
        <f t="shared" si="6"/>
        <v>0</v>
      </c>
      <c r="K129" s="135">
        <f t="shared" si="7"/>
        <v>0</v>
      </c>
    </row>
    <row r="130" spans="1:11" s="136" customFormat="1" ht="30" hidden="1">
      <c r="A130" s="130"/>
      <c r="B130" s="137"/>
      <c r="C130" s="138" t="s">
        <v>244</v>
      </c>
      <c r="D130" s="137" t="s">
        <v>89</v>
      </c>
      <c r="E130" s="156">
        <f>E128*3</f>
        <v>0</v>
      </c>
      <c r="F130" s="202">
        <f>28800+4*2100</f>
        <v>37200</v>
      </c>
      <c r="G130" s="134"/>
      <c r="H130" s="134"/>
      <c r="I130" s="135">
        <f t="shared" si="8"/>
        <v>0</v>
      </c>
      <c r="J130" s="135">
        <f t="shared" si="6"/>
        <v>0</v>
      </c>
      <c r="K130" s="135">
        <f t="shared" si="7"/>
        <v>0</v>
      </c>
    </row>
    <row r="131" spans="1:11" s="136" customFormat="1" ht="30" hidden="1">
      <c r="A131" s="130"/>
      <c r="B131" s="137"/>
      <c r="C131" s="138" t="s">
        <v>245</v>
      </c>
      <c r="D131" s="137" t="s">
        <v>89</v>
      </c>
      <c r="E131" s="139">
        <f>E128*2</f>
        <v>0</v>
      </c>
      <c r="F131" s="202">
        <f>28800+2*2100</f>
        <v>33000</v>
      </c>
      <c r="G131" s="134"/>
      <c r="H131" s="134"/>
      <c r="I131" s="135">
        <f t="shared" si="8"/>
        <v>0</v>
      </c>
      <c r="J131" s="135">
        <f t="shared" si="6"/>
        <v>0</v>
      </c>
      <c r="K131" s="135">
        <f t="shared" si="7"/>
        <v>0</v>
      </c>
    </row>
    <row r="132" spans="1:11" s="136" customFormat="1" ht="15.6" hidden="1">
      <c r="A132" s="130"/>
      <c r="B132" s="144" t="s">
        <v>257</v>
      </c>
      <c r="C132" s="138" t="s">
        <v>274</v>
      </c>
      <c r="D132" s="137" t="s">
        <v>89</v>
      </c>
      <c r="E132" s="156">
        <f>E128</f>
        <v>0</v>
      </c>
      <c r="F132" s="202"/>
      <c r="G132" s="134" t="e">
        <f>ROUND((#REF!*1.5),0)</f>
        <v>#REF!</v>
      </c>
      <c r="H132" s="134"/>
      <c r="I132" s="135">
        <f t="shared" si="8"/>
        <v>0</v>
      </c>
      <c r="J132" s="135" t="e">
        <f t="shared" si="6"/>
        <v>#REF!</v>
      </c>
      <c r="K132" s="135">
        <f t="shared" si="7"/>
        <v>0</v>
      </c>
    </row>
    <row r="133" spans="1:11" s="373" customFormat="1" ht="15.6">
      <c r="A133" s="14" t="s">
        <v>178</v>
      </c>
      <c r="B133" s="317">
        <v>4</v>
      </c>
      <c r="C133" s="318" t="s">
        <v>82</v>
      </c>
      <c r="D133" s="317" t="s">
        <v>93</v>
      </c>
      <c r="E133" s="319"/>
      <c r="F133" s="320"/>
      <c r="G133" s="320"/>
      <c r="H133" s="320"/>
      <c r="I133" s="321">
        <f t="shared" si="8"/>
        <v>0</v>
      </c>
      <c r="J133" s="321">
        <f t="shared" si="6"/>
        <v>0</v>
      </c>
      <c r="K133" s="321">
        <f t="shared" si="7"/>
        <v>0</v>
      </c>
    </row>
    <row r="134" spans="1:11" s="388" customFormat="1" ht="15.6">
      <c r="A134" s="313"/>
      <c r="B134" s="328"/>
      <c r="C134" s="329" t="s">
        <v>342</v>
      </c>
      <c r="D134" s="330" t="s">
        <v>357</v>
      </c>
      <c r="E134" s="331"/>
      <c r="F134" s="332">
        <v>14528</v>
      </c>
      <c r="G134" s="333"/>
      <c r="H134" s="333"/>
      <c r="I134" s="321">
        <f t="shared" si="8"/>
        <v>0</v>
      </c>
      <c r="J134" s="321">
        <f t="shared" si="6"/>
        <v>0</v>
      </c>
      <c r="K134" s="321">
        <f t="shared" si="7"/>
        <v>0</v>
      </c>
    </row>
    <row r="135" spans="1:11" s="373" customFormat="1" ht="15.6">
      <c r="A135" s="305"/>
      <c r="B135" s="322"/>
      <c r="C135" s="329" t="s">
        <v>247</v>
      </c>
      <c r="D135" s="322" t="s">
        <v>183</v>
      </c>
      <c r="E135" s="325"/>
      <c r="F135" s="320">
        <v>75000</v>
      </c>
      <c r="G135" s="320"/>
      <c r="H135" s="320"/>
      <c r="I135" s="321">
        <f t="shared" si="8"/>
        <v>0</v>
      </c>
      <c r="J135" s="321">
        <f t="shared" si="6"/>
        <v>0</v>
      </c>
      <c r="K135" s="321">
        <f t="shared" si="7"/>
        <v>0</v>
      </c>
    </row>
    <row r="136" spans="1:11" s="373" customFormat="1" ht="15.6">
      <c r="A136" s="14"/>
      <c r="B136" s="322"/>
      <c r="C136" s="329" t="s">
        <v>48</v>
      </c>
      <c r="D136" s="322" t="s">
        <v>183</v>
      </c>
      <c r="E136" s="324"/>
      <c r="F136" s="320">
        <v>43000</v>
      </c>
      <c r="G136" s="320"/>
      <c r="H136" s="320"/>
      <c r="I136" s="321">
        <f t="shared" si="8"/>
        <v>0</v>
      </c>
      <c r="J136" s="321">
        <f t="shared" si="6"/>
        <v>0</v>
      </c>
      <c r="K136" s="321">
        <f t="shared" si="7"/>
        <v>0</v>
      </c>
    </row>
    <row r="137" spans="1:11" s="373" customFormat="1" ht="30">
      <c r="A137" s="14"/>
      <c r="B137" s="322"/>
      <c r="C137" s="323" t="s">
        <v>248</v>
      </c>
      <c r="D137" s="322" t="s">
        <v>89</v>
      </c>
      <c r="E137" s="325"/>
      <c r="F137" s="320">
        <f>27000+2200</f>
        <v>29200</v>
      </c>
      <c r="G137" s="320"/>
      <c r="H137" s="320"/>
      <c r="I137" s="321">
        <f t="shared" si="8"/>
        <v>0</v>
      </c>
      <c r="J137" s="321">
        <f t="shared" si="6"/>
        <v>0</v>
      </c>
      <c r="K137" s="321">
        <f t="shared" si="7"/>
        <v>0</v>
      </c>
    </row>
    <row r="138" spans="1:11" s="373" customFormat="1" ht="15.6">
      <c r="A138" s="14"/>
      <c r="B138" s="322"/>
      <c r="C138" s="323" t="s">
        <v>249</v>
      </c>
      <c r="D138" s="322" t="s">
        <v>183</v>
      </c>
      <c r="E138" s="324"/>
      <c r="F138" s="320">
        <v>6000</v>
      </c>
      <c r="G138" s="320"/>
      <c r="H138" s="320"/>
      <c r="I138" s="321">
        <f t="shared" si="8"/>
        <v>0</v>
      </c>
      <c r="J138" s="321">
        <f t="shared" si="6"/>
        <v>0</v>
      </c>
      <c r="K138" s="321">
        <f t="shared" si="7"/>
        <v>0</v>
      </c>
    </row>
    <row r="139" spans="1:11" s="373" customFormat="1" ht="15.6">
      <c r="A139" s="14"/>
      <c r="B139" s="322"/>
      <c r="C139" s="323" t="s">
        <v>251</v>
      </c>
      <c r="D139" s="322" t="s">
        <v>183</v>
      </c>
      <c r="E139" s="324"/>
      <c r="F139" s="320">
        <v>106000</v>
      </c>
      <c r="G139" s="320"/>
      <c r="H139" s="320"/>
      <c r="I139" s="321">
        <f t="shared" si="8"/>
        <v>0</v>
      </c>
      <c r="J139" s="321">
        <f t="shared" si="6"/>
        <v>0</v>
      </c>
      <c r="K139" s="321">
        <f t="shared" si="7"/>
        <v>0</v>
      </c>
    </row>
    <row r="140" spans="1:11" s="136" customFormat="1" ht="15.6" hidden="1">
      <c r="A140" s="130"/>
      <c r="B140" s="155" t="s">
        <v>176</v>
      </c>
      <c r="C140" s="138" t="s">
        <v>186</v>
      </c>
      <c r="D140" s="137" t="s">
        <v>89</v>
      </c>
      <c r="E140" s="156"/>
      <c r="F140" s="202"/>
      <c r="G140" s="134">
        <v>44917</v>
      </c>
      <c r="H140" s="134"/>
      <c r="I140" s="135">
        <f t="shared" si="8"/>
        <v>0</v>
      </c>
      <c r="J140" s="135">
        <f t="shared" si="6"/>
        <v>0</v>
      </c>
      <c r="K140" s="135">
        <f t="shared" si="7"/>
        <v>0</v>
      </c>
    </row>
    <row r="141" spans="1:11" s="373" customFormat="1" ht="15.6">
      <c r="A141" s="14" t="s">
        <v>179</v>
      </c>
      <c r="B141" s="317">
        <v>5</v>
      </c>
      <c r="C141" s="318" t="s">
        <v>71</v>
      </c>
      <c r="D141" s="317" t="s">
        <v>93</v>
      </c>
      <c r="E141" s="319"/>
      <c r="F141" s="320"/>
      <c r="G141" s="320"/>
      <c r="H141" s="320"/>
      <c r="I141" s="321">
        <f t="shared" si="8"/>
        <v>0</v>
      </c>
      <c r="J141" s="321">
        <f t="shared" si="6"/>
        <v>0</v>
      </c>
      <c r="K141" s="321">
        <f t="shared" si="7"/>
        <v>0</v>
      </c>
    </row>
    <row r="142" spans="1:11" s="388" customFormat="1" ht="15.6">
      <c r="A142" s="313"/>
      <c r="B142" s="328"/>
      <c r="C142" s="329" t="s">
        <v>343</v>
      </c>
      <c r="D142" s="330" t="s">
        <v>357</v>
      </c>
      <c r="E142" s="331"/>
      <c r="F142" s="332">
        <f>F134</f>
        <v>14528</v>
      </c>
      <c r="G142" s="333"/>
      <c r="H142" s="333"/>
      <c r="I142" s="321">
        <f t="shared" si="8"/>
        <v>0</v>
      </c>
      <c r="J142" s="321">
        <f t="shared" si="6"/>
        <v>0</v>
      </c>
      <c r="K142" s="321">
        <f t="shared" si="7"/>
        <v>0</v>
      </c>
    </row>
    <row r="143" spans="1:11" s="373" customFormat="1" ht="15.6">
      <c r="A143" s="305"/>
      <c r="B143" s="322"/>
      <c r="C143" s="329" t="s">
        <v>247</v>
      </c>
      <c r="D143" s="322" t="s">
        <v>183</v>
      </c>
      <c r="E143" s="324"/>
      <c r="F143" s="320">
        <f>F135</f>
        <v>75000</v>
      </c>
      <c r="G143" s="320"/>
      <c r="H143" s="320"/>
      <c r="I143" s="321">
        <f t="shared" si="8"/>
        <v>0</v>
      </c>
      <c r="J143" s="321">
        <f t="shared" si="6"/>
        <v>0</v>
      </c>
      <c r="K143" s="321">
        <f t="shared" si="7"/>
        <v>0</v>
      </c>
    </row>
    <row r="144" spans="1:11" s="373" customFormat="1" ht="15.6">
      <c r="A144" s="14"/>
      <c r="B144" s="322"/>
      <c r="C144" s="329" t="s">
        <v>48</v>
      </c>
      <c r="D144" s="322" t="s">
        <v>183</v>
      </c>
      <c r="E144" s="324"/>
      <c r="F144" s="320">
        <f>F136</f>
        <v>43000</v>
      </c>
      <c r="G144" s="320"/>
      <c r="H144" s="320"/>
      <c r="I144" s="321">
        <f t="shared" si="8"/>
        <v>0</v>
      </c>
      <c r="J144" s="321">
        <f t="shared" si="6"/>
        <v>0</v>
      </c>
      <c r="K144" s="321">
        <f t="shared" si="7"/>
        <v>0</v>
      </c>
    </row>
    <row r="145" spans="1:11" s="373" customFormat="1" ht="15.6">
      <c r="A145" s="14"/>
      <c r="B145" s="322"/>
      <c r="C145" s="323" t="s">
        <v>124</v>
      </c>
      <c r="D145" s="322" t="s">
        <v>89</v>
      </c>
      <c r="E145" s="324"/>
      <c r="F145" s="320">
        <v>305000</v>
      </c>
      <c r="G145" s="320"/>
      <c r="H145" s="320"/>
      <c r="I145" s="321">
        <f t="shared" si="8"/>
        <v>0</v>
      </c>
      <c r="J145" s="321">
        <f t="shared" si="6"/>
        <v>0</v>
      </c>
      <c r="K145" s="321">
        <f t="shared" si="7"/>
        <v>0</v>
      </c>
    </row>
    <row r="146" spans="1:11" s="373" customFormat="1" ht="30">
      <c r="A146" s="14"/>
      <c r="B146" s="322"/>
      <c r="C146" s="323" t="s">
        <v>248</v>
      </c>
      <c r="D146" s="322" t="s">
        <v>89</v>
      </c>
      <c r="E146" s="325"/>
      <c r="F146" s="320">
        <f>F137</f>
        <v>29200</v>
      </c>
      <c r="G146" s="320"/>
      <c r="H146" s="320"/>
      <c r="I146" s="321">
        <f>ROUND((E146*F146),0)</f>
        <v>0</v>
      </c>
      <c r="J146" s="321">
        <f>ROUND((E146*G146),0)</f>
        <v>0</v>
      </c>
      <c r="K146" s="321">
        <f>ROUND((E146*H146),0)</f>
        <v>0</v>
      </c>
    </row>
    <row r="147" spans="1:11" s="373" customFormat="1" ht="15.6">
      <c r="A147" s="14"/>
      <c r="B147" s="322"/>
      <c r="C147" s="323" t="s">
        <v>294</v>
      </c>
      <c r="D147" s="322" t="s">
        <v>183</v>
      </c>
      <c r="E147" s="324"/>
      <c r="F147" s="320">
        <f>F138</f>
        <v>6000</v>
      </c>
      <c r="G147" s="320"/>
      <c r="H147" s="320"/>
      <c r="I147" s="321">
        <f t="shared" si="8"/>
        <v>0</v>
      </c>
      <c r="J147" s="321">
        <f t="shared" si="6"/>
        <v>0</v>
      </c>
      <c r="K147" s="321">
        <f t="shared" si="7"/>
        <v>0</v>
      </c>
    </row>
    <row r="148" spans="1:11" s="373" customFormat="1" ht="15.6">
      <c r="A148" s="14"/>
      <c r="B148" s="322"/>
      <c r="C148" s="323" t="s">
        <v>293</v>
      </c>
      <c r="D148" s="322" t="s">
        <v>183</v>
      </c>
      <c r="E148" s="324"/>
      <c r="F148" s="320">
        <f>F139</f>
        <v>106000</v>
      </c>
      <c r="G148" s="320"/>
      <c r="H148" s="320"/>
      <c r="I148" s="321">
        <f t="shared" si="8"/>
        <v>0</v>
      </c>
      <c r="J148" s="321">
        <f t="shared" si="6"/>
        <v>0</v>
      </c>
      <c r="K148" s="321">
        <f t="shared" si="7"/>
        <v>0</v>
      </c>
    </row>
    <row r="149" spans="1:11" s="16" customFormat="1" ht="15.6" hidden="1">
      <c r="A149" s="14"/>
      <c r="B149" s="60" t="str">
        <f>B140</f>
        <v>06.3241</v>
      </c>
      <c r="C149" s="92" t="s">
        <v>186</v>
      </c>
      <c r="D149" s="15" t="s">
        <v>89</v>
      </c>
      <c r="E149" s="57"/>
      <c r="F149" s="202"/>
      <c r="G149" s="23">
        <f>G140</f>
        <v>44917</v>
      </c>
      <c r="H149" s="23"/>
      <c r="I149" s="13">
        <f t="shared" si="8"/>
        <v>0</v>
      </c>
      <c r="J149" s="13">
        <f t="shared" si="6"/>
        <v>0</v>
      </c>
      <c r="K149" s="13">
        <f t="shared" si="7"/>
        <v>0</v>
      </c>
    </row>
    <row r="150" spans="1:11" s="136" customFormat="1" ht="15.6" hidden="1">
      <c r="A150" s="130" t="s">
        <v>38</v>
      </c>
      <c r="B150" s="131">
        <v>7</v>
      </c>
      <c r="C150" s="132" t="s">
        <v>292</v>
      </c>
      <c r="D150" s="131" t="s">
        <v>93</v>
      </c>
      <c r="E150" s="133"/>
      <c r="F150" s="202"/>
      <c r="G150" s="134"/>
      <c r="H150" s="134"/>
      <c r="I150" s="135">
        <f t="shared" si="8"/>
        <v>0</v>
      </c>
      <c r="J150" s="135">
        <f t="shared" si="6"/>
        <v>0</v>
      </c>
      <c r="K150" s="135">
        <f t="shared" si="7"/>
        <v>0</v>
      </c>
    </row>
    <row r="151" spans="1:11" s="164" customFormat="1" ht="15.6" hidden="1">
      <c r="A151" s="158"/>
      <c r="B151" s="159"/>
      <c r="C151" s="160" t="s">
        <v>105</v>
      </c>
      <c r="D151" s="161" t="s">
        <v>77</v>
      </c>
      <c r="E151" s="162">
        <f>ROUND((14*E150*0.462),1)</f>
        <v>0</v>
      </c>
      <c r="F151" s="204">
        <v>37300</v>
      </c>
      <c r="G151" s="163"/>
      <c r="H151" s="163"/>
      <c r="I151" s="135">
        <f>ROUND((E151*F151),0)</f>
        <v>0</v>
      </c>
      <c r="J151" s="135">
        <f>ROUND((E151*G151),0)</f>
        <v>0</v>
      </c>
      <c r="K151" s="135">
        <f>ROUND((E151*H151),0)</f>
        <v>0</v>
      </c>
    </row>
    <row r="152" spans="1:11" s="136" customFormat="1" ht="15.6" hidden="1">
      <c r="A152" s="130"/>
      <c r="B152" s="137"/>
      <c r="C152" s="160" t="s">
        <v>158</v>
      </c>
      <c r="D152" s="137" t="s">
        <v>183</v>
      </c>
      <c r="E152" s="139">
        <f>E150*1</f>
        <v>0</v>
      </c>
      <c r="F152" s="202">
        <f>F143</f>
        <v>75000</v>
      </c>
      <c r="G152" s="134"/>
      <c r="H152" s="134"/>
      <c r="I152" s="135">
        <f t="shared" si="8"/>
        <v>0</v>
      </c>
      <c r="J152" s="135">
        <f t="shared" si="6"/>
        <v>0</v>
      </c>
      <c r="K152" s="135">
        <f t="shared" si="7"/>
        <v>0</v>
      </c>
    </row>
    <row r="153" spans="1:11" s="136" customFormat="1" ht="15.6" hidden="1">
      <c r="A153" s="130"/>
      <c r="B153" s="137"/>
      <c r="C153" s="160" t="s">
        <v>159</v>
      </c>
      <c r="D153" s="137" t="s">
        <v>183</v>
      </c>
      <c r="E153" s="139">
        <f>E150*8</f>
        <v>0</v>
      </c>
      <c r="F153" s="202">
        <f>F144</f>
        <v>43000</v>
      </c>
      <c r="G153" s="134"/>
      <c r="H153" s="134"/>
      <c r="I153" s="135">
        <f t="shared" si="8"/>
        <v>0</v>
      </c>
      <c r="J153" s="135">
        <f t="shared" si="6"/>
        <v>0</v>
      </c>
      <c r="K153" s="135">
        <f t="shared" si="7"/>
        <v>0</v>
      </c>
    </row>
    <row r="154" spans="1:11" s="136" customFormat="1" ht="15.6" hidden="1">
      <c r="A154" s="130"/>
      <c r="B154" s="137"/>
      <c r="C154" s="138" t="s">
        <v>124</v>
      </c>
      <c r="D154" s="137" t="s">
        <v>89</v>
      </c>
      <c r="E154" s="139">
        <f>E150*1</f>
        <v>0</v>
      </c>
      <c r="F154" s="202">
        <f>F145</f>
        <v>305000</v>
      </c>
      <c r="G154" s="134"/>
      <c r="H154" s="134"/>
      <c r="I154" s="135">
        <f t="shared" si="8"/>
        <v>0</v>
      </c>
      <c r="J154" s="135">
        <f t="shared" si="6"/>
        <v>0</v>
      </c>
      <c r="K154" s="135">
        <f t="shared" si="7"/>
        <v>0</v>
      </c>
    </row>
    <row r="155" spans="1:11" s="136" customFormat="1" ht="15.6" hidden="1">
      <c r="A155" s="130"/>
      <c r="B155" s="137"/>
      <c r="C155" s="138" t="s">
        <v>100</v>
      </c>
      <c r="D155" s="137" t="s">
        <v>89</v>
      </c>
      <c r="E155" s="156">
        <f>E150</f>
        <v>0</v>
      </c>
      <c r="F155" s="202">
        <f>30000+2*2400</f>
        <v>34800</v>
      </c>
      <c r="G155" s="134"/>
      <c r="H155" s="134"/>
      <c r="I155" s="135">
        <f t="shared" si="8"/>
        <v>0</v>
      </c>
      <c r="J155" s="135">
        <f t="shared" ref="J155:J218" si="9">ROUND((E155*G155),0)</f>
        <v>0</v>
      </c>
      <c r="K155" s="135">
        <f t="shared" ref="K155:K218" si="10">ROUND((E155*H155),0)</f>
        <v>0</v>
      </c>
    </row>
    <row r="156" spans="1:11" s="136" customFormat="1" ht="15.6" hidden="1">
      <c r="A156" s="130"/>
      <c r="B156" s="137"/>
      <c r="C156" s="138" t="s">
        <v>116</v>
      </c>
      <c r="D156" s="137" t="s">
        <v>183</v>
      </c>
      <c r="E156" s="139">
        <f>E150*2</f>
        <v>0</v>
      </c>
      <c r="F156" s="202">
        <f>F147</f>
        <v>6000</v>
      </c>
      <c r="G156" s="134"/>
      <c r="H156" s="134"/>
      <c r="I156" s="135">
        <f t="shared" si="8"/>
        <v>0</v>
      </c>
      <c r="J156" s="135">
        <f t="shared" si="9"/>
        <v>0</v>
      </c>
      <c r="K156" s="135">
        <f t="shared" si="10"/>
        <v>0</v>
      </c>
    </row>
    <row r="157" spans="1:11" s="136" customFormat="1" ht="15.6" hidden="1">
      <c r="A157" s="130"/>
      <c r="B157" s="137"/>
      <c r="C157" s="138" t="s">
        <v>161</v>
      </c>
      <c r="D157" s="137" t="s">
        <v>183</v>
      </c>
      <c r="E157" s="139">
        <f>E150*1</f>
        <v>0</v>
      </c>
      <c r="F157" s="202">
        <f>F148</f>
        <v>106000</v>
      </c>
      <c r="G157" s="134"/>
      <c r="H157" s="134"/>
      <c r="I157" s="135">
        <f t="shared" si="8"/>
        <v>0</v>
      </c>
      <c r="J157" s="135">
        <f t="shared" si="9"/>
        <v>0</v>
      </c>
      <c r="K157" s="135">
        <f t="shared" si="10"/>
        <v>0</v>
      </c>
    </row>
    <row r="158" spans="1:11" s="136" customFormat="1" ht="15.6" hidden="1">
      <c r="A158" s="130"/>
      <c r="B158" s="165" t="str">
        <f>B149</f>
        <v>06.3241</v>
      </c>
      <c r="C158" s="138" t="s">
        <v>186</v>
      </c>
      <c r="D158" s="137" t="s">
        <v>89</v>
      </c>
      <c r="E158" s="156">
        <f>E150</f>
        <v>0</v>
      </c>
      <c r="F158" s="202"/>
      <c r="G158" s="134">
        <f>G149</f>
        <v>44917</v>
      </c>
      <c r="H158" s="134"/>
      <c r="I158" s="135">
        <f t="shared" si="8"/>
        <v>0</v>
      </c>
      <c r="J158" s="135">
        <f t="shared" si="9"/>
        <v>0</v>
      </c>
      <c r="K158" s="135">
        <f t="shared" si="10"/>
        <v>0</v>
      </c>
    </row>
    <row r="159" spans="1:11" s="389" customFormat="1" ht="15.6">
      <c r="A159" s="130"/>
      <c r="B159" s="317">
        <v>6</v>
      </c>
      <c r="C159" s="318" t="s">
        <v>386</v>
      </c>
      <c r="D159" s="317" t="s">
        <v>93</v>
      </c>
      <c r="E159" s="319"/>
      <c r="F159" s="340"/>
      <c r="G159" s="340"/>
      <c r="H159" s="340"/>
      <c r="I159" s="321">
        <f t="shared" si="8"/>
        <v>0</v>
      </c>
      <c r="J159" s="341"/>
      <c r="K159" s="341"/>
    </row>
    <row r="160" spans="1:11" s="373" customFormat="1" ht="15.6">
      <c r="A160" s="130"/>
      <c r="B160" s="350"/>
      <c r="C160" s="323" t="s">
        <v>113</v>
      </c>
      <c r="D160" s="322" t="s">
        <v>183</v>
      </c>
      <c r="E160" s="325"/>
      <c r="F160" s="320">
        <v>227000</v>
      </c>
      <c r="G160" s="320"/>
      <c r="H160" s="320"/>
      <c r="I160" s="321">
        <f t="shared" si="8"/>
        <v>0</v>
      </c>
      <c r="J160" s="321"/>
      <c r="K160" s="321"/>
    </row>
    <row r="161" spans="1:11" s="373" customFormat="1" ht="15.6">
      <c r="A161" s="130"/>
      <c r="B161" s="350"/>
      <c r="C161" s="323" t="s">
        <v>162</v>
      </c>
      <c r="D161" s="322" t="s">
        <v>183</v>
      </c>
      <c r="E161" s="325"/>
      <c r="F161" s="320">
        <v>64000</v>
      </c>
      <c r="G161" s="320"/>
      <c r="H161" s="320"/>
      <c r="I161" s="321">
        <f t="shared" si="8"/>
        <v>0</v>
      </c>
      <c r="J161" s="321"/>
      <c r="K161" s="321"/>
    </row>
    <row r="162" spans="1:11" s="373" customFormat="1" ht="15.6">
      <c r="A162" s="17" t="s">
        <v>40</v>
      </c>
      <c r="B162" s="317">
        <v>7</v>
      </c>
      <c r="C162" s="318" t="s">
        <v>109</v>
      </c>
      <c r="D162" s="317" t="s">
        <v>93</v>
      </c>
      <c r="E162" s="319"/>
      <c r="F162" s="320"/>
      <c r="G162" s="320"/>
      <c r="H162" s="320"/>
      <c r="I162" s="321">
        <f t="shared" si="8"/>
        <v>0</v>
      </c>
      <c r="J162" s="321">
        <f t="shared" si="9"/>
        <v>0</v>
      </c>
      <c r="K162" s="321">
        <f t="shared" si="10"/>
        <v>0</v>
      </c>
    </row>
    <row r="163" spans="1:11" s="373" customFormat="1" ht="15.6">
      <c r="A163" s="14"/>
      <c r="B163" s="322"/>
      <c r="C163" s="323" t="s">
        <v>113</v>
      </c>
      <c r="D163" s="322" t="s">
        <v>183</v>
      </c>
      <c r="E163" s="325"/>
      <c r="F163" s="320">
        <v>227000</v>
      </c>
      <c r="G163" s="320"/>
      <c r="H163" s="320"/>
      <c r="I163" s="321">
        <f>ROUND((E163*F163),0)</f>
        <v>0</v>
      </c>
      <c r="J163" s="321">
        <f t="shared" si="9"/>
        <v>0</v>
      </c>
      <c r="K163" s="321">
        <f t="shared" si="10"/>
        <v>0</v>
      </c>
    </row>
    <row r="164" spans="1:11" s="373" customFormat="1" ht="15.6">
      <c r="A164" s="14"/>
      <c r="B164" s="322"/>
      <c r="C164" s="334" t="s">
        <v>162</v>
      </c>
      <c r="D164" s="322" t="s">
        <v>183</v>
      </c>
      <c r="E164" s="325"/>
      <c r="F164" s="320">
        <v>64000</v>
      </c>
      <c r="G164" s="320"/>
      <c r="H164" s="320"/>
      <c r="I164" s="321">
        <f>ROUND((E164*F164),0)</f>
        <v>0</v>
      </c>
      <c r="J164" s="321">
        <f t="shared" si="9"/>
        <v>0</v>
      </c>
      <c r="K164" s="321">
        <f t="shared" si="10"/>
        <v>0</v>
      </c>
    </row>
    <row r="165" spans="1:11" s="16" customFormat="1" ht="15.6" hidden="1">
      <c r="A165" s="14"/>
      <c r="B165" s="15" t="s">
        <v>189</v>
      </c>
      <c r="C165" s="92" t="s">
        <v>50</v>
      </c>
      <c r="D165" s="15" t="s">
        <v>67</v>
      </c>
      <c r="E165" s="59"/>
      <c r="F165" s="202"/>
      <c r="G165" s="23">
        <v>142162</v>
      </c>
      <c r="H165" s="23"/>
      <c r="I165" s="13">
        <f t="shared" si="8"/>
        <v>0</v>
      </c>
      <c r="J165" s="13">
        <f t="shared" si="9"/>
        <v>0</v>
      </c>
      <c r="K165" s="13">
        <f t="shared" si="10"/>
        <v>0</v>
      </c>
    </row>
    <row r="166" spans="1:11" s="16" customFormat="1" ht="15.6" hidden="1">
      <c r="A166" s="14"/>
      <c r="B166" s="15" t="s">
        <v>190</v>
      </c>
      <c r="C166" s="92" t="s">
        <v>51</v>
      </c>
      <c r="D166" s="15" t="s">
        <v>67</v>
      </c>
      <c r="E166" s="59"/>
      <c r="F166" s="202"/>
      <c r="G166" s="23">
        <v>65943</v>
      </c>
      <c r="H166" s="23"/>
      <c r="I166" s="13">
        <f t="shared" si="8"/>
        <v>0</v>
      </c>
      <c r="J166" s="13">
        <f t="shared" si="9"/>
        <v>0</v>
      </c>
      <c r="K166" s="13">
        <f t="shared" si="10"/>
        <v>0</v>
      </c>
    </row>
    <row r="167" spans="1:11" s="373" customFormat="1" ht="15.6">
      <c r="A167" s="14"/>
      <c r="B167" s="317" t="s">
        <v>35</v>
      </c>
      <c r="C167" s="318" t="s">
        <v>88</v>
      </c>
      <c r="D167" s="383"/>
      <c r="E167" s="374"/>
      <c r="F167" s="320"/>
      <c r="G167" s="320"/>
      <c r="H167" s="320"/>
      <c r="I167" s="321">
        <f t="shared" si="8"/>
        <v>0</v>
      </c>
      <c r="J167" s="321">
        <f t="shared" si="9"/>
        <v>0</v>
      </c>
      <c r="K167" s="321">
        <f t="shared" si="10"/>
        <v>0</v>
      </c>
    </row>
    <row r="168" spans="1:11" s="373" customFormat="1" ht="18" customHeight="1">
      <c r="A168" s="14"/>
      <c r="B168" s="378" t="s">
        <v>295</v>
      </c>
      <c r="C168" s="377" t="s">
        <v>392</v>
      </c>
      <c r="D168" s="322" t="s">
        <v>77</v>
      </c>
      <c r="E168" s="336"/>
      <c r="F168" s="320"/>
      <c r="G168" s="320"/>
      <c r="H168" s="320"/>
      <c r="I168" s="321">
        <f t="shared" si="8"/>
        <v>0</v>
      </c>
      <c r="J168" s="321">
        <f t="shared" si="9"/>
        <v>0</v>
      </c>
      <c r="K168" s="321">
        <f t="shared" si="10"/>
        <v>0</v>
      </c>
    </row>
    <row r="169" spans="1:11" s="373" customFormat="1" ht="15.6">
      <c r="A169" s="305"/>
      <c r="B169" s="335" t="e">
        <f>'BKe TT'!#REF!*3</f>
        <v>#REF!</v>
      </c>
      <c r="C169" s="323" t="s">
        <v>393</v>
      </c>
      <c r="D169" s="322" t="s">
        <v>79</v>
      </c>
      <c r="E169" s="336"/>
      <c r="F169" s="320">
        <f>71700*90/100</f>
        <v>64530</v>
      </c>
      <c r="G169" s="320"/>
      <c r="H169" s="320"/>
      <c r="I169" s="321">
        <f t="shared" si="8"/>
        <v>0</v>
      </c>
      <c r="J169" s="321">
        <f t="shared" si="9"/>
        <v>0</v>
      </c>
      <c r="K169" s="321">
        <f t="shared" si="10"/>
        <v>0</v>
      </c>
    </row>
    <row r="170" spans="1:11" s="64" customFormat="1" ht="31.2" hidden="1">
      <c r="A170" s="61"/>
      <c r="B170" s="44">
        <v>1</v>
      </c>
      <c r="C170" s="94" t="s">
        <v>209</v>
      </c>
      <c r="D170" s="62" t="s">
        <v>89</v>
      </c>
      <c r="E170" s="63"/>
      <c r="F170" s="205"/>
      <c r="G170" s="24"/>
      <c r="H170" s="24"/>
      <c r="I170" s="22">
        <f t="shared" si="8"/>
        <v>0</v>
      </c>
      <c r="J170" s="22">
        <f t="shared" si="9"/>
        <v>0</v>
      </c>
      <c r="K170" s="22">
        <f t="shared" si="10"/>
        <v>0</v>
      </c>
    </row>
    <row r="171" spans="1:11" s="311" customFormat="1" ht="15.6" hidden="1">
      <c r="A171" s="305"/>
      <c r="B171" s="306"/>
      <c r="C171" s="307" t="s">
        <v>117</v>
      </c>
      <c r="D171" s="306" t="s">
        <v>89</v>
      </c>
      <c r="E171" s="308">
        <f>E170</f>
        <v>0</v>
      </c>
      <c r="F171" s="309">
        <f>19000+14000</f>
        <v>33000</v>
      </c>
      <c r="G171" s="309"/>
      <c r="H171" s="309"/>
      <c r="I171" s="310">
        <f t="shared" si="8"/>
        <v>0</v>
      </c>
      <c r="J171" s="310">
        <f t="shared" si="9"/>
        <v>0</v>
      </c>
      <c r="K171" s="310">
        <f t="shared" si="10"/>
        <v>0</v>
      </c>
    </row>
    <row r="172" spans="1:11" s="16" customFormat="1" ht="15.6" hidden="1">
      <c r="A172" s="14"/>
      <c r="B172" s="15"/>
      <c r="C172" s="92" t="s">
        <v>34</v>
      </c>
      <c r="D172" s="15" t="s">
        <v>89</v>
      </c>
      <c r="E172" s="21">
        <f>E170</f>
        <v>0</v>
      </c>
      <c r="F172" s="202">
        <f>F82</f>
        <v>26400</v>
      </c>
      <c r="G172" s="23"/>
      <c r="H172" s="23"/>
      <c r="I172" s="13">
        <f t="shared" si="8"/>
        <v>0</v>
      </c>
      <c r="J172" s="13">
        <f t="shared" si="9"/>
        <v>0</v>
      </c>
      <c r="K172" s="13">
        <f t="shared" si="10"/>
        <v>0</v>
      </c>
    </row>
    <row r="173" spans="1:11" s="389" customFormat="1" ht="21.75" customHeight="1">
      <c r="A173" s="61"/>
      <c r="B173" s="317">
        <v>1</v>
      </c>
      <c r="C173" s="337" t="s">
        <v>210</v>
      </c>
      <c r="D173" s="379" t="s">
        <v>166</v>
      </c>
      <c r="E173" s="339"/>
      <c r="F173" s="340"/>
      <c r="G173" s="340"/>
      <c r="H173" s="340"/>
      <c r="I173" s="341">
        <f t="shared" si="8"/>
        <v>0</v>
      </c>
      <c r="J173" s="341">
        <f t="shared" si="9"/>
        <v>0</v>
      </c>
      <c r="K173" s="341">
        <f t="shared" si="10"/>
        <v>0</v>
      </c>
    </row>
    <row r="174" spans="1:11" s="373" customFormat="1" ht="15.6">
      <c r="A174" s="14"/>
      <c r="B174" s="322"/>
      <c r="C174" s="323" t="s">
        <v>211</v>
      </c>
      <c r="D174" s="322" t="s">
        <v>89</v>
      </c>
      <c r="E174" s="324"/>
      <c r="F174" s="320">
        <v>13000</v>
      </c>
      <c r="G174" s="320"/>
      <c r="H174" s="320"/>
      <c r="I174" s="321">
        <f t="shared" si="8"/>
        <v>0</v>
      </c>
      <c r="J174" s="321">
        <f t="shared" si="9"/>
        <v>0</v>
      </c>
      <c r="K174" s="321">
        <f t="shared" si="10"/>
        <v>0</v>
      </c>
    </row>
    <row r="175" spans="1:11" s="373" customFormat="1" ht="15.6">
      <c r="A175" s="14"/>
      <c r="B175" s="322"/>
      <c r="C175" s="323" t="s">
        <v>34</v>
      </c>
      <c r="D175" s="322" t="s">
        <v>89</v>
      </c>
      <c r="E175" s="324"/>
      <c r="F175" s="320">
        <f>F75</f>
        <v>21600</v>
      </c>
      <c r="G175" s="320"/>
      <c r="H175" s="320"/>
      <c r="I175" s="321">
        <f t="shared" si="8"/>
        <v>0</v>
      </c>
      <c r="J175" s="321">
        <f t="shared" si="9"/>
        <v>0</v>
      </c>
      <c r="K175" s="321">
        <f t="shared" si="10"/>
        <v>0</v>
      </c>
    </row>
    <row r="176" spans="1:11" s="172" customFormat="1" ht="15.6" hidden="1">
      <c r="A176" s="166"/>
      <c r="B176" s="131">
        <v>3</v>
      </c>
      <c r="C176" s="167" t="s">
        <v>212</v>
      </c>
      <c r="D176" s="168" t="s">
        <v>89</v>
      </c>
      <c r="E176" s="169"/>
      <c r="F176" s="205"/>
      <c r="G176" s="170"/>
      <c r="H176" s="170"/>
      <c r="I176" s="171">
        <f t="shared" si="8"/>
        <v>0</v>
      </c>
      <c r="J176" s="171">
        <f t="shared" si="9"/>
        <v>0</v>
      </c>
      <c r="K176" s="171">
        <f t="shared" si="10"/>
        <v>0</v>
      </c>
    </row>
    <row r="177" spans="1:11" s="136" customFormat="1" ht="15.6" hidden="1">
      <c r="A177" s="130"/>
      <c r="B177" s="137"/>
      <c r="C177" s="138" t="s">
        <v>117</v>
      </c>
      <c r="D177" s="137" t="s">
        <v>89</v>
      </c>
      <c r="E177" s="139">
        <f>E176</f>
        <v>0</v>
      </c>
      <c r="F177" s="202">
        <f>F171</f>
        <v>33000</v>
      </c>
      <c r="G177" s="134"/>
      <c r="H177" s="134"/>
      <c r="I177" s="135">
        <f t="shared" si="8"/>
        <v>0</v>
      </c>
      <c r="J177" s="135">
        <f t="shared" si="9"/>
        <v>0</v>
      </c>
      <c r="K177" s="135">
        <f t="shared" si="10"/>
        <v>0</v>
      </c>
    </row>
    <row r="178" spans="1:11" s="136" customFormat="1" ht="15.6" hidden="1">
      <c r="A178" s="130"/>
      <c r="B178" s="137"/>
      <c r="C178" s="138" t="s">
        <v>188</v>
      </c>
      <c r="D178" s="137" t="s">
        <v>89</v>
      </c>
      <c r="E178" s="139">
        <f>E176</f>
        <v>0</v>
      </c>
      <c r="F178" s="202">
        <f>F111</f>
        <v>11800</v>
      </c>
      <c r="G178" s="134"/>
      <c r="H178" s="134"/>
      <c r="I178" s="135">
        <f t="shared" si="8"/>
        <v>0</v>
      </c>
      <c r="J178" s="135">
        <f t="shared" si="9"/>
        <v>0</v>
      </c>
      <c r="K178" s="135">
        <f t="shared" si="10"/>
        <v>0</v>
      </c>
    </row>
    <row r="179" spans="1:11" s="389" customFormat="1" ht="16.2">
      <c r="A179" s="14"/>
      <c r="B179" s="317">
        <v>2</v>
      </c>
      <c r="C179" s="337" t="s">
        <v>215</v>
      </c>
      <c r="D179" s="379" t="s">
        <v>166</v>
      </c>
      <c r="E179" s="339"/>
      <c r="F179" s="320"/>
      <c r="G179" s="320"/>
      <c r="H179" s="320"/>
      <c r="I179" s="321">
        <f t="shared" ref="I179:I226" si="11">ROUND((E179*F179),0)</f>
        <v>0</v>
      </c>
      <c r="J179" s="321">
        <f t="shared" si="9"/>
        <v>0</v>
      </c>
      <c r="K179" s="321">
        <f t="shared" si="10"/>
        <v>0</v>
      </c>
    </row>
    <row r="180" spans="1:11" s="373" customFormat="1" ht="15.6">
      <c r="A180" s="14"/>
      <c r="B180" s="322"/>
      <c r="C180" s="323" t="s">
        <v>396</v>
      </c>
      <c r="D180" s="322" t="s">
        <v>183</v>
      </c>
      <c r="E180" s="324"/>
      <c r="F180" s="320">
        <v>83000</v>
      </c>
      <c r="G180" s="320"/>
      <c r="H180" s="320"/>
      <c r="I180" s="321">
        <f t="shared" si="11"/>
        <v>0</v>
      </c>
      <c r="J180" s="321">
        <f t="shared" si="9"/>
        <v>0</v>
      </c>
      <c r="K180" s="321">
        <f t="shared" si="10"/>
        <v>0</v>
      </c>
    </row>
    <row r="181" spans="1:11" s="373" customFormat="1" ht="15.6">
      <c r="A181" s="14"/>
      <c r="B181" s="322"/>
      <c r="C181" s="323" t="s">
        <v>94</v>
      </c>
      <c r="D181" s="322" t="s">
        <v>89</v>
      </c>
      <c r="E181" s="324"/>
      <c r="F181" s="320">
        <f>30000+2200</f>
        <v>32200</v>
      </c>
      <c r="G181" s="320"/>
      <c r="H181" s="320"/>
      <c r="I181" s="321">
        <f t="shared" si="11"/>
        <v>0</v>
      </c>
      <c r="J181" s="321">
        <f t="shared" si="9"/>
        <v>0</v>
      </c>
      <c r="K181" s="321">
        <f t="shared" si="10"/>
        <v>0</v>
      </c>
    </row>
    <row r="182" spans="1:11" s="172" customFormat="1" ht="15.6" hidden="1">
      <c r="A182" s="166"/>
      <c r="B182" s="131">
        <v>5</v>
      </c>
      <c r="C182" s="167" t="s">
        <v>214</v>
      </c>
      <c r="D182" s="168" t="s">
        <v>89</v>
      </c>
      <c r="E182" s="173"/>
      <c r="F182" s="205"/>
      <c r="G182" s="170"/>
      <c r="H182" s="170"/>
      <c r="I182" s="171">
        <f t="shared" si="11"/>
        <v>0</v>
      </c>
      <c r="J182" s="171">
        <f t="shared" si="9"/>
        <v>0</v>
      </c>
      <c r="K182" s="171">
        <f t="shared" si="10"/>
        <v>0</v>
      </c>
    </row>
    <row r="183" spans="1:11" s="136" customFormat="1" ht="15.6" hidden="1">
      <c r="A183" s="130"/>
      <c r="B183" s="137"/>
      <c r="C183" s="138" t="s">
        <v>226</v>
      </c>
      <c r="D183" s="137" t="s">
        <v>183</v>
      </c>
      <c r="E183" s="139">
        <f>E182</f>
        <v>0</v>
      </c>
      <c r="F183" s="202">
        <f>F180</f>
        <v>83000</v>
      </c>
      <c r="G183" s="134"/>
      <c r="H183" s="134"/>
      <c r="I183" s="135">
        <f t="shared" si="11"/>
        <v>0</v>
      </c>
      <c r="J183" s="135">
        <f t="shared" si="9"/>
        <v>0</v>
      </c>
      <c r="K183" s="135">
        <f t="shared" si="10"/>
        <v>0</v>
      </c>
    </row>
    <row r="184" spans="1:11" s="136" customFormat="1" ht="30" hidden="1">
      <c r="A184" s="130"/>
      <c r="B184" s="137"/>
      <c r="C184" s="138" t="s">
        <v>73</v>
      </c>
      <c r="D184" s="137" t="s">
        <v>89</v>
      </c>
      <c r="E184" s="139">
        <f>E182</f>
        <v>0</v>
      </c>
      <c r="F184" s="202">
        <f>2*2400+32100</f>
        <v>36900</v>
      </c>
      <c r="G184" s="134"/>
      <c r="H184" s="134"/>
      <c r="I184" s="135">
        <f t="shared" si="11"/>
        <v>0</v>
      </c>
      <c r="J184" s="135">
        <f t="shared" si="9"/>
        <v>0</v>
      </c>
      <c r="K184" s="135">
        <f t="shared" si="10"/>
        <v>0</v>
      </c>
    </row>
    <row r="185" spans="1:11" s="172" customFormat="1" ht="15.6" hidden="1">
      <c r="A185" s="166"/>
      <c r="B185" s="131">
        <v>6</v>
      </c>
      <c r="C185" s="167" t="s">
        <v>213</v>
      </c>
      <c r="D185" s="168" t="s">
        <v>89</v>
      </c>
      <c r="E185" s="173"/>
      <c r="F185" s="205"/>
      <c r="G185" s="170"/>
      <c r="H185" s="170"/>
      <c r="I185" s="171">
        <f t="shared" si="11"/>
        <v>0</v>
      </c>
      <c r="J185" s="171">
        <f>ROUND((E185*G185),0)</f>
        <v>0</v>
      </c>
      <c r="K185" s="171">
        <f>ROUND((E185*H185),0)</f>
        <v>0</v>
      </c>
    </row>
    <row r="186" spans="1:11" s="136" customFormat="1" ht="15.6" hidden="1">
      <c r="A186" s="130"/>
      <c r="B186" s="137"/>
      <c r="C186" s="138" t="s">
        <v>226</v>
      </c>
      <c r="D186" s="137" t="s">
        <v>183</v>
      </c>
      <c r="E186" s="139">
        <f>E185</f>
        <v>0</v>
      </c>
      <c r="F186" s="202">
        <f>F183</f>
        <v>83000</v>
      </c>
      <c r="G186" s="134"/>
      <c r="H186" s="134"/>
      <c r="I186" s="135">
        <f t="shared" si="11"/>
        <v>0</v>
      </c>
      <c r="J186" s="135">
        <f>ROUND((E186*G186),0)</f>
        <v>0</v>
      </c>
      <c r="K186" s="135">
        <f>ROUND((E186*H186),0)</f>
        <v>0</v>
      </c>
    </row>
    <row r="187" spans="1:11" s="136" customFormat="1" ht="15.6" hidden="1">
      <c r="A187" s="130"/>
      <c r="B187" s="137"/>
      <c r="C187" s="174" t="s">
        <v>160</v>
      </c>
      <c r="D187" s="137" t="s">
        <v>183</v>
      </c>
      <c r="E187" s="156">
        <f>E185</f>
        <v>0</v>
      </c>
      <c r="F187" s="202">
        <v>22000</v>
      </c>
      <c r="G187" s="134"/>
      <c r="H187" s="134"/>
      <c r="I187" s="135">
        <f t="shared" si="11"/>
        <v>0</v>
      </c>
      <c r="J187" s="135">
        <f>ROUND((E187*G187),0)</f>
        <v>0</v>
      </c>
      <c r="K187" s="135">
        <f>ROUND((E187*H187),0)</f>
        <v>0</v>
      </c>
    </row>
    <row r="188" spans="1:11" s="389" customFormat="1" ht="15.6">
      <c r="A188" s="130"/>
      <c r="B188" s="317">
        <v>3</v>
      </c>
      <c r="C188" s="392" t="s">
        <v>387</v>
      </c>
      <c r="D188" s="345" t="s">
        <v>183</v>
      </c>
      <c r="E188" s="320"/>
      <c r="F188" s="320">
        <v>45000</v>
      </c>
      <c r="G188" s="340"/>
      <c r="H188" s="340"/>
      <c r="I188" s="341"/>
      <c r="J188" s="341"/>
      <c r="K188" s="341"/>
    </row>
    <row r="189" spans="1:11" s="389" customFormat="1" ht="15.6">
      <c r="A189" s="14"/>
      <c r="B189" s="317">
        <v>4</v>
      </c>
      <c r="C189" s="337" t="s">
        <v>381</v>
      </c>
      <c r="D189" s="317" t="s">
        <v>89</v>
      </c>
      <c r="E189" s="342"/>
      <c r="F189" s="320"/>
      <c r="G189" s="320"/>
      <c r="H189" s="320"/>
      <c r="I189" s="321">
        <f t="shared" si="11"/>
        <v>0</v>
      </c>
      <c r="J189" s="321">
        <f t="shared" si="9"/>
        <v>0</v>
      </c>
      <c r="K189" s="321">
        <f t="shared" si="10"/>
        <v>0</v>
      </c>
    </row>
    <row r="190" spans="1:11" s="373" customFormat="1" ht="15.6">
      <c r="A190" s="305"/>
      <c r="B190" s="343"/>
      <c r="C190" s="344" t="s">
        <v>382</v>
      </c>
      <c r="D190" s="345" t="s">
        <v>183</v>
      </c>
      <c r="E190" s="347"/>
      <c r="F190" s="320">
        <v>180000</v>
      </c>
      <c r="G190" s="320"/>
      <c r="H190" s="320"/>
      <c r="I190" s="321">
        <f t="shared" si="11"/>
        <v>0</v>
      </c>
      <c r="J190" s="321">
        <f t="shared" si="9"/>
        <v>0</v>
      </c>
      <c r="K190" s="321">
        <f t="shared" si="10"/>
        <v>0</v>
      </c>
    </row>
    <row r="191" spans="1:11" s="311" customFormat="1" ht="35.25" hidden="1" customHeight="1">
      <c r="A191" s="305"/>
      <c r="B191" s="322"/>
      <c r="C191" s="346" t="e">
        <f>"Ty sứ đứng bọc chì 24kV - D20-295: ("&amp;'BKe TT'!#REF!&amp;" cái ty thay thế + "&amp;'5.THVL,NC,MTC'!E189&amp;" ty vị trí mới)"</f>
        <v>#REF!</v>
      </c>
      <c r="D191" s="322" t="s">
        <v>183</v>
      </c>
      <c r="E191" s="347"/>
      <c r="F191" s="320">
        <v>65000</v>
      </c>
      <c r="G191" s="320"/>
      <c r="H191" s="320"/>
      <c r="I191" s="321">
        <f t="shared" si="11"/>
        <v>0</v>
      </c>
      <c r="J191" s="321">
        <f t="shared" si="9"/>
        <v>0</v>
      </c>
      <c r="K191" s="321">
        <f t="shared" si="10"/>
        <v>0</v>
      </c>
    </row>
    <row r="192" spans="1:11" s="389" customFormat="1" ht="15.6">
      <c r="A192" s="166"/>
      <c r="B192" s="317">
        <v>5</v>
      </c>
      <c r="C192" s="337" t="s">
        <v>216</v>
      </c>
      <c r="D192" s="338" t="s">
        <v>89</v>
      </c>
      <c r="E192" s="348"/>
      <c r="F192" s="340"/>
      <c r="G192" s="340"/>
      <c r="H192" s="340"/>
      <c r="I192" s="341">
        <f t="shared" si="11"/>
        <v>0</v>
      </c>
      <c r="J192" s="341">
        <f t="shared" si="9"/>
        <v>0</v>
      </c>
      <c r="K192" s="341">
        <f t="shared" si="10"/>
        <v>0</v>
      </c>
    </row>
    <row r="193" spans="1:11" s="136" customFormat="1" ht="15.6" hidden="1">
      <c r="A193" s="130"/>
      <c r="B193" s="322"/>
      <c r="C193" s="344" t="s">
        <v>59</v>
      </c>
      <c r="D193" s="322" t="s">
        <v>183</v>
      </c>
      <c r="E193" s="324"/>
      <c r="F193" s="320">
        <f>F190</f>
        <v>180000</v>
      </c>
      <c r="G193" s="320"/>
      <c r="H193" s="320"/>
      <c r="I193" s="321">
        <f t="shared" si="11"/>
        <v>0</v>
      </c>
      <c r="J193" s="321">
        <f t="shared" si="9"/>
        <v>0</v>
      </c>
      <c r="K193" s="321">
        <f t="shared" si="10"/>
        <v>0</v>
      </c>
    </row>
    <row r="194" spans="1:11" s="373" customFormat="1" ht="15.6">
      <c r="A194" s="130"/>
      <c r="B194" s="322"/>
      <c r="C194" s="323" t="s">
        <v>384</v>
      </c>
      <c r="D194" s="322" t="s">
        <v>183</v>
      </c>
      <c r="E194" s="324"/>
      <c r="F194" s="320">
        <v>80000</v>
      </c>
      <c r="G194" s="320"/>
      <c r="H194" s="320"/>
      <c r="I194" s="321">
        <f t="shared" si="11"/>
        <v>0</v>
      </c>
      <c r="J194" s="321">
        <f t="shared" si="9"/>
        <v>0</v>
      </c>
      <c r="K194" s="321">
        <f t="shared" si="10"/>
        <v>0</v>
      </c>
    </row>
    <row r="195" spans="1:11" s="373" customFormat="1" ht="15.6">
      <c r="A195" s="130"/>
      <c r="B195" s="322"/>
      <c r="C195" s="364" t="s">
        <v>383</v>
      </c>
      <c r="D195" s="322" t="s">
        <v>89</v>
      </c>
      <c r="E195" s="325"/>
      <c r="F195" s="320">
        <f>F172</f>
        <v>26400</v>
      </c>
      <c r="G195" s="320"/>
      <c r="H195" s="320"/>
      <c r="I195" s="321">
        <f t="shared" si="11"/>
        <v>0</v>
      </c>
      <c r="J195" s="321">
        <f t="shared" si="9"/>
        <v>0</v>
      </c>
      <c r="K195" s="321">
        <f t="shared" si="10"/>
        <v>0</v>
      </c>
    </row>
    <row r="196" spans="1:11" s="172" customFormat="1" ht="15.6" hidden="1">
      <c r="A196" s="166"/>
      <c r="B196" s="131">
        <v>9</v>
      </c>
      <c r="C196" s="167" t="s">
        <v>217</v>
      </c>
      <c r="D196" s="168" t="s">
        <v>89</v>
      </c>
      <c r="E196" s="173"/>
      <c r="F196" s="205"/>
      <c r="G196" s="170"/>
      <c r="H196" s="170"/>
      <c r="I196" s="171">
        <f t="shared" si="11"/>
        <v>0</v>
      </c>
      <c r="J196" s="171">
        <f>ROUND((E196*G196),0)</f>
        <v>0</v>
      </c>
      <c r="K196" s="171">
        <f>ROUND((E196*H196),0)</f>
        <v>0</v>
      </c>
    </row>
    <row r="197" spans="1:11" s="136" customFormat="1" ht="15.6" hidden="1">
      <c r="A197" s="130"/>
      <c r="B197" s="137"/>
      <c r="C197" s="175" t="s">
        <v>59</v>
      </c>
      <c r="D197" s="137" t="s">
        <v>183</v>
      </c>
      <c r="E197" s="139">
        <f>E196</f>
        <v>0</v>
      </c>
      <c r="F197" s="202">
        <f>F193</f>
        <v>180000</v>
      </c>
      <c r="G197" s="134"/>
      <c r="H197" s="134"/>
      <c r="I197" s="135">
        <f t="shared" si="11"/>
        <v>0</v>
      </c>
      <c r="J197" s="135">
        <f>ROUND((E197*G197),0)</f>
        <v>0</v>
      </c>
      <c r="K197" s="135">
        <f>ROUND((E197*H197),0)</f>
        <v>0</v>
      </c>
    </row>
    <row r="198" spans="1:11" s="136" customFormat="1" ht="15.6" hidden="1">
      <c r="A198" s="130"/>
      <c r="B198" s="137"/>
      <c r="C198" s="138" t="s">
        <v>101</v>
      </c>
      <c r="D198" s="137" t="s">
        <v>183</v>
      </c>
      <c r="E198" s="139">
        <f>E196</f>
        <v>0</v>
      </c>
      <c r="F198" s="202">
        <v>91000</v>
      </c>
      <c r="G198" s="134"/>
      <c r="H198" s="134"/>
      <c r="I198" s="135">
        <f t="shared" si="11"/>
        <v>0</v>
      </c>
      <c r="J198" s="135">
        <f>ROUND((E198*G198),0)</f>
        <v>0</v>
      </c>
      <c r="K198" s="135">
        <f>ROUND((E198*H198),0)</f>
        <v>0</v>
      </c>
    </row>
    <row r="199" spans="1:11" s="136" customFormat="1" ht="15.6" hidden="1">
      <c r="A199" s="130"/>
      <c r="B199" s="137"/>
      <c r="C199" s="138" t="s">
        <v>208</v>
      </c>
      <c r="D199" s="137" t="s">
        <v>89</v>
      </c>
      <c r="E199" s="139">
        <f>E196*1</f>
        <v>0</v>
      </c>
      <c r="F199" s="202">
        <f>12200+2*2100</f>
        <v>16400</v>
      </c>
      <c r="G199" s="134"/>
      <c r="H199" s="134"/>
      <c r="I199" s="135">
        <f t="shared" si="11"/>
        <v>0</v>
      </c>
      <c r="J199" s="135">
        <f>ROUND((E199*G199),0)</f>
        <v>0</v>
      </c>
      <c r="K199" s="135">
        <f>ROUND((E199*H199),0)</f>
        <v>0</v>
      </c>
    </row>
    <row r="200" spans="1:11" s="389" customFormat="1" ht="15.6">
      <c r="A200" s="166"/>
      <c r="B200" s="317">
        <v>6</v>
      </c>
      <c r="C200" s="337" t="s">
        <v>2</v>
      </c>
      <c r="D200" s="338" t="s">
        <v>89</v>
      </c>
      <c r="E200" s="349"/>
      <c r="F200" s="340"/>
      <c r="G200" s="340"/>
      <c r="H200" s="340"/>
      <c r="I200" s="341">
        <f t="shared" si="11"/>
        <v>0</v>
      </c>
      <c r="J200" s="341">
        <f t="shared" si="9"/>
        <v>0</v>
      </c>
      <c r="K200" s="341">
        <f t="shared" si="10"/>
        <v>0</v>
      </c>
    </row>
    <row r="201" spans="1:11" s="136" customFormat="1" ht="15.6" hidden="1">
      <c r="A201" s="130"/>
      <c r="B201" s="322"/>
      <c r="C201" s="323" t="s">
        <v>60</v>
      </c>
      <c r="D201" s="322" t="s">
        <v>183</v>
      </c>
      <c r="E201" s="324"/>
      <c r="F201" s="320">
        <f>F193</f>
        <v>180000</v>
      </c>
      <c r="G201" s="320"/>
      <c r="H201" s="320"/>
      <c r="I201" s="321">
        <f t="shared" si="11"/>
        <v>0</v>
      </c>
      <c r="J201" s="321">
        <f t="shared" si="9"/>
        <v>0</v>
      </c>
      <c r="K201" s="321">
        <f t="shared" si="10"/>
        <v>0</v>
      </c>
    </row>
    <row r="202" spans="1:11" s="373" customFormat="1" ht="15.6">
      <c r="A202" s="130"/>
      <c r="B202" s="322"/>
      <c r="C202" s="323" t="s">
        <v>264</v>
      </c>
      <c r="D202" s="322" t="s">
        <v>183</v>
      </c>
      <c r="E202" s="324"/>
      <c r="F202" s="320">
        <v>82000</v>
      </c>
      <c r="G202" s="320"/>
      <c r="H202" s="320"/>
      <c r="I202" s="321">
        <f t="shared" si="11"/>
        <v>0</v>
      </c>
      <c r="J202" s="321">
        <f t="shared" si="9"/>
        <v>0</v>
      </c>
      <c r="K202" s="321">
        <f t="shared" si="10"/>
        <v>0</v>
      </c>
    </row>
    <row r="203" spans="1:11" s="373" customFormat="1" ht="15.6">
      <c r="A203" s="130"/>
      <c r="B203" s="322"/>
      <c r="C203" s="323" t="s">
        <v>385</v>
      </c>
      <c r="D203" s="322" t="s">
        <v>89</v>
      </c>
      <c r="E203" s="325"/>
      <c r="F203" s="320">
        <f>F125</f>
        <v>24000</v>
      </c>
      <c r="G203" s="320"/>
      <c r="H203" s="320"/>
      <c r="I203" s="321">
        <f t="shared" si="11"/>
        <v>0</v>
      </c>
      <c r="J203" s="321">
        <f t="shared" si="9"/>
        <v>0</v>
      </c>
      <c r="K203" s="321">
        <f t="shared" si="10"/>
        <v>0</v>
      </c>
    </row>
    <row r="204" spans="1:11" s="172" customFormat="1" ht="15.6" hidden="1">
      <c r="A204" s="130"/>
      <c r="B204" s="131">
        <v>5</v>
      </c>
      <c r="C204" s="167" t="s">
        <v>54</v>
      </c>
      <c r="D204" s="131" t="s">
        <v>125</v>
      </c>
      <c r="E204" s="176"/>
      <c r="F204" s="202"/>
      <c r="G204" s="134"/>
      <c r="H204" s="134"/>
      <c r="I204" s="135">
        <f t="shared" si="11"/>
        <v>0</v>
      </c>
      <c r="J204" s="135">
        <f t="shared" si="9"/>
        <v>0</v>
      </c>
      <c r="K204" s="135">
        <f t="shared" si="10"/>
        <v>0</v>
      </c>
    </row>
    <row r="205" spans="1:11" s="136" customFormat="1" ht="15.6" hidden="1">
      <c r="A205" s="130"/>
      <c r="B205" s="165"/>
      <c r="C205" s="175" t="s">
        <v>163</v>
      </c>
      <c r="D205" s="137" t="s">
        <v>125</v>
      </c>
      <c r="E205" s="139">
        <f>E204</f>
        <v>0</v>
      </c>
      <c r="F205" s="202">
        <v>196100</v>
      </c>
      <c r="G205" s="134"/>
      <c r="H205" s="134"/>
      <c r="I205" s="135">
        <f t="shared" si="11"/>
        <v>0</v>
      </c>
      <c r="J205" s="135">
        <f t="shared" si="9"/>
        <v>0</v>
      </c>
      <c r="K205" s="135">
        <f t="shared" si="10"/>
        <v>0</v>
      </c>
    </row>
    <row r="206" spans="1:11" s="136" customFormat="1" ht="15.6" hidden="1">
      <c r="A206" s="130"/>
      <c r="B206" s="137"/>
      <c r="C206" s="138" t="s">
        <v>49</v>
      </c>
      <c r="D206" s="137" t="s">
        <v>89</v>
      </c>
      <c r="E206" s="139">
        <f>E204</f>
        <v>0</v>
      </c>
      <c r="F206" s="202">
        <f>27300+2100</f>
        <v>29400</v>
      </c>
      <c r="G206" s="134"/>
      <c r="H206" s="134"/>
      <c r="I206" s="135">
        <f t="shared" si="11"/>
        <v>0</v>
      </c>
      <c r="J206" s="135">
        <f t="shared" si="9"/>
        <v>0</v>
      </c>
      <c r="K206" s="135">
        <f t="shared" si="10"/>
        <v>0</v>
      </c>
    </row>
    <row r="207" spans="1:11" s="136" customFormat="1" ht="15.6" hidden="1">
      <c r="A207" s="130"/>
      <c r="B207" s="137"/>
      <c r="C207" s="174" t="s">
        <v>160</v>
      </c>
      <c r="D207" s="137" t="s">
        <v>183</v>
      </c>
      <c r="E207" s="139">
        <f>E204</f>
        <v>0</v>
      </c>
      <c r="F207" s="202">
        <v>22000</v>
      </c>
      <c r="G207" s="134"/>
      <c r="H207" s="134">
        <v>0</v>
      </c>
      <c r="I207" s="135">
        <f t="shared" si="11"/>
        <v>0</v>
      </c>
      <c r="J207" s="135">
        <f t="shared" si="9"/>
        <v>0</v>
      </c>
      <c r="K207" s="135">
        <f t="shared" si="10"/>
        <v>0</v>
      </c>
    </row>
    <row r="208" spans="1:11" s="136" customFormat="1" ht="15.6" hidden="1">
      <c r="A208" s="130"/>
      <c r="B208" s="137"/>
      <c r="C208" s="138" t="s">
        <v>52</v>
      </c>
      <c r="D208" s="137" t="s">
        <v>89</v>
      </c>
      <c r="E208" s="177">
        <f>E204</f>
        <v>0</v>
      </c>
      <c r="F208" s="202">
        <f>190000+18000</f>
        <v>208000</v>
      </c>
      <c r="G208" s="134"/>
      <c r="H208" s="134">
        <v>0</v>
      </c>
      <c r="I208" s="135">
        <f t="shared" si="11"/>
        <v>0</v>
      </c>
      <c r="J208" s="135">
        <f t="shared" si="9"/>
        <v>0</v>
      </c>
      <c r="K208" s="135">
        <f t="shared" si="10"/>
        <v>0</v>
      </c>
    </row>
    <row r="209" spans="1:11" s="172" customFormat="1" ht="15.6" hidden="1">
      <c r="A209" s="130">
        <f>A194+1</f>
        <v>1</v>
      </c>
      <c r="B209" s="131">
        <v>11</v>
      </c>
      <c r="C209" s="167" t="s">
        <v>175</v>
      </c>
      <c r="D209" s="131" t="s">
        <v>33</v>
      </c>
      <c r="E209" s="169"/>
      <c r="F209" s="202"/>
      <c r="G209" s="134"/>
      <c r="H209" s="134"/>
      <c r="I209" s="135">
        <f t="shared" si="11"/>
        <v>0</v>
      </c>
      <c r="J209" s="135">
        <f t="shared" si="9"/>
        <v>0</v>
      </c>
      <c r="K209" s="135">
        <f t="shared" si="10"/>
        <v>0</v>
      </c>
    </row>
    <row r="210" spans="1:11" s="184" customFormat="1" ht="15.6" hidden="1">
      <c r="A210" s="178"/>
      <c r="B210" s="179"/>
      <c r="C210" s="180" t="s">
        <v>164</v>
      </c>
      <c r="D210" s="181" t="s">
        <v>77</v>
      </c>
      <c r="E210" s="182">
        <f>ROUND((0.224*32*E209),1)</f>
        <v>0</v>
      </c>
      <c r="F210" s="202">
        <f>F44</f>
        <v>186600</v>
      </c>
      <c r="G210" s="183"/>
      <c r="H210" s="183"/>
      <c r="I210" s="135">
        <f t="shared" si="11"/>
        <v>0</v>
      </c>
      <c r="J210" s="135">
        <f t="shared" si="9"/>
        <v>0</v>
      </c>
      <c r="K210" s="135">
        <f t="shared" si="10"/>
        <v>0</v>
      </c>
    </row>
    <row r="211" spans="1:11" s="184" customFormat="1" ht="15.6" hidden="1">
      <c r="A211" s="178"/>
      <c r="B211" s="185"/>
      <c r="C211" s="180" t="s">
        <v>165</v>
      </c>
      <c r="D211" s="186" t="s">
        <v>166</v>
      </c>
      <c r="E211" s="187">
        <f>6*E209</f>
        <v>0</v>
      </c>
      <c r="F211" s="202">
        <f>98600+9700</f>
        <v>108300</v>
      </c>
      <c r="G211" s="183"/>
      <c r="H211" s="183"/>
      <c r="I211" s="135">
        <f t="shared" si="11"/>
        <v>0</v>
      </c>
      <c r="J211" s="135">
        <f t="shared" si="9"/>
        <v>0</v>
      </c>
      <c r="K211" s="135">
        <f t="shared" si="10"/>
        <v>0</v>
      </c>
    </row>
    <row r="212" spans="1:11" s="184" customFormat="1" ht="15.6" hidden="1">
      <c r="A212" s="178"/>
      <c r="B212" s="188" t="str">
        <f>B42</f>
        <v>05.8103</v>
      </c>
      <c r="C212" s="180" t="s">
        <v>177</v>
      </c>
      <c r="D212" s="186" t="s">
        <v>167</v>
      </c>
      <c r="E212" s="187">
        <f>E211</f>
        <v>0</v>
      </c>
      <c r="F212" s="202"/>
      <c r="G212" s="183">
        <f>G42</f>
        <v>0</v>
      </c>
      <c r="H212" s="183"/>
      <c r="I212" s="135">
        <f t="shared" si="11"/>
        <v>0</v>
      </c>
      <c r="J212" s="135">
        <f t="shared" si="9"/>
        <v>0</v>
      </c>
      <c r="K212" s="135">
        <f t="shared" si="10"/>
        <v>0</v>
      </c>
    </row>
    <row r="213" spans="1:11" s="184" customFormat="1" ht="15.6" hidden="1">
      <c r="A213" s="178"/>
      <c r="B213" s="188" t="str">
        <f>B41</f>
        <v>05.7001</v>
      </c>
      <c r="C213" s="180" t="s">
        <v>168</v>
      </c>
      <c r="D213" s="181" t="s">
        <v>77</v>
      </c>
      <c r="E213" s="182">
        <f>E210</f>
        <v>0</v>
      </c>
      <c r="F213" s="202"/>
      <c r="G213" s="183">
        <f>G41</f>
        <v>0</v>
      </c>
      <c r="H213" s="183"/>
      <c r="I213" s="135">
        <f t="shared" si="11"/>
        <v>0</v>
      </c>
      <c r="J213" s="135">
        <f t="shared" si="9"/>
        <v>0</v>
      </c>
      <c r="K213" s="135">
        <f t="shared" si="10"/>
        <v>0</v>
      </c>
    </row>
    <row r="214" spans="1:11" s="184" customFormat="1" ht="15.6" hidden="1">
      <c r="A214" s="178"/>
      <c r="B214" s="188" t="s">
        <v>170</v>
      </c>
      <c r="C214" s="180" t="s">
        <v>171</v>
      </c>
      <c r="D214" s="181" t="s">
        <v>67</v>
      </c>
      <c r="E214" s="189">
        <f>0.2*0.5*E209</f>
        <v>0</v>
      </c>
      <c r="F214" s="202"/>
      <c r="G214" s="183">
        <v>126747</v>
      </c>
      <c r="H214" s="183"/>
      <c r="I214" s="135">
        <f t="shared" si="11"/>
        <v>0</v>
      </c>
      <c r="J214" s="135">
        <f t="shared" si="9"/>
        <v>0</v>
      </c>
      <c r="K214" s="135">
        <f t="shared" si="10"/>
        <v>0</v>
      </c>
    </row>
    <row r="215" spans="1:11" s="184" customFormat="1" ht="15.6" hidden="1">
      <c r="A215" s="178"/>
      <c r="B215" s="188" t="s">
        <v>266</v>
      </c>
      <c r="C215" s="180" t="s">
        <v>265</v>
      </c>
      <c r="D215" s="181" t="s">
        <v>67</v>
      </c>
      <c r="E215" s="189">
        <f>E214</f>
        <v>0</v>
      </c>
      <c r="F215" s="202"/>
      <c r="G215" s="183">
        <v>65086</v>
      </c>
      <c r="H215" s="183"/>
      <c r="I215" s="135">
        <f t="shared" si="11"/>
        <v>0</v>
      </c>
      <c r="J215" s="135">
        <f t="shared" si="9"/>
        <v>0</v>
      </c>
      <c r="K215" s="135">
        <f t="shared" si="10"/>
        <v>0</v>
      </c>
    </row>
    <row r="216" spans="1:11" s="195" customFormat="1" ht="15.6" hidden="1">
      <c r="A216" s="190" t="e">
        <f>#REF!+1</f>
        <v>#REF!</v>
      </c>
      <c r="B216" s="185"/>
      <c r="C216" s="175" t="s">
        <v>118</v>
      </c>
      <c r="D216" s="191" t="s">
        <v>169</v>
      </c>
      <c r="E216" s="192">
        <f>2*E209</f>
        <v>0</v>
      </c>
      <c r="F216" s="206">
        <v>100800</v>
      </c>
      <c r="G216" s="183"/>
      <c r="H216" s="194"/>
      <c r="I216" s="135">
        <f t="shared" si="11"/>
        <v>0</v>
      </c>
      <c r="J216" s="135">
        <f t="shared" si="9"/>
        <v>0</v>
      </c>
      <c r="K216" s="135">
        <f t="shared" si="10"/>
        <v>0</v>
      </c>
    </row>
    <row r="217" spans="1:11" s="197" customFormat="1" ht="15.6" hidden="1">
      <c r="A217" s="190">
        <f>A215+1</f>
        <v>1</v>
      </c>
      <c r="B217" s="188"/>
      <c r="C217" s="196" t="s">
        <v>173</v>
      </c>
      <c r="D217" s="186" t="s">
        <v>157</v>
      </c>
      <c r="E217" s="192">
        <f>E209*3</f>
        <v>0</v>
      </c>
      <c r="F217" s="206">
        <v>46000</v>
      </c>
      <c r="G217" s="183"/>
      <c r="H217" s="193"/>
      <c r="I217" s="135">
        <f t="shared" si="11"/>
        <v>0</v>
      </c>
      <c r="J217" s="135">
        <f t="shared" si="9"/>
        <v>0</v>
      </c>
      <c r="K217" s="135">
        <f t="shared" si="10"/>
        <v>0</v>
      </c>
    </row>
    <row r="218" spans="1:11" s="197" customFormat="1" ht="15.6" hidden="1">
      <c r="A218" s="190">
        <f>A217+1</f>
        <v>2</v>
      </c>
      <c r="B218" s="188"/>
      <c r="C218" s="196" t="s">
        <v>174</v>
      </c>
      <c r="D218" s="186" t="s">
        <v>157</v>
      </c>
      <c r="E218" s="192">
        <f>E217</f>
        <v>0</v>
      </c>
      <c r="F218" s="206">
        <v>96400</v>
      </c>
      <c r="G218" s="183"/>
      <c r="H218" s="193"/>
      <c r="I218" s="135">
        <f t="shared" si="11"/>
        <v>0</v>
      </c>
      <c r="J218" s="135">
        <f t="shared" si="9"/>
        <v>0</v>
      </c>
      <c r="K218" s="135">
        <f t="shared" si="10"/>
        <v>0</v>
      </c>
    </row>
    <row r="219" spans="1:11" s="197" customFormat="1" ht="15.6" hidden="1">
      <c r="A219" s="190">
        <f>A218+1</f>
        <v>3</v>
      </c>
      <c r="B219" s="188" t="s">
        <v>276</v>
      </c>
      <c r="C219" s="198" t="s">
        <v>277</v>
      </c>
      <c r="D219" s="186" t="s">
        <v>166</v>
      </c>
      <c r="E219" s="192">
        <f>3*E209</f>
        <v>0</v>
      </c>
      <c r="F219" s="206">
        <v>1106000</v>
      </c>
      <c r="G219" s="183">
        <f>249538/3</f>
        <v>83179.333333333328</v>
      </c>
      <c r="H219" s="193"/>
      <c r="I219" s="135">
        <f t="shared" si="11"/>
        <v>0</v>
      </c>
      <c r="J219" s="135">
        <f>ROUND((E219*G219),0)</f>
        <v>0</v>
      </c>
      <c r="K219" s="135">
        <f>ROUND((E219*H219),0)</f>
        <v>0</v>
      </c>
    </row>
    <row r="220" spans="1:11" s="197" customFormat="1" ht="15.6" hidden="1">
      <c r="A220" s="190"/>
      <c r="B220" s="188"/>
      <c r="C220" s="198" t="s">
        <v>275</v>
      </c>
      <c r="D220" s="186" t="s">
        <v>157</v>
      </c>
      <c r="E220" s="192">
        <f>E219</f>
        <v>0</v>
      </c>
      <c r="F220" s="206">
        <v>39000</v>
      </c>
      <c r="G220" s="183"/>
      <c r="H220" s="193"/>
      <c r="I220" s="135">
        <f t="shared" si="11"/>
        <v>0</v>
      </c>
      <c r="J220" s="135"/>
      <c r="K220" s="135"/>
    </row>
    <row r="221" spans="1:11" s="164" customFormat="1" ht="15.6" hidden="1">
      <c r="A221" s="190">
        <f>A219+1</f>
        <v>4</v>
      </c>
      <c r="B221" s="159"/>
      <c r="C221" s="199" t="s">
        <v>172</v>
      </c>
      <c r="D221" s="186" t="s">
        <v>157</v>
      </c>
      <c r="E221" s="200">
        <f>E219</f>
        <v>0</v>
      </c>
      <c r="F221" s="207">
        <v>48000</v>
      </c>
      <c r="G221" s="201"/>
      <c r="H221" s="163"/>
      <c r="I221" s="135">
        <f t="shared" si="11"/>
        <v>0</v>
      </c>
      <c r="J221" s="135">
        <f t="shared" ref="J221:J229" si="12">ROUND((E221*G221),0)</f>
        <v>0</v>
      </c>
      <c r="K221" s="135">
        <f t="shared" ref="K221:K229" si="13">ROUND((E221*H221),0)</f>
        <v>0</v>
      </c>
    </row>
    <row r="222" spans="1:11" s="164" customFormat="1" ht="15.6" hidden="1">
      <c r="A222" s="190">
        <f>A221+1</f>
        <v>5</v>
      </c>
      <c r="B222" s="159"/>
      <c r="C222" s="199" t="s">
        <v>218</v>
      </c>
      <c r="D222" s="186" t="s">
        <v>157</v>
      </c>
      <c r="E222" s="200">
        <f>E217</f>
        <v>0</v>
      </c>
      <c r="F222" s="207">
        <v>136000</v>
      </c>
      <c r="G222" s="201"/>
      <c r="H222" s="163"/>
      <c r="I222" s="135">
        <f t="shared" si="11"/>
        <v>0</v>
      </c>
      <c r="J222" s="135">
        <f t="shared" si="12"/>
        <v>0</v>
      </c>
      <c r="K222" s="135">
        <f t="shared" si="13"/>
        <v>0</v>
      </c>
    </row>
    <row r="223" spans="1:11" s="389" customFormat="1" ht="15.6">
      <c r="A223" s="14"/>
      <c r="B223" s="317">
        <v>7</v>
      </c>
      <c r="C223" s="337" t="s">
        <v>53</v>
      </c>
      <c r="D223" s="317" t="s">
        <v>125</v>
      </c>
      <c r="E223" s="339"/>
      <c r="F223" s="320"/>
      <c r="G223" s="320"/>
      <c r="H223" s="320"/>
      <c r="I223" s="321">
        <f t="shared" si="11"/>
        <v>0</v>
      </c>
      <c r="J223" s="321">
        <f t="shared" si="12"/>
        <v>0</v>
      </c>
      <c r="K223" s="321">
        <f t="shared" si="13"/>
        <v>0</v>
      </c>
    </row>
    <row r="224" spans="1:11" s="373" customFormat="1" ht="15.6">
      <c r="A224" s="305"/>
      <c r="B224" s="350"/>
      <c r="C224" s="344" t="s">
        <v>329</v>
      </c>
      <c r="D224" s="322" t="s">
        <v>125</v>
      </c>
      <c r="E224" s="324"/>
      <c r="F224" s="320">
        <v>220000</v>
      </c>
      <c r="G224" s="320"/>
      <c r="H224" s="320"/>
      <c r="I224" s="321">
        <f t="shared" si="11"/>
        <v>0</v>
      </c>
      <c r="J224" s="321">
        <f t="shared" si="12"/>
        <v>0</v>
      </c>
      <c r="K224" s="321">
        <f t="shared" si="13"/>
        <v>0</v>
      </c>
    </row>
    <row r="225" spans="1:11" s="373" customFormat="1" ht="15.6">
      <c r="A225" s="14"/>
      <c r="B225" s="322"/>
      <c r="C225" s="351" t="s">
        <v>160</v>
      </c>
      <c r="D225" s="322" t="s">
        <v>183</v>
      </c>
      <c r="E225" s="325"/>
      <c r="F225" s="320">
        <v>20000</v>
      </c>
      <c r="G225" s="320"/>
      <c r="H225" s="320">
        <v>0</v>
      </c>
      <c r="I225" s="321">
        <f t="shared" si="11"/>
        <v>0</v>
      </c>
      <c r="J225" s="321">
        <f t="shared" si="12"/>
        <v>0</v>
      </c>
      <c r="K225" s="321">
        <f t="shared" si="13"/>
        <v>0</v>
      </c>
    </row>
    <row r="226" spans="1:11" s="373" customFormat="1" ht="30">
      <c r="A226" s="14"/>
      <c r="B226" s="322"/>
      <c r="C226" s="323" t="s">
        <v>391</v>
      </c>
      <c r="D226" s="322" t="s">
        <v>89</v>
      </c>
      <c r="E226" s="352"/>
      <c r="F226" s="320">
        <v>219000</v>
      </c>
      <c r="G226" s="320"/>
      <c r="H226" s="320">
        <v>0</v>
      </c>
      <c r="I226" s="321">
        <f t="shared" si="11"/>
        <v>0</v>
      </c>
      <c r="J226" s="321">
        <f t="shared" si="12"/>
        <v>0</v>
      </c>
      <c r="K226" s="321">
        <f t="shared" si="13"/>
        <v>0</v>
      </c>
    </row>
    <row r="227" spans="1:11" s="20" customFormat="1" ht="15.6" hidden="1">
      <c r="A227" s="18"/>
      <c r="B227" s="19">
        <v>6</v>
      </c>
      <c r="C227" s="94" t="s">
        <v>95</v>
      </c>
      <c r="D227" s="19"/>
      <c r="E227" s="34"/>
      <c r="F227" s="202"/>
      <c r="G227" s="23"/>
      <c r="H227" s="23"/>
      <c r="I227" s="13">
        <f>ROUND((E227*F227),0)</f>
        <v>0</v>
      </c>
      <c r="J227" s="13">
        <f t="shared" si="12"/>
        <v>0</v>
      </c>
      <c r="K227" s="13">
        <f t="shared" si="13"/>
        <v>0</v>
      </c>
    </row>
    <row r="228" spans="1:11" s="373" customFormat="1" ht="15.6">
      <c r="A228" s="14"/>
      <c r="B228" s="322"/>
      <c r="C228" s="323" t="s">
        <v>395</v>
      </c>
      <c r="D228" s="322" t="s">
        <v>183</v>
      </c>
      <c r="E228" s="353"/>
      <c r="F228" s="320">
        <v>14000</v>
      </c>
      <c r="G228" s="320"/>
      <c r="H228" s="320">
        <v>0</v>
      </c>
      <c r="I228" s="321">
        <f t="shared" ref="I228:I253" si="14">ROUND((E228*F228),0)</f>
        <v>0</v>
      </c>
      <c r="J228" s="321">
        <f t="shared" si="12"/>
        <v>0</v>
      </c>
      <c r="K228" s="321">
        <f t="shared" si="13"/>
        <v>0</v>
      </c>
    </row>
    <row r="229" spans="1:11" s="16" customFormat="1" ht="15.6" hidden="1">
      <c r="A229" s="14"/>
      <c r="B229" s="15"/>
      <c r="C229" s="92" t="s">
        <v>351</v>
      </c>
      <c r="D229" s="15" t="s">
        <v>183</v>
      </c>
      <c r="E229" s="66"/>
      <c r="F229" s="202">
        <v>17000</v>
      </c>
      <c r="G229" s="23"/>
      <c r="H229" s="23">
        <v>0</v>
      </c>
      <c r="I229" s="13">
        <f>ROUND((E229*F229),0)</f>
        <v>0</v>
      </c>
      <c r="J229" s="13">
        <f t="shared" si="12"/>
        <v>0</v>
      </c>
      <c r="K229" s="13">
        <f t="shared" si="13"/>
        <v>0</v>
      </c>
    </row>
    <row r="230" spans="1:11" s="373" customFormat="1" ht="15.6">
      <c r="A230" s="14"/>
      <c r="B230" s="354"/>
      <c r="C230" s="323" t="s">
        <v>350</v>
      </c>
      <c r="D230" s="322" t="s">
        <v>79</v>
      </c>
      <c r="E230" s="299"/>
      <c r="F230" s="320">
        <v>56900</v>
      </c>
      <c r="G230" s="320"/>
      <c r="H230" s="320"/>
      <c r="I230" s="321">
        <f>ROUND((E230*F230),0)</f>
        <v>0</v>
      </c>
      <c r="J230" s="321">
        <f t="shared" ref="J230:J253" si="15">ROUND((E230*G230),0)</f>
        <v>0</v>
      </c>
      <c r="K230" s="321">
        <f t="shared" ref="K230:K253" si="16">ROUND((E230*H230),0)</f>
        <v>0</v>
      </c>
    </row>
    <row r="231" spans="1:11" s="16" customFormat="1" ht="15.6" hidden="1">
      <c r="A231" s="14"/>
      <c r="B231" s="15"/>
      <c r="C231" s="92" t="s">
        <v>352</v>
      </c>
      <c r="D231" s="15" t="s">
        <v>183</v>
      </c>
      <c r="E231" s="66"/>
      <c r="F231" s="202">
        <v>7000</v>
      </c>
      <c r="G231" s="23"/>
      <c r="H231" s="23">
        <v>0</v>
      </c>
      <c r="I231" s="13">
        <f t="shared" si="14"/>
        <v>0</v>
      </c>
      <c r="J231" s="13">
        <f t="shared" si="15"/>
        <v>0</v>
      </c>
      <c r="K231" s="13">
        <f t="shared" si="16"/>
        <v>0</v>
      </c>
    </row>
    <row r="232" spans="1:11" s="390" customFormat="1" ht="15.6">
      <c r="A232" s="48">
        <f>A230+1</f>
        <v>1</v>
      </c>
      <c r="B232" s="355"/>
      <c r="C232" s="356" t="s">
        <v>394</v>
      </c>
      <c r="D232" s="322" t="s">
        <v>89</v>
      </c>
      <c r="E232" s="325"/>
      <c r="F232" s="357">
        <v>46000</v>
      </c>
      <c r="G232" s="358"/>
      <c r="H232" s="357"/>
      <c r="I232" s="321">
        <f t="shared" si="14"/>
        <v>0</v>
      </c>
      <c r="J232" s="321">
        <f t="shared" si="15"/>
        <v>0</v>
      </c>
      <c r="K232" s="321">
        <f t="shared" si="16"/>
        <v>0</v>
      </c>
    </row>
    <row r="233" spans="1:11" s="390" customFormat="1" ht="15.6">
      <c r="A233" s="48">
        <f>A232+1</f>
        <v>2</v>
      </c>
      <c r="B233" s="355"/>
      <c r="C233" s="356" t="s">
        <v>325</v>
      </c>
      <c r="D233" s="359" t="s">
        <v>157</v>
      </c>
      <c r="E233" s="325"/>
      <c r="F233" s="357">
        <v>77000</v>
      </c>
      <c r="G233" s="358"/>
      <c r="H233" s="357"/>
      <c r="I233" s="321">
        <f t="shared" si="14"/>
        <v>0</v>
      </c>
      <c r="J233" s="321">
        <f t="shared" si="15"/>
        <v>0</v>
      </c>
      <c r="K233" s="321">
        <f t="shared" si="16"/>
        <v>0</v>
      </c>
    </row>
    <row r="234" spans="1:11" s="388" customFormat="1" ht="15.6">
      <c r="A234" s="48">
        <f>A233+1</f>
        <v>3</v>
      </c>
      <c r="B234" s="328"/>
      <c r="C234" s="360" t="s">
        <v>218</v>
      </c>
      <c r="D234" s="359" t="s">
        <v>157</v>
      </c>
      <c r="E234" s="361"/>
      <c r="F234" s="362">
        <f>F222</f>
        <v>136000</v>
      </c>
      <c r="G234" s="362"/>
      <c r="H234" s="333"/>
      <c r="I234" s="321">
        <f t="shared" si="14"/>
        <v>0</v>
      </c>
      <c r="J234" s="321">
        <f t="shared" si="15"/>
        <v>0</v>
      </c>
      <c r="K234" s="321">
        <f t="shared" si="16"/>
        <v>0</v>
      </c>
    </row>
    <row r="235" spans="1:11" s="373" customFormat="1" ht="15.6" hidden="1">
      <c r="A235" s="14"/>
      <c r="B235" s="322"/>
      <c r="C235" s="323" t="s">
        <v>219</v>
      </c>
      <c r="D235" s="322" t="s">
        <v>347</v>
      </c>
      <c r="E235" s="325"/>
      <c r="F235" s="320">
        <v>97000</v>
      </c>
      <c r="G235" s="320"/>
      <c r="H235" s="320"/>
      <c r="I235" s="321">
        <f t="shared" si="14"/>
        <v>0</v>
      </c>
      <c r="J235" s="321">
        <f t="shared" si="15"/>
        <v>0</v>
      </c>
      <c r="K235" s="321">
        <f t="shared" si="16"/>
        <v>0</v>
      </c>
    </row>
    <row r="236" spans="1:11" s="373" customFormat="1" ht="15.6">
      <c r="A236" s="14"/>
      <c r="B236" s="322"/>
      <c r="C236" s="323" t="s">
        <v>388</v>
      </c>
      <c r="D236" s="322" t="s">
        <v>347</v>
      </c>
      <c r="E236" s="325"/>
      <c r="F236" s="320">
        <v>27000</v>
      </c>
      <c r="G236" s="320"/>
      <c r="H236" s="320"/>
      <c r="I236" s="321">
        <f t="shared" si="14"/>
        <v>0</v>
      </c>
      <c r="J236" s="321">
        <f t="shared" si="15"/>
        <v>0</v>
      </c>
      <c r="K236" s="321">
        <f t="shared" si="16"/>
        <v>0</v>
      </c>
    </row>
    <row r="237" spans="1:11" s="373" customFormat="1" ht="15.6">
      <c r="A237" s="14"/>
      <c r="B237" s="322"/>
      <c r="C237" s="323" t="s">
        <v>389</v>
      </c>
      <c r="D237" s="322" t="s">
        <v>183</v>
      </c>
      <c r="E237" s="325"/>
      <c r="F237" s="320">
        <v>20000</v>
      </c>
      <c r="G237" s="320"/>
      <c r="H237" s="320"/>
      <c r="I237" s="321"/>
      <c r="J237" s="321"/>
      <c r="K237" s="321"/>
    </row>
    <row r="238" spans="1:11" s="373" customFormat="1" ht="15.6">
      <c r="A238" s="14"/>
      <c r="B238" s="322"/>
      <c r="C238" s="363" t="s">
        <v>220</v>
      </c>
      <c r="D238" s="322" t="s">
        <v>347</v>
      </c>
      <c r="E238" s="325"/>
      <c r="F238" s="320">
        <v>125000</v>
      </c>
      <c r="G238" s="320"/>
      <c r="H238" s="320"/>
      <c r="I238" s="321">
        <f t="shared" si="14"/>
        <v>0</v>
      </c>
      <c r="J238" s="321">
        <f t="shared" si="15"/>
        <v>0</v>
      </c>
      <c r="K238" s="321">
        <f t="shared" si="16"/>
        <v>0</v>
      </c>
    </row>
    <row r="239" spans="1:11" s="373" customFormat="1" ht="31.2">
      <c r="A239" s="14"/>
      <c r="B239" s="322"/>
      <c r="C239" s="364" t="s">
        <v>390</v>
      </c>
      <c r="D239" s="322" t="s">
        <v>344</v>
      </c>
      <c r="E239" s="325"/>
      <c r="F239" s="320">
        <v>74800</v>
      </c>
      <c r="G239" s="320"/>
      <c r="H239" s="320"/>
      <c r="I239" s="321">
        <f>ROUND((E239*F239),0)</f>
        <v>0</v>
      </c>
      <c r="J239" s="321">
        <f t="shared" si="15"/>
        <v>0</v>
      </c>
      <c r="K239" s="321">
        <f t="shared" si="16"/>
        <v>0</v>
      </c>
    </row>
    <row r="240" spans="1:11" s="16" customFormat="1" ht="15.6" hidden="1">
      <c r="A240" s="14"/>
      <c r="B240" s="60"/>
      <c r="C240" s="95" t="s">
        <v>296</v>
      </c>
      <c r="D240" s="15" t="s">
        <v>89</v>
      </c>
      <c r="E240" s="57"/>
      <c r="F240" s="202">
        <f>F90</f>
        <v>32200</v>
      </c>
      <c r="G240" s="23"/>
      <c r="H240" s="23"/>
      <c r="I240" s="13">
        <f t="shared" si="14"/>
        <v>0</v>
      </c>
      <c r="J240" s="13">
        <f t="shared" si="15"/>
        <v>0</v>
      </c>
      <c r="K240" s="13">
        <f t="shared" si="16"/>
        <v>0</v>
      </c>
    </row>
    <row r="241" spans="1:11" s="16" customFormat="1" ht="15.6" hidden="1">
      <c r="A241" s="14"/>
      <c r="B241" s="60"/>
      <c r="C241" s="95" t="s">
        <v>297</v>
      </c>
      <c r="D241" s="15" t="s">
        <v>89</v>
      </c>
      <c r="E241" s="57"/>
      <c r="F241" s="202">
        <f>F89</f>
        <v>24000</v>
      </c>
      <c r="G241" s="23"/>
      <c r="H241" s="23"/>
      <c r="I241" s="13">
        <f>ROUND((E241*F241),0)</f>
        <v>0</v>
      </c>
      <c r="J241" s="13">
        <f t="shared" si="15"/>
        <v>0</v>
      </c>
      <c r="K241" s="13">
        <f t="shared" si="16"/>
        <v>0</v>
      </c>
    </row>
    <row r="242" spans="1:11" s="16" customFormat="1" ht="15.6" hidden="1">
      <c r="A242" s="14"/>
      <c r="B242" s="60"/>
      <c r="C242" s="95" t="s">
        <v>298</v>
      </c>
      <c r="D242" s="15" t="s">
        <v>89</v>
      </c>
      <c r="E242" s="57"/>
      <c r="F242" s="202">
        <f>F82</f>
        <v>26400</v>
      </c>
      <c r="G242" s="23"/>
      <c r="H242" s="23"/>
      <c r="I242" s="13">
        <f>ROUND((E242*F242),0)</f>
        <v>0</v>
      </c>
      <c r="J242" s="13">
        <f t="shared" si="15"/>
        <v>0</v>
      </c>
      <c r="K242" s="13">
        <f t="shared" si="16"/>
        <v>0</v>
      </c>
    </row>
    <row r="243" spans="1:11" s="16" customFormat="1" ht="15.6" hidden="1">
      <c r="A243" s="14"/>
      <c r="B243" s="60"/>
      <c r="C243" s="95" t="s">
        <v>299</v>
      </c>
      <c r="D243" s="15" t="s">
        <v>89</v>
      </c>
      <c r="E243" s="57"/>
      <c r="F243" s="202">
        <f>F103</f>
        <v>11800</v>
      </c>
      <c r="G243" s="23"/>
      <c r="H243" s="23"/>
      <c r="I243" s="13">
        <f>ROUND((E243*F243),0)</f>
        <v>0</v>
      </c>
      <c r="J243" s="13">
        <f t="shared" si="15"/>
        <v>0</v>
      </c>
      <c r="K243" s="13">
        <f t="shared" si="16"/>
        <v>0</v>
      </c>
    </row>
    <row r="244" spans="1:11" s="16" customFormat="1" ht="15.6" hidden="1">
      <c r="A244" s="14"/>
      <c r="B244" s="60"/>
      <c r="C244" s="95" t="s">
        <v>104</v>
      </c>
      <c r="D244" s="15" t="s">
        <v>77</v>
      </c>
      <c r="E244" s="57">
        <f>ROUND((('BKe TT'!M247+'BKe TT'!N247)/20),0)</f>
        <v>1</v>
      </c>
      <c r="F244" s="202">
        <v>80000</v>
      </c>
      <c r="G244" s="23"/>
      <c r="H244" s="23"/>
      <c r="I244" s="13">
        <f t="shared" si="14"/>
        <v>80000</v>
      </c>
      <c r="J244" s="13">
        <f t="shared" si="15"/>
        <v>0</v>
      </c>
      <c r="K244" s="13">
        <f t="shared" si="16"/>
        <v>0</v>
      </c>
    </row>
    <row r="245" spans="1:11" s="16" customFormat="1" ht="15.6" hidden="1">
      <c r="A245" s="14"/>
      <c r="B245" s="60"/>
      <c r="C245" s="95" t="s">
        <v>103</v>
      </c>
      <c r="D245" s="15" t="s">
        <v>102</v>
      </c>
      <c r="E245" s="57">
        <f>ROUND((('BKe TT'!M247+'BKe TT'!N247)/15),0)</f>
        <v>1</v>
      </c>
      <c r="F245" s="202">
        <v>30000</v>
      </c>
      <c r="G245" s="23"/>
      <c r="H245" s="23"/>
      <c r="I245" s="13">
        <f t="shared" si="14"/>
        <v>30000</v>
      </c>
      <c r="J245" s="13">
        <f t="shared" si="15"/>
        <v>0</v>
      </c>
      <c r="K245" s="13">
        <f t="shared" si="16"/>
        <v>0</v>
      </c>
    </row>
    <row r="246" spans="1:11" s="49" customFormat="1" ht="15.6" hidden="1">
      <c r="A246" s="127"/>
      <c r="B246" s="128"/>
      <c r="C246" s="92" t="e">
        <f>"Saét goùc L50 x50 x5 choáng daøi 810/Zn: 3,054kg/caùi*  "&amp;'BKe TT'!#REF!&amp;" caùi"</f>
        <v>#REF!</v>
      </c>
      <c r="D246" s="15" t="s">
        <v>77</v>
      </c>
      <c r="E246" s="59"/>
      <c r="F246" s="206">
        <f>F101</f>
        <v>80256.065999999992</v>
      </c>
      <c r="G246" s="33"/>
      <c r="H246" s="65"/>
      <c r="I246" s="13">
        <f t="shared" si="14"/>
        <v>0</v>
      </c>
      <c r="J246" s="13">
        <f t="shared" si="15"/>
        <v>0</v>
      </c>
      <c r="K246" s="13">
        <f t="shared" si="16"/>
        <v>0</v>
      </c>
    </row>
    <row r="247" spans="1:11" s="283" customFormat="1" ht="15.6" hidden="1">
      <c r="A247" s="85"/>
      <c r="B247" s="128"/>
      <c r="C247" s="281" t="s">
        <v>332</v>
      </c>
      <c r="D247" s="282" t="s">
        <v>166</v>
      </c>
      <c r="E247" s="57"/>
      <c r="F247" s="33">
        <v>13000</v>
      </c>
      <c r="G247" s="33"/>
      <c r="H247" s="65"/>
      <c r="I247" s="13">
        <f t="shared" si="14"/>
        <v>0</v>
      </c>
      <c r="J247" s="13">
        <f t="shared" si="15"/>
        <v>0</v>
      </c>
      <c r="K247" s="13">
        <f t="shared" si="16"/>
        <v>0</v>
      </c>
    </row>
    <row r="248" spans="1:11" s="283" customFormat="1" ht="15.6" hidden="1">
      <c r="A248" s="85"/>
      <c r="B248" s="128"/>
      <c r="C248" s="284" t="s">
        <v>327</v>
      </c>
      <c r="D248" s="282" t="s">
        <v>166</v>
      </c>
      <c r="E248" s="57">
        <f>2*E247</f>
        <v>0</v>
      </c>
      <c r="F248" s="33">
        <f>F225</f>
        <v>20000</v>
      </c>
      <c r="G248" s="33"/>
      <c r="H248" s="65"/>
      <c r="I248" s="13">
        <f t="shared" si="14"/>
        <v>0</v>
      </c>
      <c r="J248" s="13">
        <f t="shared" si="15"/>
        <v>0</v>
      </c>
      <c r="K248" s="13">
        <f t="shared" si="16"/>
        <v>0</v>
      </c>
    </row>
    <row r="249" spans="1:11" s="283" customFormat="1" ht="15.6" hidden="1">
      <c r="A249" s="85"/>
      <c r="B249" s="128"/>
      <c r="C249" s="285" t="s">
        <v>326</v>
      </c>
      <c r="D249" s="282" t="s">
        <v>166</v>
      </c>
      <c r="E249" s="57">
        <f>E247</f>
        <v>0</v>
      </c>
      <c r="F249" s="33">
        <v>25000</v>
      </c>
      <c r="G249" s="33"/>
      <c r="H249" s="65"/>
      <c r="I249" s="13">
        <f t="shared" si="14"/>
        <v>0</v>
      </c>
      <c r="J249" s="13">
        <f t="shared" si="15"/>
        <v>0</v>
      </c>
      <c r="K249" s="13">
        <f t="shared" si="16"/>
        <v>0</v>
      </c>
    </row>
    <row r="250" spans="1:11" s="283" customFormat="1" ht="15.6" hidden="1">
      <c r="A250" s="85"/>
      <c r="B250" s="128"/>
      <c r="C250" s="95" t="e">
        <f>"Băng keo cách điện hạ thế 3M: 1 cuộn/10br *"&amp;'BKe TT'!#REF!&amp;" branchement"</f>
        <v>#REF!</v>
      </c>
      <c r="D250" s="15" t="s">
        <v>300</v>
      </c>
      <c r="E250" s="57" t="e">
        <f>ROUND((0.1*'BKe TT'!#REF!),0)</f>
        <v>#REF!</v>
      </c>
      <c r="F250" s="23">
        <v>12000</v>
      </c>
      <c r="G250" s="33"/>
      <c r="H250" s="65"/>
      <c r="I250" s="13" t="e">
        <f t="shared" si="14"/>
        <v>#REF!</v>
      </c>
      <c r="J250" s="13" t="e">
        <f t="shared" si="15"/>
        <v>#REF!</v>
      </c>
      <c r="K250" s="13" t="e">
        <f t="shared" si="16"/>
        <v>#REF!</v>
      </c>
    </row>
    <row r="251" spans="1:11" s="283" customFormat="1" ht="15.6" hidden="1">
      <c r="A251" s="85"/>
      <c r="B251" s="128"/>
      <c r="C251" s="95" t="e">
        <f>"Dây duplex Cu 2x7mm2: 0,3m* "&amp;'BKe TT'!#REF!&amp;" branchement"</f>
        <v>#REF!</v>
      </c>
      <c r="D251" s="15" t="s">
        <v>333</v>
      </c>
      <c r="E251" s="57" t="e">
        <f>ROUND('BKe TT'!#REF!*0.3,0)</f>
        <v>#REF!</v>
      </c>
      <c r="F251" s="23">
        <v>34400</v>
      </c>
      <c r="G251" s="33"/>
      <c r="H251" s="65"/>
      <c r="I251" s="13" t="e">
        <f t="shared" si="14"/>
        <v>#REF!</v>
      </c>
      <c r="J251" s="13" t="e">
        <f t="shared" si="15"/>
        <v>#REF!</v>
      </c>
      <c r="K251" s="13" t="e">
        <f t="shared" si="16"/>
        <v>#REF!</v>
      </c>
    </row>
    <row r="252" spans="1:11" s="283" customFormat="1" ht="15.6" hidden="1">
      <c r="A252" s="85"/>
      <c r="B252" s="128"/>
      <c r="C252" s="95" t="s">
        <v>336</v>
      </c>
      <c r="D252" s="15" t="s">
        <v>183</v>
      </c>
      <c r="E252" s="57"/>
      <c r="F252" s="23">
        <v>45000</v>
      </c>
      <c r="G252" s="33"/>
      <c r="H252" s="65"/>
      <c r="I252" s="13">
        <f>ROUND((E252*F252),0)</f>
        <v>0</v>
      </c>
      <c r="J252" s="13">
        <f>ROUND((E252*G252),0)</f>
        <v>0</v>
      </c>
      <c r="K252" s="13">
        <f>ROUND((E252*H252),0)</f>
        <v>0</v>
      </c>
    </row>
    <row r="253" spans="1:11" s="16" customFormat="1" ht="15.6" hidden="1">
      <c r="A253" s="14"/>
      <c r="B253" s="60"/>
      <c r="C253" s="298" t="s">
        <v>353</v>
      </c>
      <c r="D253" s="15" t="s">
        <v>300</v>
      </c>
      <c r="E253" s="57"/>
      <c r="F253" s="202">
        <v>165000</v>
      </c>
      <c r="G253" s="23"/>
      <c r="H253" s="23"/>
      <c r="I253" s="13">
        <f t="shared" si="14"/>
        <v>0</v>
      </c>
      <c r="J253" s="13">
        <f t="shared" si="15"/>
        <v>0</v>
      </c>
      <c r="K253" s="13">
        <f t="shared" si="16"/>
        <v>0</v>
      </c>
    </row>
    <row r="254" spans="1:11" s="391" customFormat="1" ht="15.6">
      <c r="A254" s="67"/>
      <c r="B254" s="365"/>
      <c r="C254" s="366"/>
      <c r="D254" s="365"/>
      <c r="E254" s="1424" t="s">
        <v>399</v>
      </c>
      <c r="F254" s="1425"/>
      <c r="G254" s="1425"/>
      <c r="H254" s="1426"/>
      <c r="I254" s="367"/>
      <c r="J254" s="367"/>
      <c r="K254" s="367" t="e">
        <f>SUM(K13:K253)</f>
        <v>#REF!</v>
      </c>
    </row>
    <row r="255" spans="1:11" s="97" customFormat="1" ht="15">
      <c r="B255" s="368"/>
      <c r="C255" s="369"/>
      <c r="D255" s="370"/>
      <c r="E255" s="371"/>
      <c r="F255" s="372"/>
      <c r="G255" s="372"/>
      <c r="H255" s="372"/>
      <c r="I255" s="368"/>
      <c r="J255" s="368"/>
      <c r="K255" s="368"/>
    </row>
    <row r="256" spans="1:11">
      <c r="E256" s="276"/>
    </row>
    <row r="261" spans="3:3">
      <c r="C261" s="129"/>
    </row>
  </sheetData>
  <autoFilter ref="A12:AI254" xr:uid="{00000000-0009-0000-0000-000005000000}">
    <filterColumn colId="4">
      <filters>
        <filter val="1"/>
        <filter val="1,5"/>
        <filter val="1.673"/>
        <filter val="1020"/>
        <filter val="11"/>
        <filter val="110"/>
        <filter val="12"/>
        <filter val="136"/>
        <filter val="14"/>
        <filter val="144"/>
        <filter val="150"/>
        <filter val="16"/>
        <filter val="164"/>
        <filter val="18.794"/>
        <filter val="2"/>
        <filter val="214"/>
        <filter val="216"/>
        <filter val="22"/>
        <filter val="268,726"/>
        <filter val="288"/>
        <filter val="3"/>
        <filter val="335,907"/>
        <filter val="39"/>
        <filter val="4"/>
        <filter val="4,9"/>
        <filter val="41"/>
        <filter val="44"/>
        <filter val="46"/>
        <filter val="48"/>
        <filter val="53"/>
        <filter val="544"/>
        <filter val="55"/>
        <filter val="63"/>
        <filter val="68"/>
        <filter val="714,384"/>
        <filter val="82"/>
        <filter val="88"/>
        <filter val="892,980"/>
        <filter val="9"/>
        <filter val="TOÅNG COÄNG PHAÀN XAÂY DÖÏNG:"/>
      </filters>
    </filterColumn>
  </autoFilter>
  <mergeCells count="9">
    <mergeCell ref="E254:H254"/>
    <mergeCell ref="B7:K7"/>
    <mergeCell ref="B8:K8"/>
    <mergeCell ref="B10:B11"/>
    <mergeCell ref="C10:C11"/>
    <mergeCell ref="D10:D11"/>
    <mergeCell ref="E10:E11"/>
    <mergeCell ref="F10:H10"/>
    <mergeCell ref="I10:K10"/>
  </mergeCells>
  <printOptions horizontalCentered="1"/>
  <pageMargins left="0.19685039370078741" right="0.23622047244094491" top="0.74803149606299213" bottom="0.51181102362204722" header="0.19685039370078741" footer="0.23622047244094491"/>
  <pageSetup paperSize="9" scale="85" orientation="landscape" blackAndWhite="1" useFirstPageNumber="1" horizontalDpi="4294967292" verticalDpi="300" r:id="rId1"/>
  <headerFooter alignWithMargins="0">
    <oddFooter>&amp;C&amp;A&amp;RPage&amp;P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S127"/>
  <sheetViews>
    <sheetView showGridLines="0" showZeros="0" view="pageBreakPreview" topLeftCell="B108" zoomScale="70" zoomScaleNormal="70" zoomScaleSheetLayoutView="70" workbookViewId="0">
      <selection activeCell="C111" sqref="C111"/>
    </sheetView>
  </sheetViews>
  <sheetFormatPr defaultColWidth="9.109375" defaultRowHeight="13.2"/>
  <cols>
    <col min="1" max="1" width="3.6640625" style="123" hidden="1" customWidth="1"/>
    <col min="2" max="2" width="14.33203125" style="102" bestFit="1" customWidth="1"/>
    <col min="3" max="3" width="103.109375" style="103" customWidth="1"/>
    <col min="4" max="4" width="9.33203125" style="102" bestFit="1" customWidth="1"/>
    <col min="5" max="5" width="13.88671875" style="993" customWidth="1"/>
    <col min="6" max="6" width="18" style="514" customWidth="1"/>
    <col min="7" max="7" width="15" style="96" bestFit="1" customWidth="1"/>
    <col min="8" max="8" width="11.5546875" style="96" hidden="1" customWidth="1"/>
    <col min="9" max="9" width="9.44140625" style="96" hidden="1" customWidth="1"/>
    <col min="10" max="10" width="25.33203125" style="96" customWidth="1"/>
    <col min="11" max="11" width="24" style="102" bestFit="1" customWidth="1"/>
    <col min="12" max="12" width="20" style="102" hidden="1" customWidth="1"/>
    <col min="13" max="13" width="16.6640625" style="102" hidden="1" customWidth="1"/>
    <col min="14" max="14" width="20.5546875" style="102" bestFit="1" customWidth="1"/>
    <col min="15" max="15" width="20.109375" style="102" bestFit="1" customWidth="1"/>
    <col min="16" max="16" width="16.88671875" style="122" bestFit="1" customWidth="1"/>
    <col min="17" max="18" width="9.109375" style="122"/>
    <col min="19" max="19" width="13.5546875" style="122" customWidth="1"/>
    <col min="20" max="16384" width="9.109375" style="122"/>
  </cols>
  <sheetData>
    <row r="1" spans="1:19" ht="17.399999999999999">
      <c r="A1" s="113"/>
      <c r="B1" s="1427" t="s">
        <v>551</v>
      </c>
      <c r="C1" s="1427"/>
      <c r="D1" s="1427"/>
      <c r="E1" s="1427"/>
      <c r="F1" s="1427"/>
      <c r="G1" s="1427"/>
      <c r="H1" s="1427"/>
      <c r="I1" s="1427"/>
      <c r="J1" s="1427"/>
      <c r="K1" s="1427"/>
      <c r="L1" s="1427"/>
      <c r="M1" s="1427"/>
      <c r="N1" s="1229"/>
      <c r="O1" s="1229"/>
    </row>
    <row r="2" spans="1:19" ht="17.399999999999999">
      <c r="A2" s="113"/>
      <c r="B2" s="1427" t="str">
        <f>BIA!A11</f>
        <v>Tên công trình: Sửa chữa đường dây trung thế huyện Cẩm Mỹ năm 2020.</v>
      </c>
      <c r="C2" s="1427"/>
      <c r="D2" s="1427"/>
      <c r="E2" s="1427"/>
      <c r="F2" s="1427"/>
      <c r="G2" s="1427"/>
      <c r="H2" s="1427"/>
      <c r="I2" s="1427"/>
      <c r="J2" s="1427"/>
      <c r="K2" s="1427"/>
      <c r="L2" s="1427"/>
      <c r="M2" s="1427"/>
      <c r="N2" s="1229"/>
      <c r="O2" s="1229"/>
    </row>
    <row r="3" spans="1:19" ht="17.399999999999999" hidden="1">
      <c r="A3" s="113"/>
      <c r="B3" s="1427" t="str">
        <f>BIA!A14</f>
        <v>Mã số tài sản: 1.37013000.0001217; 1.37013000.0001215; 1.37013000.0001216.</v>
      </c>
      <c r="C3" s="1427"/>
      <c r="D3" s="1427"/>
      <c r="E3" s="1427"/>
      <c r="F3" s="1427"/>
      <c r="G3" s="1427"/>
      <c r="H3" s="1427"/>
      <c r="I3" s="1427"/>
      <c r="J3" s="1427"/>
      <c r="K3" s="1427"/>
      <c r="L3" s="1427"/>
      <c r="M3" s="1427"/>
      <c r="N3" s="1229"/>
      <c r="O3" s="1229"/>
    </row>
    <row r="4" spans="1:19" ht="15.6">
      <c r="B4" s="492"/>
    </row>
    <row r="5" spans="1:19" s="503" customFormat="1" ht="17.399999999999999">
      <c r="A5" s="710"/>
      <c r="B5" s="1436" t="s">
        <v>468</v>
      </c>
      <c r="C5" s="1436" t="s">
        <v>459</v>
      </c>
      <c r="D5" s="1436" t="s">
        <v>14</v>
      </c>
      <c r="E5" s="1438" t="s">
        <v>460</v>
      </c>
      <c r="F5" s="1440" t="s">
        <v>461</v>
      </c>
      <c r="G5" s="1441"/>
      <c r="H5" s="1441"/>
      <c r="I5" s="1442"/>
      <c r="J5" s="1435" t="s">
        <v>463</v>
      </c>
      <c r="K5" s="1435"/>
      <c r="L5" s="1435"/>
      <c r="M5" s="1435"/>
      <c r="N5" s="765"/>
      <c r="O5" s="765"/>
      <c r="P5" s="711"/>
      <c r="Q5" s="711"/>
      <c r="R5" s="711"/>
      <c r="S5" s="711"/>
    </row>
    <row r="6" spans="1:19" s="503" customFormat="1" ht="17.399999999999999">
      <c r="A6" s="710"/>
      <c r="B6" s="1437"/>
      <c r="C6" s="1437"/>
      <c r="D6" s="1437"/>
      <c r="E6" s="1439"/>
      <c r="F6" s="1230" t="s">
        <v>607</v>
      </c>
      <c r="G6" s="1230" t="s">
        <v>606</v>
      </c>
      <c r="H6" s="1230" t="s">
        <v>462</v>
      </c>
      <c r="I6" s="1230" t="s">
        <v>132</v>
      </c>
      <c r="J6" s="1230" t="s">
        <v>607</v>
      </c>
      <c r="K6" s="1230" t="s">
        <v>606</v>
      </c>
      <c r="L6" s="1230" t="s">
        <v>462</v>
      </c>
      <c r="M6" s="1230" t="s">
        <v>132</v>
      </c>
      <c r="N6" s="765"/>
      <c r="O6" s="765"/>
      <c r="P6" s="711"/>
      <c r="Q6" s="711"/>
      <c r="R6" s="711"/>
      <c r="S6" s="711"/>
    </row>
    <row r="7" spans="1:19" s="16" customFormat="1" ht="18">
      <c r="A7" s="512"/>
      <c r="B7" s="858" t="s">
        <v>21</v>
      </c>
      <c r="C7" s="858" t="s">
        <v>22</v>
      </c>
      <c r="D7" s="858" t="s">
        <v>23</v>
      </c>
      <c r="E7" s="859" t="s">
        <v>24</v>
      </c>
      <c r="F7" s="858" t="s">
        <v>25</v>
      </c>
      <c r="G7" s="858" t="s">
        <v>26</v>
      </c>
      <c r="H7" s="858" t="s">
        <v>26</v>
      </c>
      <c r="I7" s="858" t="s">
        <v>27</v>
      </c>
      <c r="J7" s="858" t="s">
        <v>672</v>
      </c>
      <c r="K7" s="858" t="s">
        <v>673</v>
      </c>
      <c r="L7" s="858" t="s">
        <v>464</v>
      </c>
      <c r="M7" s="858" t="s">
        <v>466</v>
      </c>
      <c r="N7" s="766"/>
      <c r="O7" s="766"/>
      <c r="P7" s="513"/>
      <c r="Q7" s="513"/>
      <c r="R7" s="513"/>
      <c r="S7" s="513"/>
    </row>
    <row r="8" spans="1:19" s="16" customFormat="1" ht="18">
      <c r="A8" s="512"/>
      <c r="B8" s="1002" t="s">
        <v>107</v>
      </c>
      <c r="C8" s="1248" t="s">
        <v>518</v>
      </c>
      <c r="D8" s="858"/>
      <c r="E8" s="859"/>
      <c r="F8" s="858"/>
      <c r="G8" s="858"/>
      <c r="H8" s="858"/>
      <c r="I8" s="858"/>
      <c r="J8" s="858"/>
      <c r="K8" s="858"/>
      <c r="L8" s="858"/>
      <c r="M8" s="858"/>
      <c r="N8" s="766"/>
      <c r="O8" s="766"/>
      <c r="P8" s="513"/>
      <c r="Q8" s="513"/>
      <c r="R8" s="513"/>
      <c r="S8" s="513"/>
    </row>
    <row r="9" spans="1:19" s="16" customFormat="1" ht="18">
      <c r="A9" s="512"/>
      <c r="B9" s="1230" t="s">
        <v>80</v>
      </c>
      <c r="C9" s="860" t="s">
        <v>486</v>
      </c>
      <c r="D9" s="861"/>
      <c r="E9" s="862"/>
      <c r="F9" s="862"/>
      <c r="G9" s="863"/>
      <c r="H9" s="863"/>
      <c r="I9" s="863"/>
      <c r="J9" s="863"/>
      <c r="K9" s="864"/>
      <c r="L9" s="864"/>
      <c r="M9" s="864"/>
      <c r="N9" s="793"/>
      <c r="O9" s="793"/>
      <c r="P9" s="513"/>
      <c r="Q9" s="513"/>
      <c r="R9" s="513"/>
      <c r="S9" s="513"/>
    </row>
    <row r="10" spans="1:19" s="16" customFormat="1" ht="18">
      <c r="A10" s="512" t="s">
        <v>91</v>
      </c>
      <c r="B10" s="1230">
        <v>1</v>
      </c>
      <c r="C10" s="860" t="s">
        <v>489</v>
      </c>
      <c r="D10" s="1230" t="s">
        <v>553</v>
      </c>
      <c r="E10" s="926">
        <f>'BKe TT'!O247</f>
        <v>19</v>
      </c>
      <c r="F10" s="865"/>
      <c r="G10" s="866"/>
      <c r="H10" s="866"/>
      <c r="I10" s="866"/>
      <c r="J10" s="866"/>
      <c r="K10" s="867"/>
      <c r="L10" s="867">
        <f>ROUND((E10*H10),0)</f>
        <v>0</v>
      </c>
      <c r="M10" s="867">
        <f>ROUND((E10*I10),0)</f>
        <v>0</v>
      </c>
      <c r="N10" s="767"/>
      <c r="O10" s="767"/>
      <c r="P10" s="513"/>
      <c r="Q10" s="513"/>
      <c r="R10" s="513"/>
      <c r="S10" s="513"/>
    </row>
    <row r="11" spans="1:19" s="513" customFormat="1" ht="18" hidden="1">
      <c r="A11" s="512" t="s">
        <v>76</v>
      </c>
      <c r="B11" s="1230">
        <v>2</v>
      </c>
      <c r="C11" s="860" t="s">
        <v>748</v>
      </c>
      <c r="D11" s="1230" t="s">
        <v>33</v>
      </c>
      <c r="E11" s="865"/>
      <c r="F11" s="865"/>
      <c r="G11" s="866"/>
      <c r="H11" s="866"/>
      <c r="I11" s="866"/>
      <c r="J11" s="866"/>
      <c r="K11" s="867"/>
      <c r="L11" s="867">
        <f t="shared" ref="L11:L20" si="0">ROUND((E11*H11),0)</f>
        <v>0</v>
      </c>
      <c r="M11" s="867">
        <f t="shared" ref="M11:M20" si="1">ROUND((E11*I11),0)</f>
        <v>0</v>
      </c>
      <c r="N11" s="767"/>
      <c r="O11" s="767"/>
    </row>
    <row r="12" spans="1:19" s="513" customFormat="1" ht="18" hidden="1">
      <c r="A12" s="512"/>
      <c r="B12" s="871"/>
      <c r="C12" s="872" t="s">
        <v>577</v>
      </c>
      <c r="D12" s="871" t="s">
        <v>77</v>
      </c>
      <c r="E12" s="873">
        <f>ROUND((E11*0.5*0.224),0)</f>
        <v>0</v>
      </c>
      <c r="F12" s="874">
        <v>163028</v>
      </c>
      <c r="G12" s="874"/>
      <c r="H12" s="874"/>
      <c r="I12" s="874"/>
      <c r="J12" s="875">
        <f>ROUND((E12*F12),0)</f>
        <v>0</v>
      </c>
      <c r="K12" s="875">
        <f>ROUND((E12*G12),0)</f>
        <v>0</v>
      </c>
      <c r="L12" s="875">
        <f t="shared" si="0"/>
        <v>0</v>
      </c>
      <c r="M12" s="875">
        <f t="shared" si="1"/>
        <v>0</v>
      </c>
      <c r="N12" s="767"/>
      <c r="O12" s="767"/>
    </row>
    <row r="13" spans="1:19" s="513" customFormat="1" ht="18" hidden="1">
      <c r="A13" s="512"/>
      <c r="B13" s="876"/>
      <c r="C13" s="877" t="s">
        <v>767</v>
      </c>
      <c r="D13" s="876" t="s">
        <v>157</v>
      </c>
      <c r="E13" s="908">
        <f>E11*2</f>
        <v>0</v>
      </c>
      <c r="F13" s="878"/>
      <c r="G13" s="879">
        <v>10500</v>
      </c>
      <c r="H13" s="879"/>
      <c r="I13" s="879"/>
      <c r="J13" s="880">
        <f>ROUND((E13*F13),0)</f>
        <v>0</v>
      </c>
      <c r="K13" s="881">
        <f>ROUND((E13*G13),0)</f>
        <v>0</v>
      </c>
      <c r="L13" s="869">
        <f t="shared" si="0"/>
        <v>0</v>
      </c>
      <c r="M13" s="869">
        <f t="shared" si="1"/>
        <v>0</v>
      </c>
      <c r="N13" s="767">
        <f>231000/2</f>
        <v>115500</v>
      </c>
      <c r="O13" s="767"/>
    </row>
    <row r="14" spans="1:19" s="513" customFormat="1" ht="18">
      <c r="A14" s="512"/>
      <c r="B14" s="1230">
        <v>2</v>
      </c>
      <c r="C14" s="860" t="s">
        <v>700</v>
      </c>
      <c r="D14" s="1230" t="s">
        <v>33</v>
      </c>
      <c r="E14" s="926">
        <f>'BKe TT'!U247</f>
        <v>33</v>
      </c>
      <c r="F14" s="862"/>
      <c r="G14" s="866"/>
      <c r="H14" s="866"/>
      <c r="I14" s="866"/>
      <c r="J14" s="867"/>
      <c r="K14" s="867"/>
      <c r="L14" s="880"/>
      <c r="M14" s="880"/>
      <c r="N14" s="767"/>
      <c r="O14" s="767"/>
    </row>
    <row r="15" spans="1:19" s="513" customFormat="1" ht="18">
      <c r="A15" s="512"/>
      <c r="B15" s="882"/>
      <c r="C15" s="872" t="s">
        <v>701</v>
      </c>
      <c r="D15" s="871" t="s">
        <v>77</v>
      </c>
      <c r="E15" s="992">
        <f>ROUND(E14*0.224*9,0)</f>
        <v>67</v>
      </c>
      <c r="F15" s="1020">
        <v>255500</v>
      </c>
      <c r="G15" s="884"/>
      <c r="H15" s="885"/>
      <c r="I15" s="885"/>
      <c r="J15" s="875">
        <f>ROUND((E15*F15),0)</f>
        <v>17118500</v>
      </c>
      <c r="K15" s="875">
        <f>ROUND((E15*G15),0)</f>
        <v>0</v>
      </c>
      <c r="L15" s="880"/>
      <c r="M15" s="880"/>
      <c r="N15" s="767"/>
      <c r="O15" s="767"/>
    </row>
    <row r="16" spans="1:19" s="513" customFormat="1" ht="18">
      <c r="A16" s="512"/>
      <c r="B16" s="871"/>
      <c r="C16" s="872" t="s">
        <v>702</v>
      </c>
      <c r="D16" s="871" t="s">
        <v>167</v>
      </c>
      <c r="E16" s="883">
        <f>E14</f>
        <v>33</v>
      </c>
      <c r="F16" s="873"/>
      <c r="G16" s="1273">
        <v>130000</v>
      </c>
      <c r="H16" s="874"/>
      <c r="I16" s="874"/>
      <c r="J16" s="875">
        <f t="shared" ref="J16:J19" si="2">ROUND((E16*F16),0)</f>
        <v>0</v>
      </c>
      <c r="K16" s="869">
        <f t="shared" ref="K16:K19" si="3">ROUND((E16*G16),0)</f>
        <v>4290000</v>
      </c>
      <c r="L16" s="880"/>
      <c r="M16" s="880"/>
      <c r="N16" s="767"/>
      <c r="O16" s="767"/>
    </row>
    <row r="17" spans="1:19" s="513" customFormat="1" ht="18">
      <c r="A17" s="512"/>
      <c r="B17" s="886"/>
      <c r="C17" s="887" t="s">
        <v>715</v>
      </c>
      <c r="D17" s="886" t="s">
        <v>157</v>
      </c>
      <c r="E17" s="888">
        <f>E14*2</f>
        <v>66</v>
      </c>
      <c r="F17" s="889"/>
      <c r="G17" s="1275">
        <f>G13</f>
        <v>10500</v>
      </c>
      <c r="H17" s="868"/>
      <c r="I17" s="868"/>
      <c r="J17" s="875">
        <f t="shared" si="2"/>
        <v>0</v>
      </c>
      <c r="K17" s="869">
        <f t="shared" si="3"/>
        <v>693000</v>
      </c>
      <c r="L17" s="880"/>
      <c r="M17" s="880"/>
      <c r="N17" s="767"/>
      <c r="O17" s="767"/>
    </row>
    <row r="18" spans="1:19" s="513" customFormat="1" ht="18">
      <c r="A18" s="512"/>
      <c r="B18" s="876"/>
      <c r="C18" s="877" t="s">
        <v>905</v>
      </c>
      <c r="D18" s="876" t="s">
        <v>157</v>
      </c>
      <c r="E18" s="908">
        <f>E14*2</f>
        <v>66</v>
      </c>
      <c r="F18" s="878"/>
      <c r="G18" s="1263">
        <v>17000</v>
      </c>
      <c r="H18" s="879"/>
      <c r="I18" s="879"/>
      <c r="J18" s="875">
        <f t="shared" ref="J18" si="4">ROUND((E18*F18),0)</f>
        <v>0</v>
      </c>
      <c r="K18" s="869">
        <f t="shared" ref="K18" si="5">ROUND((E18*G18),0)</f>
        <v>1122000</v>
      </c>
      <c r="L18" s="880"/>
      <c r="M18" s="880"/>
      <c r="N18" s="767"/>
      <c r="O18" s="767"/>
    </row>
    <row r="19" spans="1:19" s="513" customFormat="1" ht="18">
      <c r="A19" s="512"/>
      <c r="B19" s="890"/>
      <c r="C19" s="891" t="s">
        <v>906</v>
      </c>
      <c r="D19" s="890" t="s">
        <v>157</v>
      </c>
      <c r="E19" s="892">
        <f>E14</f>
        <v>33</v>
      </c>
      <c r="F19" s="893"/>
      <c r="G19" s="1274">
        <f>25000</f>
        <v>25000</v>
      </c>
      <c r="H19" s="894"/>
      <c r="I19" s="894"/>
      <c r="J19" s="875">
        <f t="shared" si="2"/>
        <v>0</v>
      </c>
      <c r="K19" s="869">
        <f t="shared" si="3"/>
        <v>825000</v>
      </c>
      <c r="L19" s="880"/>
      <c r="M19" s="880"/>
      <c r="N19" s="1035">
        <f>(K19+N13)/18</f>
        <v>52250</v>
      </c>
      <c r="O19" s="767"/>
    </row>
    <row r="20" spans="1:19" s="16" customFormat="1" ht="18">
      <c r="A20" s="1001" t="s">
        <v>85</v>
      </c>
      <c r="B20" s="1230">
        <v>3</v>
      </c>
      <c r="C20" s="860" t="s">
        <v>612</v>
      </c>
      <c r="D20" s="1230" t="s">
        <v>490</v>
      </c>
      <c r="E20" s="926">
        <f>'BKe TT'!M247</f>
        <v>19</v>
      </c>
      <c r="F20" s="865"/>
      <c r="G20" s="866"/>
      <c r="H20" s="866"/>
      <c r="I20" s="866"/>
      <c r="J20" s="866"/>
      <c r="K20" s="867"/>
      <c r="L20" s="867">
        <f t="shared" si="0"/>
        <v>0</v>
      </c>
      <c r="M20" s="867">
        <f t="shared" si="1"/>
        <v>0</v>
      </c>
      <c r="N20" s="767"/>
      <c r="O20" s="767"/>
      <c r="P20" s="513"/>
      <c r="Q20" s="513"/>
      <c r="R20" s="513"/>
      <c r="S20" s="513"/>
    </row>
    <row r="21" spans="1:19" s="513" customFormat="1" ht="18">
      <c r="A21" s="512"/>
      <c r="B21" s="871"/>
      <c r="C21" s="872" t="s">
        <v>611</v>
      </c>
      <c r="D21" s="871" t="s">
        <v>9</v>
      </c>
      <c r="E21" s="1020">
        <f>E20</f>
        <v>19</v>
      </c>
      <c r="F21" s="1261">
        <v>5914000</v>
      </c>
      <c r="G21" s="874"/>
      <c r="H21" s="874"/>
      <c r="I21" s="874"/>
      <c r="J21" s="875">
        <f>ROUND((E21*F21),0)</f>
        <v>112366000</v>
      </c>
      <c r="K21" s="875">
        <f>ROUND((E21*G21),0)</f>
        <v>0</v>
      </c>
      <c r="L21" s="875">
        <f t="shared" ref="L21:L22" si="6">ROUND((E21*H21),0)</f>
        <v>0</v>
      </c>
      <c r="M21" s="875">
        <f t="shared" ref="M21:M22" si="7">ROUND((E21*I21),0)</f>
        <v>0</v>
      </c>
      <c r="N21" s="767"/>
      <c r="O21" s="767"/>
    </row>
    <row r="22" spans="1:19" s="16" customFormat="1" ht="18">
      <c r="A22" s="512"/>
      <c r="B22" s="1230" t="s">
        <v>156</v>
      </c>
      <c r="C22" s="860" t="s">
        <v>487</v>
      </c>
      <c r="D22" s="864"/>
      <c r="E22" s="862"/>
      <c r="F22" s="862"/>
      <c r="G22" s="866"/>
      <c r="H22" s="866"/>
      <c r="I22" s="866"/>
      <c r="J22" s="866"/>
      <c r="K22" s="867"/>
      <c r="L22" s="867">
        <f t="shared" si="6"/>
        <v>0</v>
      </c>
      <c r="M22" s="867">
        <f t="shared" si="7"/>
        <v>0</v>
      </c>
      <c r="N22" s="767"/>
      <c r="O22" s="767"/>
      <c r="P22" s="513"/>
      <c r="Q22" s="513"/>
      <c r="R22" s="513"/>
      <c r="S22" s="513"/>
    </row>
    <row r="23" spans="1:19" s="16" customFormat="1" ht="18">
      <c r="A23" s="512"/>
      <c r="B23" s="1230">
        <v>1</v>
      </c>
      <c r="C23" s="860" t="s">
        <v>824</v>
      </c>
      <c r="D23" s="1230" t="s">
        <v>33</v>
      </c>
      <c r="E23" s="926">
        <f>'BKe TT'!V247</f>
        <v>52</v>
      </c>
      <c r="F23" s="862"/>
      <c r="G23" s="866"/>
      <c r="H23" s="866"/>
      <c r="I23" s="866"/>
      <c r="J23" s="866"/>
      <c r="K23" s="867"/>
      <c r="L23" s="867"/>
      <c r="M23" s="867"/>
      <c r="N23" s="767"/>
      <c r="O23" s="767"/>
      <c r="P23" s="513"/>
      <c r="Q23" s="513"/>
      <c r="R23" s="513"/>
      <c r="S23" s="513"/>
    </row>
    <row r="24" spans="1:19" s="16" customFormat="1" ht="18">
      <c r="A24" s="512"/>
      <c r="B24" s="882"/>
      <c r="C24" s="1169" t="s">
        <v>825</v>
      </c>
      <c r="D24" s="882" t="s">
        <v>157</v>
      </c>
      <c r="E24" s="1172">
        <f>E23</f>
        <v>52</v>
      </c>
      <c r="F24" s="1281">
        <f>1200000</f>
        <v>1200000</v>
      </c>
      <c r="G24" s="885"/>
      <c r="H24" s="885"/>
      <c r="I24" s="885"/>
      <c r="J24" s="875">
        <f>ROUND((E24*F24),0)</f>
        <v>62400000</v>
      </c>
      <c r="K24" s="875">
        <f>ROUND((E24*G24),0)</f>
        <v>0</v>
      </c>
      <c r="L24" s="867"/>
      <c r="M24" s="867"/>
      <c r="N24" s="767"/>
      <c r="O24" s="767"/>
      <c r="P24" s="513"/>
      <c r="Q24" s="513"/>
      <c r="R24" s="513"/>
      <c r="S24" s="513"/>
    </row>
    <row r="25" spans="1:19" s="1270" customFormat="1" ht="18">
      <c r="A25" s="1264"/>
      <c r="B25" s="1265"/>
      <c r="C25" s="1266" t="s">
        <v>826</v>
      </c>
      <c r="D25" s="886" t="s">
        <v>157</v>
      </c>
      <c r="E25" s="1267">
        <f>E23</f>
        <v>52</v>
      </c>
      <c r="F25" s="1268">
        <v>140000</v>
      </c>
      <c r="G25" s="869"/>
      <c r="H25" s="869"/>
      <c r="I25" s="869"/>
      <c r="J25" s="875">
        <f t="shared" ref="J25:J27" si="8">ROUND((E25*F25),0)</f>
        <v>7280000</v>
      </c>
      <c r="K25" s="869">
        <f t="shared" ref="K25:K27" si="9">ROUND((E25*G25),0)</f>
        <v>0</v>
      </c>
      <c r="L25" s="867"/>
      <c r="M25" s="867"/>
      <c r="N25" s="767"/>
      <c r="O25" s="767"/>
      <c r="P25" s="1269"/>
      <c r="Q25" s="1269"/>
      <c r="R25" s="1269"/>
      <c r="S25" s="1269"/>
    </row>
    <row r="26" spans="1:19" s="16" customFormat="1" ht="18">
      <c r="A26" s="512"/>
      <c r="B26" s="886"/>
      <c r="C26" s="887" t="s">
        <v>827</v>
      </c>
      <c r="D26" s="886" t="s">
        <v>157</v>
      </c>
      <c r="E26" s="986">
        <f>2*E23</f>
        <v>104</v>
      </c>
      <c r="F26" s="889"/>
      <c r="G26" s="1262">
        <f>8000+2*4500</f>
        <v>17000</v>
      </c>
      <c r="H26" s="868"/>
      <c r="I26" s="868"/>
      <c r="J26" s="875">
        <f t="shared" si="8"/>
        <v>0</v>
      </c>
      <c r="K26" s="869">
        <f t="shared" si="9"/>
        <v>1768000</v>
      </c>
      <c r="L26" s="867"/>
      <c r="M26" s="867"/>
      <c r="N26" s="767"/>
      <c r="O26" s="767"/>
      <c r="P26" s="513"/>
      <c r="Q26" s="513"/>
      <c r="R26" s="513"/>
      <c r="S26" s="513"/>
    </row>
    <row r="27" spans="1:19" s="16" customFormat="1" ht="18">
      <c r="A27" s="512"/>
      <c r="B27" s="890"/>
      <c r="C27" s="877" t="s">
        <v>828</v>
      </c>
      <c r="D27" s="876" t="s">
        <v>157</v>
      </c>
      <c r="E27" s="987">
        <f>2*E23</f>
        <v>104</v>
      </c>
      <c r="F27" s="878"/>
      <c r="G27" s="1260">
        <f>23000+4*4500</f>
        <v>41000</v>
      </c>
      <c r="H27" s="879"/>
      <c r="I27" s="879"/>
      <c r="J27" s="875">
        <f t="shared" si="8"/>
        <v>0</v>
      </c>
      <c r="K27" s="869">
        <f t="shared" si="9"/>
        <v>4264000</v>
      </c>
      <c r="L27" s="867"/>
      <c r="M27" s="867"/>
      <c r="N27" s="767"/>
      <c r="O27" s="767"/>
      <c r="P27" s="513"/>
      <c r="Q27" s="513"/>
      <c r="R27" s="513"/>
      <c r="S27" s="513"/>
    </row>
    <row r="28" spans="1:19" s="16" customFormat="1" ht="18">
      <c r="A28" s="512"/>
      <c r="B28" s="1230">
        <v>2</v>
      </c>
      <c r="C28" s="860" t="s">
        <v>838</v>
      </c>
      <c r="D28" s="1230" t="s">
        <v>33</v>
      </c>
      <c r="E28" s="1252">
        <f>'BKe TT'!AZ247</f>
        <v>10</v>
      </c>
      <c r="F28" s="862"/>
      <c r="G28" s="866"/>
      <c r="H28" s="866"/>
      <c r="I28" s="866"/>
      <c r="J28" s="866"/>
      <c r="K28" s="867"/>
      <c r="L28" s="867"/>
      <c r="M28" s="867"/>
      <c r="N28" s="767"/>
      <c r="O28" s="767"/>
      <c r="P28" s="513"/>
      <c r="Q28" s="513"/>
      <c r="R28" s="513"/>
      <c r="S28" s="513"/>
    </row>
    <row r="29" spans="1:19" s="16" customFormat="1" ht="18">
      <c r="A29" s="512"/>
      <c r="B29" s="871"/>
      <c r="C29" s="872" t="s">
        <v>839</v>
      </c>
      <c r="D29" s="871" t="s">
        <v>157</v>
      </c>
      <c r="E29" s="1256">
        <f>E28</f>
        <v>10</v>
      </c>
      <c r="F29" s="1254">
        <v>430000</v>
      </c>
      <c r="G29" s="874"/>
      <c r="H29" s="874"/>
      <c r="I29" s="874"/>
      <c r="J29" s="875">
        <f>ROUND((E29*F29),0)</f>
        <v>4300000</v>
      </c>
      <c r="K29" s="875">
        <f>ROUND((E29*G29),0)</f>
        <v>0</v>
      </c>
      <c r="L29" s="867"/>
      <c r="M29" s="867"/>
      <c r="N29" s="767"/>
      <c r="O29" s="767"/>
      <c r="P29" s="513"/>
      <c r="Q29" s="513"/>
      <c r="R29" s="513"/>
      <c r="S29" s="513"/>
    </row>
    <row r="30" spans="1:19" s="16" customFormat="1" ht="18">
      <c r="A30" s="512"/>
      <c r="B30" s="886"/>
      <c r="C30" s="887" t="s">
        <v>924</v>
      </c>
      <c r="D30" s="886" t="s">
        <v>157</v>
      </c>
      <c r="E30" s="1037">
        <f>E28</f>
        <v>10</v>
      </c>
      <c r="F30" s="941">
        <v>130000</v>
      </c>
      <c r="G30" s="868"/>
      <c r="H30" s="868"/>
      <c r="I30" s="868"/>
      <c r="J30" s="875">
        <f t="shared" ref="J30:J32" si="10">ROUND((E30*F30),0)</f>
        <v>1300000</v>
      </c>
      <c r="K30" s="869">
        <f t="shared" ref="K30:K32" si="11">ROUND((E30*G30),0)</f>
        <v>0</v>
      </c>
      <c r="L30" s="867"/>
      <c r="M30" s="867"/>
      <c r="N30" s="767"/>
      <c r="O30" s="767"/>
      <c r="P30" s="513"/>
      <c r="Q30" s="513"/>
      <c r="R30" s="513"/>
      <c r="S30" s="513"/>
    </row>
    <row r="31" spans="1:19" s="16" customFormat="1" ht="18">
      <c r="A31" s="512"/>
      <c r="B31" s="886"/>
      <c r="C31" s="887" t="s">
        <v>823</v>
      </c>
      <c r="D31" s="886" t="s">
        <v>166</v>
      </c>
      <c r="E31" s="1037">
        <f>E28</f>
        <v>10</v>
      </c>
      <c r="F31" s="889"/>
      <c r="G31" s="1262">
        <f>23500+2*4500</f>
        <v>32500</v>
      </c>
      <c r="H31" s="868"/>
      <c r="I31" s="868"/>
      <c r="J31" s="875">
        <f t="shared" si="10"/>
        <v>0</v>
      </c>
      <c r="K31" s="869">
        <f t="shared" si="11"/>
        <v>325000</v>
      </c>
      <c r="L31" s="867"/>
      <c r="M31" s="867"/>
      <c r="N31" s="767"/>
      <c r="O31" s="767"/>
      <c r="P31" s="513"/>
      <c r="Q31" s="513"/>
      <c r="R31" s="513"/>
      <c r="S31" s="513"/>
    </row>
    <row r="32" spans="1:19" s="16" customFormat="1" ht="18">
      <c r="A32" s="512"/>
      <c r="B32" s="886"/>
      <c r="C32" s="887" t="s">
        <v>822</v>
      </c>
      <c r="D32" s="886" t="s">
        <v>166</v>
      </c>
      <c r="E32" s="1037">
        <f>E28</f>
        <v>10</v>
      </c>
      <c r="F32" s="889"/>
      <c r="G32" s="1262">
        <f>19000+2*4500</f>
        <v>28000</v>
      </c>
      <c r="H32" s="868"/>
      <c r="I32" s="868"/>
      <c r="J32" s="875">
        <f t="shared" si="10"/>
        <v>0</v>
      </c>
      <c r="K32" s="869">
        <f t="shared" si="11"/>
        <v>280000</v>
      </c>
      <c r="L32" s="867"/>
      <c r="M32" s="867"/>
      <c r="N32" s="767"/>
      <c r="O32" s="767"/>
      <c r="P32" s="513"/>
      <c r="Q32" s="513"/>
      <c r="R32" s="513"/>
      <c r="S32" s="513"/>
    </row>
    <row r="33" spans="1:19" s="16" customFormat="1" ht="18">
      <c r="A33" s="512"/>
      <c r="B33" s="890"/>
      <c r="C33" s="891" t="s">
        <v>841</v>
      </c>
      <c r="D33" s="890" t="s">
        <v>166</v>
      </c>
      <c r="E33" s="1038">
        <f>E28</f>
        <v>10</v>
      </c>
      <c r="F33" s="893"/>
      <c r="G33" s="1276">
        <f>13500+2*4500</f>
        <v>22500</v>
      </c>
      <c r="H33" s="894"/>
      <c r="I33" s="894"/>
      <c r="J33" s="875">
        <f t="shared" ref="J33" si="12">ROUND((E33*F33),0)</f>
        <v>0</v>
      </c>
      <c r="K33" s="869">
        <f t="shared" ref="K33" si="13">ROUND((E33*G33),0)</f>
        <v>225000</v>
      </c>
      <c r="L33" s="867"/>
      <c r="M33" s="867"/>
      <c r="N33" s="767"/>
      <c r="O33" s="767"/>
      <c r="P33" s="513"/>
      <c r="Q33" s="513"/>
      <c r="R33" s="513"/>
      <c r="S33" s="513"/>
    </row>
    <row r="34" spans="1:19" s="16" customFormat="1" ht="18" hidden="1">
      <c r="A34" s="512"/>
      <c r="B34" s="1294">
        <v>3</v>
      </c>
      <c r="C34" s="860" t="s">
        <v>829</v>
      </c>
      <c r="D34" s="1230" t="s">
        <v>33</v>
      </c>
      <c r="E34" s="862"/>
      <c r="F34" s="862"/>
      <c r="G34" s="866"/>
      <c r="H34" s="866"/>
      <c r="I34" s="866"/>
      <c r="J34" s="866"/>
      <c r="K34" s="867"/>
      <c r="L34" s="867"/>
      <c r="M34" s="867"/>
      <c r="N34" s="767"/>
      <c r="O34" s="767"/>
      <c r="P34" s="513"/>
      <c r="Q34" s="513"/>
      <c r="R34" s="513"/>
      <c r="S34" s="513"/>
    </row>
    <row r="35" spans="1:19" s="16" customFormat="1" ht="18" hidden="1">
      <c r="A35" s="512"/>
      <c r="B35" s="882"/>
      <c r="C35" s="1169" t="s">
        <v>830</v>
      </c>
      <c r="D35" s="882" t="s">
        <v>157</v>
      </c>
      <c r="E35" s="1170">
        <f>2*E34</f>
        <v>0</v>
      </c>
      <c r="F35" s="1168">
        <v>941358</v>
      </c>
      <c r="G35" s="885"/>
      <c r="H35" s="885"/>
      <c r="I35" s="885"/>
      <c r="J35" s="875">
        <f t="shared" ref="J35:J38" si="14">ROUND((E35*F35),0)</f>
        <v>0</v>
      </c>
      <c r="K35" s="869">
        <f t="shared" ref="K35:K38" si="15">ROUND((E35*G35),0)</f>
        <v>0</v>
      </c>
      <c r="L35" s="867"/>
      <c r="M35" s="867"/>
      <c r="N35" s="767"/>
      <c r="O35" s="767"/>
      <c r="P35" s="513"/>
      <c r="Q35" s="513"/>
      <c r="R35" s="513"/>
      <c r="S35" s="513"/>
    </row>
    <row r="36" spans="1:19" s="16" customFormat="1" ht="18" hidden="1">
      <c r="A36" s="512"/>
      <c r="B36" s="886"/>
      <c r="C36" s="887" t="s">
        <v>831</v>
      </c>
      <c r="D36" s="886" t="s">
        <v>157</v>
      </c>
      <c r="E36" s="1171">
        <f>2*E34</f>
        <v>0</v>
      </c>
      <c r="F36" s="889">
        <v>89000</v>
      </c>
      <c r="G36" s="868"/>
      <c r="H36" s="868"/>
      <c r="I36" s="868"/>
      <c r="J36" s="875">
        <f t="shared" si="14"/>
        <v>0</v>
      </c>
      <c r="K36" s="869">
        <f t="shared" si="15"/>
        <v>0</v>
      </c>
      <c r="L36" s="867"/>
      <c r="M36" s="867"/>
      <c r="N36" s="767"/>
      <c r="O36" s="767"/>
      <c r="P36" s="513"/>
      <c r="Q36" s="513"/>
      <c r="R36" s="513"/>
      <c r="S36" s="513"/>
    </row>
    <row r="37" spans="1:19" s="16" customFormat="1" ht="18" hidden="1">
      <c r="A37" s="512"/>
      <c r="B37" s="886"/>
      <c r="C37" s="887" t="s">
        <v>832</v>
      </c>
      <c r="D37" s="886" t="s">
        <v>166</v>
      </c>
      <c r="E37" s="986">
        <f>3*E34</f>
        <v>0</v>
      </c>
      <c r="F37" s="889"/>
      <c r="G37" s="868"/>
      <c r="H37" s="868"/>
      <c r="I37" s="868"/>
      <c r="J37" s="875">
        <f t="shared" si="14"/>
        <v>0</v>
      </c>
      <c r="K37" s="869">
        <f t="shared" si="15"/>
        <v>0</v>
      </c>
      <c r="L37" s="867"/>
      <c r="M37" s="867"/>
      <c r="N37" s="767"/>
      <c r="O37" s="767"/>
      <c r="P37" s="513"/>
      <c r="Q37" s="513"/>
      <c r="R37" s="513"/>
      <c r="S37" s="513"/>
    </row>
    <row r="38" spans="1:19" s="16" customFormat="1" ht="18" hidden="1">
      <c r="A38" s="512"/>
      <c r="B38" s="890"/>
      <c r="C38" s="891" t="s">
        <v>833</v>
      </c>
      <c r="D38" s="890" t="s">
        <v>166</v>
      </c>
      <c r="E38" s="987">
        <f>2*E34</f>
        <v>0</v>
      </c>
      <c r="F38" s="893"/>
      <c r="G38" s="894"/>
      <c r="H38" s="894"/>
      <c r="I38" s="894"/>
      <c r="J38" s="875">
        <f t="shared" si="14"/>
        <v>0</v>
      </c>
      <c r="K38" s="869">
        <f t="shared" si="15"/>
        <v>0</v>
      </c>
      <c r="L38" s="867"/>
      <c r="M38" s="867"/>
      <c r="N38" s="767"/>
      <c r="O38" s="767"/>
      <c r="P38" s="513"/>
      <c r="Q38" s="513"/>
      <c r="R38" s="513"/>
      <c r="S38" s="513"/>
    </row>
    <row r="39" spans="1:19" s="513" customFormat="1" ht="18">
      <c r="A39" s="512" t="s">
        <v>178</v>
      </c>
      <c r="B39" s="1230">
        <v>3</v>
      </c>
      <c r="C39" s="860" t="s">
        <v>491</v>
      </c>
      <c r="D39" s="1230" t="s">
        <v>33</v>
      </c>
      <c r="E39" s="926">
        <f>'BKe TT'!Q247</f>
        <v>111</v>
      </c>
      <c r="F39" s="865"/>
      <c r="G39" s="866"/>
      <c r="H39" s="866"/>
      <c r="I39" s="866"/>
      <c r="J39" s="866"/>
      <c r="K39" s="867"/>
      <c r="L39" s="867">
        <f>ROUND((E39*H39),0)</f>
        <v>0</v>
      </c>
      <c r="M39" s="867">
        <f>ROUND((E39*I39),0)</f>
        <v>0</v>
      </c>
      <c r="N39" s="767"/>
      <c r="O39" s="767">
        <f>N40/O40</f>
        <v>17025</v>
      </c>
    </row>
    <row r="40" spans="1:19" s="516" customFormat="1" ht="18">
      <c r="A40" s="506"/>
      <c r="B40" s="898"/>
      <c r="C40" s="899" t="s">
        <v>342</v>
      </c>
      <c r="D40" s="900" t="s">
        <v>169</v>
      </c>
      <c r="E40" s="994">
        <f>ROUND((15*E39),0)</f>
        <v>1665</v>
      </c>
      <c r="F40" s="1271">
        <v>18500</v>
      </c>
      <c r="G40" s="901"/>
      <c r="H40" s="897"/>
      <c r="I40" s="897"/>
      <c r="J40" s="875">
        <f t="shared" ref="J40:J45" si="16">ROUND((E40*F40),0)</f>
        <v>30802500</v>
      </c>
      <c r="K40" s="875">
        <f>ROUND((E40*G40),0)</f>
        <v>0</v>
      </c>
      <c r="L40" s="875">
        <f>ROUND((E40*H40),0)</f>
        <v>0</v>
      </c>
      <c r="M40" s="875">
        <f>ROUND((E40*I40),0)</f>
        <v>0</v>
      </c>
      <c r="N40" s="767">
        <v>37500</v>
      </c>
      <c r="O40" s="769">
        <f>1/0.454</f>
        <v>2.2026431718061672</v>
      </c>
      <c r="P40" s="768"/>
      <c r="R40" s="708"/>
      <c r="S40" s="708"/>
    </row>
    <row r="41" spans="1:19" s="513" customFormat="1" ht="18">
      <c r="A41" s="512"/>
      <c r="B41" s="886"/>
      <c r="C41" s="902" t="s">
        <v>555</v>
      </c>
      <c r="D41" s="886" t="s">
        <v>157</v>
      </c>
      <c r="E41" s="888">
        <f>E39</f>
        <v>111</v>
      </c>
      <c r="F41" s="1262">
        <v>74000</v>
      </c>
      <c r="G41" s="868"/>
      <c r="H41" s="868"/>
      <c r="I41" s="868"/>
      <c r="J41" s="875">
        <f t="shared" si="16"/>
        <v>8214000</v>
      </c>
      <c r="K41" s="869">
        <f>ROUND((E41*G41),0)</f>
        <v>0</v>
      </c>
      <c r="L41" s="869">
        <f>ROUND((E41*H41),0)</f>
        <v>0</v>
      </c>
      <c r="M41" s="869">
        <f>ROUND((E41*I41),0)</f>
        <v>0</v>
      </c>
      <c r="N41" s="767"/>
      <c r="O41" s="767"/>
    </row>
    <row r="42" spans="1:19" s="513" customFormat="1" ht="18">
      <c r="A42" s="512"/>
      <c r="B42" s="886"/>
      <c r="C42" s="902" t="s">
        <v>750</v>
      </c>
      <c r="D42" s="886" t="s">
        <v>157</v>
      </c>
      <c r="E42" s="888">
        <f>E39*8</f>
        <v>888</v>
      </c>
      <c r="F42" s="888"/>
      <c r="G42" s="1262">
        <v>42000</v>
      </c>
      <c r="H42" s="868"/>
      <c r="I42" s="868"/>
      <c r="J42" s="875">
        <f t="shared" si="16"/>
        <v>0</v>
      </c>
      <c r="K42" s="869">
        <f t="shared" ref="K42:K62" si="17">ROUND((E42*G42),0)</f>
        <v>37296000</v>
      </c>
      <c r="L42" s="869">
        <f t="shared" ref="L42:L53" si="18">ROUND((E42*H42),0)</f>
        <v>0</v>
      </c>
      <c r="M42" s="869">
        <f t="shared" ref="M42:M53" si="19">ROUND((E42*I42),0)</f>
        <v>0</v>
      </c>
      <c r="N42" s="767"/>
      <c r="O42" s="767"/>
    </row>
    <row r="43" spans="1:19" s="513" customFormat="1" ht="18">
      <c r="A43" s="512"/>
      <c r="B43" s="886"/>
      <c r="C43" s="887" t="s">
        <v>556</v>
      </c>
      <c r="D43" s="886" t="s">
        <v>166</v>
      </c>
      <c r="E43" s="888">
        <f>E39</f>
        <v>111</v>
      </c>
      <c r="F43" s="888"/>
      <c r="G43" s="1262">
        <f>30500+4500</f>
        <v>35000</v>
      </c>
      <c r="H43" s="868"/>
      <c r="I43" s="868"/>
      <c r="J43" s="875">
        <f t="shared" si="16"/>
        <v>0</v>
      </c>
      <c r="K43" s="869">
        <f t="shared" si="17"/>
        <v>3885000</v>
      </c>
      <c r="L43" s="869">
        <f t="shared" si="18"/>
        <v>0</v>
      </c>
      <c r="M43" s="869">
        <f t="shared" si="19"/>
        <v>0</v>
      </c>
      <c r="N43" s="767"/>
      <c r="O43" s="767"/>
    </row>
    <row r="44" spans="1:19" s="517" customFormat="1" ht="18">
      <c r="A44" s="512"/>
      <c r="B44" s="886"/>
      <c r="C44" s="887" t="s">
        <v>753</v>
      </c>
      <c r="D44" s="886" t="s">
        <v>157</v>
      </c>
      <c r="E44" s="888">
        <f>E39*2</f>
        <v>222</v>
      </c>
      <c r="F44" s="888"/>
      <c r="G44" s="1262">
        <v>7000</v>
      </c>
      <c r="H44" s="868"/>
      <c r="I44" s="868"/>
      <c r="J44" s="875">
        <f t="shared" si="16"/>
        <v>0</v>
      </c>
      <c r="K44" s="869">
        <f t="shared" si="17"/>
        <v>1554000</v>
      </c>
      <c r="L44" s="869">
        <f t="shared" si="18"/>
        <v>0</v>
      </c>
      <c r="M44" s="869">
        <f t="shared" si="19"/>
        <v>0</v>
      </c>
      <c r="N44" s="767"/>
      <c r="O44" s="767"/>
      <c r="P44" s="513"/>
      <c r="Q44" s="513"/>
      <c r="R44" s="513"/>
      <c r="S44" s="513"/>
    </row>
    <row r="45" spans="1:19" s="513" customFormat="1" ht="18">
      <c r="A45" s="512"/>
      <c r="B45" s="886"/>
      <c r="C45" s="887" t="s">
        <v>493</v>
      </c>
      <c r="D45" s="886" t="s">
        <v>157</v>
      </c>
      <c r="E45" s="888">
        <f>E39*1</f>
        <v>111</v>
      </c>
      <c r="F45" s="888"/>
      <c r="G45" s="1262">
        <v>120000</v>
      </c>
      <c r="H45" s="868"/>
      <c r="I45" s="868"/>
      <c r="J45" s="875">
        <f t="shared" si="16"/>
        <v>0</v>
      </c>
      <c r="K45" s="869">
        <f t="shared" si="17"/>
        <v>13320000</v>
      </c>
      <c r="L45" s="869">
        <f t="shared" si="18"/>
        <v>0</v>
      </c>
      <c r="M45" s="869">
        <f t="shared" si="19"/>
        <v>0</v>
      </c>
      <c r="N45" s="767"/>
      <c r="O45" s="767"/>
    </row>
    <row r="46" spans="1:19" s="513" customFormat="1" ht="18">
      <c r="A46" s="512" t="s">
        <v>179</v>
      </c>
      <c r="B46" s="1230">
        <v>4</v>
      </c>
      <c r="C46" s="860" t="s">
        <v>492</v>
      </c>
      <c r="D46" s="1230" t="s">
        <v>33</v>
      </c>
      <c r="E46" s="926">
        <f>'BKe TT'!R247</f>
        <v>32</v>
      </c>
      <c r="F46" s="865"/>
      <c r="G46" s="866"/>
      <c r="H46" s="866"/>
      <c r="I46" s="866"/>
      <c r="J46" s="866"/>
      <c r="K46" s="867"/>
      <c r="L46" s="867">
        <f t="shared" si="18"/>
        <v>0</v>
      </c>
      <c r="M46" s="867">
        <f t="shared" si="19"/>
        <v>0</v>
      </c>
      <c r="N46" s="767"/>
      <c r="O46" s="767"/>
    </row>
    <row r="47" spans="1:19" s="507" customFormat="1" ht="18">
      <c r="A47" s="506"/>
      <c r="B47" s="898"/>
      <c r="C47" s="899" t="s">
        <v>507</v>
      </c>
      <c r="D47" s="900" t="s">
        <v>169</v>
      </c>
      <c r="E47" s="994">
        <f>ROUND((13*E46),0)</f>
        <v>416</v>
      </c>
      <c r="F47" s="1271">
        <f>F40</f>
        <v>18500</v>
      </c>
      <c r="G47" s="901"/>
      <c r="H47" s="897"/>
      <c r="I47" s="897"/>
      <c r="J47" s="875">
        <f t="shared" ref="J47:J53" si="20">ROUND((E47*F47),0)</f>
        <v>7696000</v>
      </c>
      <c r="K47" s="875">
        <f t="shared" si="17"/>
        <v>0</v>
      </c>
      <c r="L47" s="875">
        <f t="shared" si="18"/>
        <v>0</v>
      </c>
      <c r="M47" s="875">
        <f t="shared" si="19"/>
        <v>0</v>
      </c>
      <c r="N47" s="767">
        <f>E47/0.454</f>
        <v>916.29955947136557</v>
      </c>
      <c r="O47" s="767">
        <f>E46*13</f>
        <v>416</v>
      </c>
      <c r="P47" s="516"/>
      <c r="Q47" s="516"/>
      <c r="R47" s="516"/>
      <c r="S47" s="516"/>
    </row>
    <row r="48" spans="1:19" s="513" customFormat="1" ht="18">
      <c r="A48" s="512"/>
      <c r="B48" s="886"/>
      <c r="C48" s="902" t="s">
        <v>717</v>
      </c>
      <c r="D48" s="886" t="s">
        <v>157</v>
      </c>
      <c r="E48" s="888">
        <f>E46*1</f>
        <v>32</v>
      </c>
      <c r="F48" s="1262">
        <f>F41</f>
        <v>74000</v>
      </c>
      <c r="G48" s="868"/>
      <c r="H48" s="868"/>
      <c r="I48" s="868"/>
      <c r="J48" s="875">
        <f t="shared" si="20"/>
        <v>2368000</v>
      </c>
      <c r="K48" s="869">
        <f t="shared" si="17"/>
        <v>0</v>
      </c>
      <c r="L48" s="869">
        <f t="shared" si="18"/>
        <v>0</v>
      </c>
      <c r="M48" s="869">
        <f t="shared" si="19"/>
        <v>0</v>
      </c>
      <c r="N48" s="767"/>
      <c r="O48" s="767"/>
    </row>
    <row r="49" spans="1:19" s="513" customFormat="1" ht="18">
      <c r="A49" s="512"/>
      <c r="B49" s="886"/>
      <c r="C49" s="902" t="s">
        <v>751</v>
      </c>
      <c r="D49" s="886" t="s">
        <v>157</v>
      </c>
      <c r="E49" s="888">
        <f>E46*8</f>
        <v>256</v>
      </c>
      <c r="F49" s="888"/>
      <c r="G49" s="1262">
        <f>G42</f>
        <v>42000</v>
      </c>
      <c r="H49" s="868"/>
      <c r="I49" s="868"/>
      <c r="J49" s="875">
        <f t="shared" si="20"/>
        <v>0</v>
      </c>
      <c r="K49" s="869">
        <f t="shared" si="17"/>
        <v>10752000</v>
      </c>
      <c r="L49" s="869">
        <f t="shared" si="18"/>
        <v>0</v>
      </c>
      <c r="M49" s="869">
        <f t="shared" si="19"/>
        <v>0</v>
      </c>
      <c r="N49" s="767"/>
      <c r="O49" s="767"/>
    </row>
    <row r="50" spans="1:19" s="513" customFormat="1" ht="18">
      <c r="A50" s="512"/>
      <c r="B50" s="886"/>
      <c r="C50" s="887" t="s">
        <v>703</v>
      </c>
      <c r="D50" s="886" t="s">
        <v>166</v>
      </c>
      <c r="E50" s="888">
        <f>E46*1</f>
        <v>32</v>
      </c>
      <c r="F50" s="888"/>
      <c r="G50" s="868">
        <v>340000</v>
      </c>
      <c r="H50" s="868"/>
      <c r="I50" s="868"/>
      <c r="J50" s="875">
        <f t="shared" si="20"/>
        <v>0</v>
      </c>
      <c r="K50" s="869">
        <f t="shared" si="17"/>
        <v>10880000</v>
      </c>
      <c r="L50" s="869">
        <f t="shared" si="18"/>
        <v>0</v>
      </c>
      <c r="M50" s="869">
        <f t="shared" si="19"/>
        <v>0</v>
      </c>
      <c r="N50" s="767"/>
      <c r="O50" s="767"/>
    </row>
    <row r="51" spans="1:19" s="513" customFormat="1" ht="18">
      <c r="A51" s="512"/>
      <c r="B51" s="886"/>
      <c r="C51" s="887" t="s">
        <v>716</v>
      </c>
      <c r="D51" s="886" t="s">
        <v>166</v>
      </c>
      <c r="E51" s="888">
        <f>E46</f>
        <v>32</v>
      </c>
      <c r="F51" s="888"/>
      <c r="G51" s="1262">
        <f>G43</f>
        <v>35000</v>
      </c>
      <c r="H51" s="868"/>
      <c r="I51" s="868"/>
      <c r="J51" s="875">
        <f t="shared" si="20"/>
        <v>0</v>
      </c>
      <c r="K51" s="869">
        <f>ROUND((E51*G51),0)</f>
        <v>1120000</v>
      </c>
      <c r="L51" s="869">
        <f>ROUND((E51*H51),0)</f>
        <v>0</v>
      </c>
      <c r="M51" s="869">
        <f>ROUND((E51*I51),0)</f>
        <v>0</v>
      </c>
      <c r="N51" s="767"/>
      <c r="O51" s="767"/>
    </row>
    <row r="52" spans="1:19" s="513" customFormat="1" ht="18">
      <c r="A52" s="512"/>
      <c r="B52" s="886"/>
      <c r="C52" s="887" t="s">
        <v>754</v>
      </c>
      <c r="D52" s="886" t="s">
        <v>157</v>
      </c>
      <c r="E52" s="888">
        <f>E46*2</f>
        <v>64</v>
      </c>
      <c r="F52" s="888"/>
      <c r="G52" s="1262">
        <f>G44</f>
        <v>7000</v>
      </c>
      <c r="H52" s="868"/>
      <c r="I52" s="868"/>
      <c r="J52" s="875">
        <f t="shared" si="20"/>
        <v>0</v>
      </c>
      <c r="K52" s="869">
        <f t="shared" si="17"/>
        <v>448000</v>
      </c>
      <c r="L52" s="869">
        <f t="shared" si="18"/>
        <v>0</v>
      </c>
      <c r="M52" s="869">
        <f t="shared" si="19"/>
        <v>0</v>
      </c>
      <c r="N52" s="767"/>
      <c r="O52" s="767"/>
    </row>
    <row r="53" spans="1:19" s="513" customFormat="1" ht="18">
      <c r="A53" s="512"/>
      <c r="B53" s="886"/>
      <c r="C53" s="887" t="s">
        <v>493</v>
      </c>
      <c r="D53" s="886" t="s">
        <v>157</v>
      </c>
      <c r="E53" s="888">
        <f>E46*1</f>
        <v>32</v>
      </c>
      <c r="F53" s="888"/>
      <c r="G53" s="1262">
        <f>G45</f>
        <v>120000</v>
      </c>
      <c r="H53" s="868"/>
      <c r="I53" s="868"/>
      <c r="J53" s="875">
        <f t="shared" si="20"/>
        <v>0</v>
      </c>
      <c r="K53" s="869">
        <f t="shared" si="17"/>
        <v>3840000</v>
      </c>
      <c r="L53" s="869">
        <f t="shared" si="18"/>
        <v>0</v>
      </c>
      <c r="M53" s="869">
        <f t="shared" si="19"/>
        <v>0</v>
      </c>
      <c r="N53" s="767"/>
      <c r="O53" s="767"/>
    </row>
    <row r="54" spans="1:19" s="707" customFormat="1" ht="18">
      <c r="A54" s="512"/>
      <c r="B54" s="1005">
        <v>5</v>
      </c>
      <c r="C54" s="860" t="s">
        <v>543</v>
      </c>
      <c r="D54" s="1230" t="s">
        <v>33</v>
      </c>
      <c r="E54" s="1253">
        <f>'BKe TT'!P247</f>
        <v>3</v>
      </c>
      <c r="F54" s="865"/>
      <c r="G54" s="866"/>
      <c r="H54" s="866"/>
      <c r="I54" s="866"/>
      <c r="J54" s="866"/>
      <c r="K54" s="867"/>
      <c r="L54" s="867"/>
      <c r="M54" s="867"/>
      <c r="N54" s="767"/>
      <c r="O54" s="767"/>
      <c r="P54" s="513"/>
      <c r="Q54" s="513"/>
      <c r="R54" s="513"/>
      <c r="S54" s="513"/>
    </row>
    <row r="55" spans="1:19" s="707" customFormat="1" ht="18">
      <c r="A55" s="512"/>
      <c r="B55" s="903"/>
      <c r="C55" s="899" t="s">
        <v>557</v>
      </c>
      <c r="D55" s="900" t="s">
        <v>169</v>
      </c>
      <c r="E55" s="883">
        <f>ROUND(20*E54,0)</f>
        <v>60</v>
      </c>
      <c r="F55" s="1261">
        <f>F40</f>
        <v>18500</v>
      </c>
      <c r="G55" s="874"/>
      <c r="H55" s="874"/>
      <c r="I55" s="874"/>
      <c r="J55" s="875">
        <f>ROUND((E55*F55),0)</f>
        <v>1110000</v>
      </c>
      <c r="K55" s="875">
        <f t="shared" si="17"/>
        <v>0</v>
      </c>
      <c r="L55" s="875"/>
      <c r="M55" s="875"/>
      <c r="N55" s="767">
        <f>27/0.454</f>
        <v>59.471365638766521</v>
      </c>
      <c r="O55" s="767">
        <f>E54*20</f>
        <v>60</v>
      </c>
      <c r="P55" s="513"/>
      <c r="Q55" s="513"/>
      <c r="R55" s="513"/>
      <c r="S55" s="513"/>
    </row>
    <row r="56" spans="1:19" s="707" customFormat="1" ht="18">
      <c r="A56" s="512"/>
      <c r="B56" s="904"/>
      <c r="C56" s="902" t="s">
        <v>719</v>
      </c>
      <c r="D56" s="886" t="s">
        <v>157</v>
      </c>
      <c r="E56" s="888">
        <f>1*E54</f>
        <v>3</v>
      </c>
      <c r="F56" s="1262">
        <f>F41</f>
        <v>74000</v>
      </c>
      <c r="G56" s="868"/>
      <c r="H56" s="868"/>
      <c r="I56" s="868"/>
      <c r="J56" s="875">
        <f>ROUND((E56*F56),0)</f>
        <v>222000</v>
      </c>
      <c r="K56" s="869">
        <f t="shared" si="17"/>
        <v>0</v>
      </c>
      <c r="L56" s="869"/>
      <c r="M56" s="869"/>
      <c r="N56" s="767"/>
      <c r="O56" s="767"/>
      <c r="P56" s="513"/>
      <c r="Q56" s="513"/>
      <c r="R56" s="513"/>
      <c r="S56" s="513"/>
    </row>
    <row r="57" spans="1:19" s="707" customFormat="1" ht="18">
      <c r="A57" s="512"/>
      <c r="B57" s="904"/>
      <c r="C57" s="902" t="s">
        <v>752</v>
      </c>
      <c r="D57" s="886" t="s">
        <v>157</v>
      </c>
      <c r="E57" s="888">
        <f>8*E54</f>
        <v>24</v>
      </c>
      <c r="F57" s="888"/>
      <c r="G57" s="1262">
        <f>G42</f>
        <v>42000</v>
      </c>
      <c r="H57" s="868"/>
      <c r="I57" s="868"/>
      <c r="J57" s="875">
        <f>ROUND((E57*F57),0)</f>
        <v>0</v>
      </c>
      <c r="K57" s="869">
        <f t="shared" si="17"/>
        <v>1008000</v>
      </c>
      <c r="L57" s="869"/>
      <c r="M57" s="869"/>
      <c r="N57" s="767"/>
      <c r="O57" s="767"/>
      <c r="P57" s="513"/>
      <c r="Q57" s="513"/>
      <c r="R57" s="513"/>
      <c r="S57" s="513"/>
    </row>
    <row r="58" spans="1:19" s="707" customFormat="1" ht="18">
      <c r="A58" s="512"/>
      <c r="B58" s="904"/>
      <c r="C58" s="887" t="s">
        <v>718</v>
      </c>
      <c r="D58" s="886" t="s">
        <v>157</v>
      </c>
      <c r="E58" s="888">
        <f>2*E54</f>
        <v>6</v>
      </c>
      <c r="F58" s="888"/>
      <c r="G58" s="1262">
        <f>G43</f>
        <v>35000</v>
      </c>
      <c r="H58" s="868"/>
      <c r="I58" s="868"/>
      <c r="J58" s="875">
        <f>ROUND((E58*F58),0)</f>
        <v>0</v>
      </c>
      <c r="K58" s="869">
        <f t="shared" si="17"/>
        <v>210000</v>
      </c>
      <c r="L58" s="869"/>
      <c r="M58" s="869"/>
      <c r="N58" s="767"/>
      <c r="O58" s="767"/>
      <c r="P58" s="513"/>
      <c r="Q58" s="513"/>
      <c r="R58" s="513"/>
      <c r="S58" s="513"/>
    </row>
    <row r="59" spans="1:19" s="707" customFormat="1" ht="18">
      <c r="A59" s="512"/>
      <c r="B59" s="904"/>
      <c r="C59" s="887" t="s">
        <v>754</v>
      </c>
      <c r="D59" s="886" t="s">
        <v>157</v>
      </c>
      <c r="E59" s="905">
        <f>2*E54</f>
        <v>6</v>
      </c>
      <c r="F59" s="905"/>
      <c r="G59" s="1272">
        <f>G44</f>
        <v>7000</v>
      </c>
      <c r="H59" s="906"/>
      <c r="I59" s="906"/>
      <c r="J59" s="875">
        <f>ROUND((E59*F59),0)</f>
        <v>0</v>
      </c>
      <c r="K59" s="869">
        <f t="shared" si="17"/>
        <v>42000</v>
      </c>
      <c r="L59" s="880"/>
      <c r="M59" s="880"/>
      <c r="N59" s="767"/>
      <c r="O59" s="767"/>
      <c r="P59" s="513"/>
      <c r="Q59" s="513"/>
      <c r="R59" s="513"/>
      <c r="S59" s="513"/>
    </row>
    <row r="60" spans="1:19" s="804" customFormat="1" ht="18" hidden="1">
      <c r="A60" s="512"/>
      <c r="B60" s="1230">
        <v>9</v>
      </c>
      <c r="C60" s="860" t="s">
        <v>548</v>
      </c>
      <c r="D60" s="1230" t="s">
        <v>33</v>
      </c>
      <c r="E60" s="926">
        <f>'BKe TT'!T247</f>
        <v>0</v>
      </c>
      <c r="F60" s="865"/>
      <c r="G60" s="1003"/>
      <c r="H60" s="1003"/>
      <c r="I60" s="1003"/>
      <c r="J60" s="1003"/>
      <c r="K60" s="867"/>
      <c r="L60" s="896"/>
      <c r="M60" s="896"/>
      <c r="N60" s="1004"/>
      <c r="O60" s="1004"/>
    </row>
    <row r="61" spans="1:19" s="513" customFormat="1" ht="18" hidden="1">
      <c r="A61" s="512"/>
      <c r="B61" s="903"/>
      <c r="C61" s="872" t="s">
        <v>496</v>
      </c>
      <c r="D61" s="886" t="s">
        <v>157</v>
      </c>
      <c r="E61" s="883">
        <f>E60</f>
        <v>0</v>
      </c>
      <c r="F61" s="883"/>
      <c r="G61" s="1261">
        <v>320000</v>
      </c>
      <c r="H61" s="874"/>
      <c r="I61" s="874"/>
      <c r="J61" s="875">
        <f>ROUND((E61*F61),0)</f>
        <v>0</v>
      </c>
      <c r="K61" s="875">
        <f t="shared" si="17"/>
        <v>0</v>
      </c>
      <c r="L61" s="875"/>
      <c r="M61" s="875"/>
      <c r="N61" s="767"/>
      <c r="O61" s="767"/>
    </row>
    <row r="62" spans="1:19" s="513" customFormat="1" ht="18" hidden="1">
      <c r="A62" s="512"/>
      <c r="B62" s="907"/>
      <c r="C62" s="877" t="s">
        <v>495</v>
      </c>
      <c r="D62" s="876" t="s">
        <v>157</v>
      </c>
      <c r="E62" s="908">
        <f>E60</f>
        <v>0</v>
      </c>
      <c r="F62" s="908"/>
      <c r="G62" s="1260">
        <v>101000</v>
      </c>
      <c r="H62" s="879"/>
      <c r="I62" s="879"/>
      <c r="J62" s="875">
        <f>ROUND((E62*F62),0)</f>
        <v>0</v>
      </c>
      <c r="K62" s="881">
        <f t="shared" si="17"/>
        <v>0</v>
      </c>
      <c r="L62" s="881"/>
      <c r="M62" s="881"/>
      <c r="N62" s="767"/>
      <c r="O62" s="767"/>
    </row>
    <row r="63" spans="1:19" s="513" customFormat="1" ht="18">
      <c r="A63" s="1001" t="s">
        <v>40</v>
      </c>
      <c r="B63" s="1230">
        <v>6</v>
      </c>
      <c r="C63" s="860" t="s">
        <v>494</v>
      </c>
      <c r="D63" s="1230" t="s">
        <v>33</v>
      </c>
      <c r="E63" s="926">
        <f>'BKe TT'!S247</f>
        <v>5</v>
      </c>
      <c r="F63" s="865"/>
      <c r="G63" s="866"/>
      <c r="H63" s="866"/>
      <c r="I63" s="866"/>
      <c r="J63" s="866"/>
      <c r="K63" s="867"/>
      <c r="L63" s="867">
        <f>ROUND((E63*H63),0)</f>
        <v>0</v>
      </c>
      <c r="M63" s="867">
        <f>ROUND((E63*I63),0)</f>
        <v>0</v>
      </c>
      <c r="N63" s="767"/>
      <c r="O63" s="767"/>
    </row>
    <row r="64" spans="1:19" s="513" customFormat="1" ht="18">
      <c r="A64" s="512"/>
      <c r="B64" s="871"/>
      <c r="C64" s="872" t="s">
        <v>496</v>
      </c>
      <c r="D64" s="886" t="s">
        <v>157</v>
      </c>
      <c r="E64" s="883">
        <f>E63</f>
        <v>5</v>
      </c>
      <c r="F64" s="883"/>
      <c r="G64" s="1261">
        <f>G61</f>
        <v>320000</v>
      </c>
      <c r="H64" s="874"/>
      <c r="I64" s="874"/>
      <c r="J64" s="875">
        <f>ROUND((E64*F64),0)</f>
        <v>0</v>
      </c>
      <c r="K64" s="875">
        <f>ROUND((E64*G64),0)</f>
        <v>1600000</v>
      </c>
      <c r="L64" s="875">
        <f>ROUND((E64*H64),0)</f>
        <v>0</v>
      </c>
      <c r="M64" s="875">
        <f>ROUND((E64*I64),0)</f>
        <v>0</v>
      </c>
      <c r="N64" s="767"/>
      <c r="O64" s="767"/>
    </row>
    <row r="65" spans="1:19" s="513" customFormat="1" ht="18">
      <c r="A65" s="512"/>
      <c r="B65" s="886"/>
      <c r="C65" s="877" t="s">
        <v>495</v>
      </c>
      <c r="D65" s="886" t="s">
        <v>157</v>
      </c>
      <c r="E65" s="888">
        <f>E63</f>
        <v>5</v>
      </c>
      <c r="F65" s="888"/>
      <c r="G65" s="1262">
        <f>G62</f>
        <v>101000</v>
      </c>
      <c r="H65" s="868"/>
      <c r="I65" s="868"/>
      <c r="J65" s="875">
        <f>ROUND((E65*F65),0)</f>
        <v>0</v>
      </c>
      <c r="K65" s="869">
        <f>ROUND((E65*G65),0)</f>
        <v>505000</v>
      </c>
      <c r="L65" s="869">
        <f>ROUND((E65*H65),0)</f>
        <v>0</v>
      </c>
      <c r="M65" s="869">
        <f>ROUND((E65*I65),0)</f>
        <v>0</v>
      </c>
      <c r="N65" s="767"/>
      <c r="O65" s="767"/>
    </row>
    <row r="66" spans="1:19" s="16" customFormat="1" ht="18">
      <c r="A66" s="512"/>
      <c r="B66" s="1230" t="s">
        <v>35</v>
      </c>
      <c r="C66" s="860" t="s">
        <v>576</v>
      </c>
      <c r="D66" s="864"/>
      <c r="E66" s="862"/>
      <c r="F66" s="862"/>
      <c r="G66" s="866"/>
      <c r="H66" s="866"/>
      <c r="I66" s="866"/>
      <c r="J66" s="866"/>
      <c r="K66" s="867"/>
      <c r="L66" s="867">
        <f t="shared" ref="L66:L89" si="21">ROUND((E66*H66),0)</f>
        <v>0</v>
      </c>
      <c r="M66" s="867">
        <f t="shared" ref="M66:M89" si="22">ROUND((E66*I66),0)</f>
        <v>0</v>
      </c>
      <c r="N66" s="767"/>
      <c r="O66" s="767"/>
      <c r="P66" s="513"/>
      <c r="Q66" s="513"/>
      <c r="R66" s="513"/>
      <c r="S66" s="513"/>
    </row>
    <row r="67" spans="1:19" s="513" customFormat="1" ht="18">
      <c r="A67" s="512"/>
      <c r="B67" s="909" t="s">
        <v>295</v>
      </c>
      <c r="C67" s="910" t="s">
        <v>895</v>
      </c>
      <c r="D67" s="871" t="s">
        <v>77</v>
      </c>
      <c r="E67" s="1254">
        <f>ROUND(('BKe TT'!K247)*1.02*0.196,0)</f>
        <v>359</v>
      </c>
      <c r="F67" s="873"/>
      <c r="G67" s="874"/>
      <c r="H67" s="874"/>
      <c r="I67" s="874"/>
      <c r="J67" s="875">
        <f>ROUND((E67*F67),0)</f>
        <v>0</v>
      </c>
      <c r="K67" s="875">
        <f t="shared" ref="K67:K75" si="23">ROUND((E67*G67),0)</f>
        <v>0</v>
      </c>
      <c r="L67" s="875">
        <f t="shared" si="21"/>
        <v>0</v>
      </c>
      <c r="M67" s="875">
        <f t="shared" si="22"/>
        <v>0</v>
      </c>
      <c r="N67" s="767"/>
      <c r="O67" s="767"/>
    </row>
    <row r="68" spans="1:19" s="513" customFormat="1" ht="18">
      <c r="A68" s="512"/>
      <c r="B68" s="911">
        <f>'BKe TT'!L247</f>
        <v>11923.8</v>
      </c>
      <c r="C68" s="912" t="s">
        <v>769</v>
      </c>
      <c r="D68" s="913" t="s">
        <v>169</v>
      </c>
      <c r="E68" s="1039">
        <f>ROUND(B68*1.02,0)</f>
        <v>12162</v>
      </c>
      <c r="F68" s="1259">
        <v>56400</v>
      </c>
      <c r="G68" s="906"/>
      <c r="H68" s="906"/>
      <c r="I68" s="906"/>
      <c r="J68" s="875">
        <f>ROUND((E68*F68),0)</f>
        <v>685936800</v>
      </c>
      <c r="K68" s="875">
        <f t="shared" si="23"/>
        <v>0</v>
      </c>
      <c r="L68" s="875">
        <f t="shared" si="21"/>
        <v>0</v>
      </c>
      <c r="M68" s="875">
        <f t="shared" si="22"/>
        <v>0</v>
      </c>
      <c r="N68" s="767"/>
      <c r="O68" s="767"/>
    </row>
    <row r="69" spans="1:19" s="804" customFormat="1" ht="17.399999999999999">
      <c r="A69" s="805"/>
      <c r="B69" s="1230">
        <v>1</v>
      </c>
      <c r="C69" s="860" t="s">
        <v>550</v>
      </c>
      <c r="D69" s="1230" t="s">
        <v>33</v>
      </c>
      <c r="E69" s="927">
        <f>'BKe TT'!AB247</f>
        <v>31</v>
      </c>
      <c r="F69" s="1006"/>
      <c r="G69" s="1003"/>
      <c r="H69" s="1003"/>
      <c r="I69" s="1003"/>
      <c r="J69" s="1003"/>
      <c r="K69" s="896"/>
      <c r="L69" s="896">
        <f t="shared" si="21"/>
        <v>0</v>
      </c>
      <c r="M69" s="896">
        <f t="shared" si="22"/>
        <v>0</v>
      </c>
      <c r="N69" s="1004"/>
      <c r="O69" s="1004"/>
    </row>
    <row r="70" spans="1:19" s="513" customFormat="1" ht="18">
      <c r="A70" s="512"/>
      <c r="B70" s="871"/>
      <c r="C70" s="872" t="s">
        <v>498</v>
      </c>
      <c r="D70" s="871" t="s">
        <v>166</v>
      </c>
      <c r="E70" s="883">
        <f>E69</f>
        <v>31</v>
      </c>
      <c r="F70" s="1261">
        <v>30000</v>
      </c>
      <c r="G70" s="874"/>
      <c r="H70" s="874"/>
      <c r="I70" s="874"/>
      <c r="J70" s="875">
        <f>ROUND((E70*F70),0)</f>
        <v>930000</v>
      </c>
      <c r="K70" s="875">
        <f t="shared" si="23"/>
        <v>0</v>
      </c>
      <c r="L70" s="875">
        <f t="shared" si="21"/>
        <v>0</v>
      </c>
      <c r="M70" s="875">
        <f t="shared" si="22"/>
        <v>0</v>
      </c>
      <c r="N70" s="767"/>
      <c r="O70" s="767"/>
    </row>
    <row r="71" spans="1:19" s="513" customFormat="1" ht="18">
      <c r="A71" s="512"/>
      <c r="B71" s="871"/>
      <c r="C71" s="872" t="s">
        <v>705</v>
      </c>
      <c r="D71" s="871" t="s">
        <v>157</v>
      </c>
      <c r="E71" s="883">
        <f>E70</f>
        <v>31</v>
      </c>
      <c r="F71" s="1020">
        <v>17000</v>
      </c>
      <c r="G71" s="874"/>
      <c r="H71" s="874"/>
      <c r="I71" s="874"/>
      <c r="J71" s="875">
        <f>ROUND((E71*F71),0)</f>
        <v>527000</v>
      </c>
      <c r="K71" s="875">
        <f t="shared" si="23"/>
        <v>0</v>
      </c>
      <c r="L71" s="875"/>
      <c r="M71" s="875"/>
      <c r="N71" s="505"/>
      <c r="O71" s="505"/>
      <c r="P71" s="504">
        <v>16000</v>
      </c>
    </row>
    <row r="72" spans="1:19" s="513" customFormat="1" ht="18">
      <c r="A72" s="512"/>
      <c r="B72" s="876"/>
      <c r="C72" s="877" t="s">
        <v>497</v>
      </c>
      <c r="D72" s="871" t="s">
        <v>166</v>
      </c>
      <c r="E72" s="908">
        <f>E69</f>
        <v>31</v>
      </c>
      <c r="F72" s="908"/>
      <c r="G72" s="1260">
        <f>19000+2*4500</f>
        <v>28000</v>
      </c>
      <c r="H72" s="879"/>
      <c r="I72" s="879"/>
      <c r="J72" s="875">
        <f>ROUND((E72*F72),0)</f>
        <v>0</v>
      </c>
      <c r="K72" s="881">
        <f t="shared" si="23"/>
        <v>868000</v>
      </c>
      <c r="L72" s="881">
        <f t="shared" si="21"/>
        <v>0</v>
      </c>
      <c r="M72" s="881">
        <f t="shared" si="22"/>
        <v>0</v>
      </c>
      <c r="N72" s="767"/>
      <c r="O72" s="767"/>
    </row>
    <row r="73" spans="1:19" s="804" customFormat="1" ht="18">
      <c r="A73" s="512"/>
      <c r="B73" s="1230">
        <v>2</v>
      </c>
      <c r="C73" s="860" t="s">
        <v>613</v>
      </c>
      <c r="D73" s="1230" t="s">
        <v>33</v>
      </c>
      <c r="E73" s="927">
        <f>'BKe TT'!AC247</f>
        <v>74</v>
      </c>
      <c r="F73" s="1006"/>
      <c r="G73" s="866"/>
      <c r="H73" s="866"/>
      <c r="I73" s="866"/>
      <c r="J73" s="866"/>
      <c r="K73" s="867"/>
      <c r="L73" s="867">
        <f t="shared" si="21"/>
        <v>0</v>
      </c>
      <c r="M73" s="867">
        <f t="shared" si="22"/>
        <v>0</v>
      </c>
      <c r="N73" s="767"/>
      <c r="O73" s="767"/>
    </row>
    <row r="74" spans="1:19" s="513" customFormat="1" ht="18">
      <c r="A74" s="512"/>
      <c r="B74" s="871"/>
      <c r="C74" s="872" t="s">
        <v>755</v>
      </c>
      <c r="D74" s="871" t="s">
        <v>157</v>
      </c>
      <c r="E74" s="883">
        <f>E73</f>
        <v>74</v>
      </c>
      <c r="F74" s="883"/>
      <c r="G74" s="1261">
        <v>68000</v>
      </c>
      <c r="H74" s="874"/>
      <c r="I74" s="874"/>
      <c r="J74" s="875">
        <f>ROUND((E74*F74),0)</f>
        <v>0</v>
      </c>
      <c r="K74" s="875">
        <f t="shared" si="23"/>
        <v>5032000</v>
      </c>
      <c r="L74" s="875">
        <f t="shared" si="21"/>
        <v>0</v>
      </c>
      <c r="M74" s="875">
        <f t="shared" si="22"/>
        <v>0</v>
      </c>
      <c r="N74" s="767"/>
      <c r="O74" s="767"/>
    </row>
    <row r="75" spans="1:19" s="16" customFormat="1" ht="18">
      <c r="A75" s="512"/>
      <c r="B75" s="876"/>
      <c r="C75" s="877" t="s">
        <v>554</v>
      </c>
      <c r="D75" s="876" t="s">
        <v>166</v>
      </c>
      <c r="E75" s="908">
        <f>E73</f>
        <v>74</v>
      </c>
      <c r="F75" s="908"/>
      <c r="G75" s="1260">
        <f>34500+4500</f>
        <v>39000</v>
      </c>
      <c r="H75" s="879"/>
      <c r="I75" s="879"/>
      <c r="J75" s="875">
        <f>ROUND((E75*F75),0)</f>
        <v>0</v>
      </c>
      <c r="K75" s="881">
        <f t="shared" si="23"/>
        <v>2886000</v>
      </c>
      <c r="L75" s="881">
        <f t="shared" si="21"/>
        <v>0</v>
      </c>
      <c r="M75" s="881">
        <f t="shared" si="22"/>
        <v>0</v>
      </c>
      <c r="N75" s="767"/>
      <c r="O75" s="767"/>
      <c r="P75" s="513"/>
      <c r="Q75" s="513"/>
      <c r="R75" s="513"/>
      <c r="S75" s="513"/>
    </row>
    <row r="76" spans="1:19" s="804" customFormat="1" ht="17.399999999999999">
      <c r="A76" s="805"/>
      <c r="B76" s="1230">
        <v>3</v>
      </c>
      <c r="C76" s="860" t="s">
        <v>499</v>
      </c>
      <c r="D76" s="1230" t="s">
        <v>33</v>
      </c>
      <c r="E76" s="927">
        <f>'BKe TT'!X247</f>
        <v>29</v>
      </c>
      <c r="F76" s="1006"/>
      <c r="G76" s="1003"/>
      <c r="H76" s="1003"/>
      <c r="I76" s="1003"/>
      <c r="J76" s="1003"/>
      <c r="K76" s="896"/>
      <c r="L76" s="896">
        <f t="shared" si="21"/>
        <v>0</v>
      </c>
      <c r="M76" s="896">
        <f t="shared" si="22"/>
        <v>0</v>
      </c>
      <c r="N76" s="1004"/>
      <c r="O76" s="1004"/>
    </row>
    <row r="77" spans="1:19" s="513" customFormat="1" ht="18">
      <c r="A77" s="512"/>
      <c r="B77" s="871"/>
      <c r="C77" s="914" t="s">
        <v>656</v>
      </c>
      <c r="D77" s="871" t="s">
        <v>157</v>
      </c>
      <c r="E77" s="883">
        <f>E76</f>
        <v>29</v>
      </c>
      <c r="F77" s="1261">
        <v>205000</v>
      </c>
      <c r="G77" s="874"/>
      <c r="H77" s="874"/>
      <c r="I77" s="874"/>
      <c r="J77" s="875">
        <f>ROUND((E77*F77),0)</f>
        <v>5945000</v>
      </c>
      <c r="K77" s="875">
        <f t="shared" ref="K77:K102" si="24">ROUND((E77*G77),0)</f>
        <v>0</v>
      </c>
      <c r="L77" s="875">
        <f t="shared" si="21"/>
        <v>0</v>
      </c>
      <c r="M77" s="875">
        <f t="shared" si="22"/>
        <v>0</v>
      </c>
      <c r="N77" s="767"/>
      <c r="O77" s="767"/>
    </row>
    <row r="78" spans="1:19" s="513" customFormat="1" ht="18">
      <c r="A78" s="512"/>
      <c r="B78" s="886"/>
      <c r="C78" s="887" t="s">
        <v>711</v>
      </c>
      <c r="D78" s="871" t="s">
        <v>157</v>
      </c>
      <c r="E78" s="888">
        <f>E76</f>
        <v>29</v>
      </c>
      <c r="F78" s="1262">
        <v>140000</v>
      </c>
      <c r="G78" s="868"/>
      <c r="H78" s="868"/>
      <c r="I78" s="868"/>
      <c r="J78" s="875">
        <f>ROUND((E78*F78),0)</f>
        <v>4060000</v>
      </c>
      <c r="K78" s="869">
        <f t="shared" si="24"/>
        <v>0</v>
      </c>
      <c r="L78" s="869">
        <f t="shared" si="21"/>
        <v>0</v>
      </c>
      <c r="M78" s="869">
        <f t="shared" si="22"/>
        <v>0</v>
      </c>
      <c r="N78" s="767"/>
      <c r="O78" s="767"/>
    </row>
    <row r="79" spans="1:19" s="513" customFormat="1" ht="18">
      <c r="A79" s="512"/>
      <c r="B79" s="876"/>
      <c r="C79" s="877" t="s">
        <v>549</v>
      </c>
      <c r="D79" s="876" t="s">
        <v>166</v>
      </c>
      <c r="E79" s="908">
        <f>E78*2</f>
        <v>58</v>
      </c>
      <c r="F79" s="908"/>
      <c r="G79" s="1260">
        <f>G72</f>
        <v>28000</v>
      </c>
      <c r="H79" s="879"/>
      <c r="I79" s="879"/>
      <c r="J79" s="880">
        <f>ROUND((E79*F79),0)</f>
        <v>0</v>
      </c>
      <c r="K79" s="881">
        <f t="shared" si="24"/>
        <v>1624000</v>
      </c>
      <c r="L79" s="881">
        <f t="shared" si="21"/>
        <v>0</v>
      </c>
      <c r="M79" s="881">
        <f t="shared" si="22"/>
        <v>0</v>
      </c>
      <c r="N79" s="767"/>
      <c r="O79" s="767"/>
    </row>
    <row r="80" spans="1:19" s="513" customFormat="1" ht="18">
      <c r="A80" s="512"/>
      <c r="B80" s="1230">
        <v>4</v>
      </c>
      <c r="C80" s="860" t="s">
        <v>706</v>
      </c>
      <c r="D80" s="1230" t="s">
        <v>33</v>
      </c>
      <c r="E80" s="926">
        <f>'BKe TT'!Z247</f>
        <v>6</v>
      </c>
      <c r="F80" s="915"/>
      <c r="G80" s="866"/>
      <c r="H80" s="866"/>
      <c r="I80" s="866"/>
      <c r="J80" s="867"/>
      <c r="K80" s="867"/>
      <c r="L80" s="880"/>
      <c r="M80" s="880"/>
      <c r="N80" s="767"/>
      <c r="O80" s="767"/>
    </row>
    <row r="81" spans="1:19" s="513" customFormat="1" ht="18">
      <c r="A81" s="512"/>
      <c r="B81" s="871"/>
      <c r="C81" s="914" t="s">
        <v>656</v>
      </c>
      <c r="D81" s="871" t="s">
        <v>157</v>
      </c>
      <c r="E81" s="883">
        <f>E80*2</f>
        <v>12</v>
      </c>
      <c r="F81" s="1020">
        <f>F77</f>
        <v>205000</v>
      </c>
      <c r="G81" s="874"/>
      <c r="H81" s="874"/>
      <c r="I81" s="874"/>
      <c r="J81" s="875">
        <f>ROUND((E81*F81),0)</f>
        <v>2460000</v>
      </c>
      <c r="K81" s="875">
        <f t="shared" ref="K81:K83" si="25">ROUND((E81*G81),0)</f>
        <v>0</v>
      </c>
      <c r="L81" s="880"/>
      <c r="M81" s="880"/>
      <c r="N81" s="767"/>
      <c r="O81" s="767"/>
    </row>
    <row r="82" spans="1:19" s="513" customFormat="1" ht="18">
      <c r="A82" s="512"/>
      <c r="B82" s="886"/>
      <c r="C82" s="887" t="s">
        <v>712</v>
      </c>
      <c r="D82" s="886" t="s">
        <v>157</v>
      </c>
      <c r="E82" s="888">
        <f>E80*2</f>
        <v>12</v>
      </c>
      <c r="F82" s="942">
        <v>115000</v>
      </c>
      <c r="G82" s="868"/>
      <c r="H82" s="868"/>
      <c r="I82" s="868"/>
      <c r="J82" s="875">
        <f>ROUND((E82*F82),0)</f>
        <v>1380000</v>
      </c>
      <c r="K82" s="869">
        <f t="shared" si="25"/>
        <v>0</v>
      </c>
      <c r="L82" s="880"/>
      <c r="M82" s="880"/>
      <c r="N82" s="767"/>
      <c r="O82" s="767"/>
    </row>
    <row r="83" spans="1:19" s="513" customFormat="1" ht="18">
      <c r="A83" s="512"/>
      <c r="B83" s="890"/>
      <c r="C83" s="877" t="s">
        <v>502</v>
      </c>
      <c r="D83" s="890" t="s">
        <v>166</v>
      </c>
      <c r="E83" s="892">
        <f>E80*2</f>
        <v>12</v>
      </c>
      <c r="F83" s="892"/>
      <c r="G83" s="1276">
        <f>21000+2*4500</f>
        <v>30000</v>
      </c>
      <c r="H83" s="894"/>
      <c r="I83" s="894"/>
      <c r="J83" s="880">
        <f>ROUND((E83*F83),0)</f>
        <v>0</v>
      </c>
      <c r="K83" s="881">
        <f t="shared" si="25"/>
        <v>360000</v>
      </c>
      <c r="L83" s="880"/>
      <c r="M83" s="880"/>
      <c r="N83" s="767"/>
      <c r="O83" s="767"/>
    </row>
    <row r="84" spans="1:19" s="513" customFormat="1" ht="18">
      <c r="A84" s="512"/>
      <c r="B84" s="1317">
        <v>5</v>
      </c>
      <c r="C84" s="860" t="s">
        <v>670</v>
      </c>
      <c r="D84" s="1317" t="s">
        <v>33</v>
      </c>
      <c r="E84" s="926">
        <f>'BKe TT'!Y247</f>
        <v>21</v>
      </c>
      <c r="F84" s="915"/>
      <c r="G84" s="866"/>
      <c r="H84" s="866"/>
      <c r="I84" s="866"/>
      <c r="J84" s="867"/>
      <c r="K84" s="867"/>
      <c r="L84" s="867"/>
      <c r="M84" s="867"/>
      <c r="N84" s="767"/>
      <c r="O84" s="767"/>
    </row>
    <row r="85" spans="1:19" s="513" customFormat="1" ht="18">
      <c r="A85" s="512"/>
      <c r="B85" s="871"/>
      <c r="C85" s="872" t="s">
        <v>713</v>
      </c>
      <c r="D85" s="871" t="s">
        <v>157</v>
      </c>
      <c r="E85" s="883">
        <f>E84</f>
        <v>21</v>
      </c>
      <c r="F85" s="1020">
        <f>F78</f>
        <v>140000</v>
      </c>
      <c r="G85" s="874"/>
      <c r="H85" s="874"/>
      <c r="I85" s="874"/>
      <c r="J85" s="875">
        <f>ROUND((E85*F85),0)</f>
        <v>2940000</v>
      </c>
      <c r="K85" s="875">
        <f t="shared" si="24"/>
        <v>0</v>
      </c>
      <c r="L85" s="875"/>
      <c r="M85" s="875"/>
      <c r="N85" s="767"/>
      <c r="O85" s="767"/>
    </row>
    <row r="86" spans="1:19" s="513" customFormat="1" ht="18">
      <c r="A86" s="512"/>
      <c r="B86" s="890"/>
      <c r="C86" s="891" t="s">
        <v>549</v>
      </c>
      <c r="D86" s="890" t="s">
        <v>166</v>
      </c>
      <c r="E86" s="892">
        <f>E85*2</f>
        <v>42</v>
      </c>
      <c r="F86" s="892"/>
      <c r="G86" s="1276">
        <f>G79</f>
        <v>28000</v>
      </c>
      <c r="H86" s="894"/>
      <c r="I86" s="894"/>
      <c r="J86" s="880">
        <f>ROUND((E86*F86),0)</f>
        <v>0</v>
      </c>
      <c r="K86" s="881">
        <f t="shared" si="24"/>
        <v>1176000</v>
      </c>
      <c r="L86" s="895"/>
      <c r="M86" s="895"/>
      <c r="N86" s="767"/>
      <c r="O86" s="767"/>
    </row>
    <row r="87" spans="1:19" s="804" customFormat="1" ht="17.399999999999999">
      <c r="A87" s="805"/>
      <c r="B87" s="1230">
        <v>6</v>
      </c>
      <c r="C87" s="860" t="s">
        <v>747</v>
      </c>
      <c r="D87" s="1230" t="s">
        <v>33</v>
      </c>
      <c r="E87" s="927">
        <f>'BKe TT'!AA247</f>
        <v>80</v>
      </c>
      <c r="F87" s="1006"/>
      <c r="G87" s="1003"/>
      <c r="H87" s="1003"/>
      <c r="I87" s="1003"/>
      <c r="J87" s="1003"/>
      <c r="K87" s="896"/>
      <c r="L87" s="896">
        <f t="shared" si="21"/>
        <v>0</v>
      </c>
      <c r="M87" s="896">
        <f t="shared" si="22"/>
        <v>0</v>
      </c>
      <c r="N87" s="1004"/>
      <c r="O87" s="1004"/>
    </row>
    <row r="88" spans="1:19" s="513" customFormat="1" ht="18">
      <c r="A88" s="512"/>
      <c r="B88" s="886"/>
      <c r="C88" s="887" t="s">
        <v>714</v>
      </c>
      <c r="D88" s="886" t="s">
        <v>157</v>
      </c>
      <c r="E88" s="888">
        <f>E87*2</f>
        <v>160</v>
      </c>
      <c r="F88" s="1262">
        <f>F82</f>
        <v>115000</v>
      </c>
      <c r="G88" s="868"/>
      <c r="H88" s="868"/>
      <c r="I88" s="868"/>
      <c r="J88" s="875">
        <f>ROUND((E88*F88),0)</f>
        <v>18400000</v>
      </c>
      <c r="K88" s="869">
        <f t="shared" si="24"/>
        <v>0</v>
      </c>
      <c r="L88" s="869">
        <f t="shared" si="21"/>
        <v>0</v>
      </c>
      <c r="M88" s="869">
        <f t="shared" si="22"/>
        <v>0</v>
      </c>
      <c r="N88" s="767"/>
      <c r="O88" s="767"/>
    </row>
    <row r="89" spans="1:19" s="513" customFormat="1" ht="18">
      <c r="A89" s="512"/>
      <c r="B89" s="876"/>
      <c r="C89" s="877" t="s">
        <v>502</v>
      </c>
      <c r="D89" s="876" t="s">
        <v>166</v>
      </c>
      <c r="E89" s="908">
        <f>E88</f>
        <v>160</v>
      </c>
      <c r="F89" s="908"/>
      <c r="G89" s="1260">
        <f>G83</f>
        <v>30000</v>
      </c>
      <c r="H89" s="879"/>
      <c r="I89" s="879"/>
      <c r="J89" s="875">
        <f>ROUND((E89*F89),0)</f>
        <v>0</v>
      </c>
      <c r="K89" s="881">
        <f t="shared" si="24"/>
        <v>4800000</v>
      </c>
      <c r="L89" s="881">
        <f t="shared" si="21"/>
        <v>0</v>
      </c>
      <c r="M89" s="881">
        <f t="shared" si="22"/>
        <v>0</v>
      </c>
      <c r="N89" s="767"/>
      <c r="O89" s="767"/>
    </row>
    <row r="90" spans="1:19" s="64" customFormat="1" ht="18">
      <c r="A90" s="512"/>
      <c r="B90" s="1230">
        <v>7</v>
      </c>
      <c r="C90" s="860" t="s">
        <v>896</v>
      </c>
      <c r="D90" s="1230" t="s">
        <v>33</v>
      </c>
      <c r="E90" s="927">
        <f>'BKe TT'!AD247</f>
        <v>70</v>
      </c>
      <c r="F90" s="1006"/>
      <c r="G90" s="866"/>
      <c r="H90" s="866"/>
      <c r="I90" s="866"/>
      <c r="J90" s="866"/>
      <c r="K90" s="867"/>
      <c r="L90" s="867">
        <f t="shared" ref="L90:L100" si="26">ROUND((E90*H90),0)</f>
        <v>0</v>
      </c>
      <c r="M90" s="867">
        <f t="shared" ref="M90:M100" si="27">ROUND((E90*I90),0)</f>
        <v>0</v>
      </c>
      <c r="N90" s="767"/>
      <c r="O90" s="767"/>
      <c r="P90" s="804"/>
      <c r="Q90" s="804"/>
      <c r="R90" s="804"/>
      <c r="S90" s="804"/>
    </row>
    <row r="91" spans="1:19" s="513" customFormat="1" ht="18">
      <c r="A91" s="512"/>
      <c r="B91" s="903"/>
      <c r="C91" s="914" t="s">
        <v>329</v>
      </c>
      <c r="D91" s="871" t="s">
        <v>501</v>
      </c>
      <c r="E91" s="883">
        <f>E90</f>
        <v>70</v>
      </c>
      <c r="F91" s="1261">
        <v>235000</v>
      </c>
      <c r="G91" s="874"/>
      <c r="H91" s="874"/>
      <c r="I91" s="874"/>
      <c r="J91" s="875">
        <f>ROUND((E91*F91),0)</f>
        <v>16450000</v>
      </c>
      <c r="K91" s="875">
        <f t="shared" si="24"/>
        <v>0</v>
      </c>
      <c r="L91" s="875">
        <f t="shared" si="26"/>
        <v>0</v>
      </c>
      <c r="M91" s="875">
        <f t="shared" si="27"/>
        <v>0</v>
      </c>
      <c r="N91" s="767"/>
      <c r="O91" s="767"/>
    </row>
    <row r="92" spans="1:19" s="513" customFormat="1" ht="18">
      <c r="A92" s="512"/>
      <c r="B92" s="903"/>
      <c r="C92" s="914" t="s">
        <v>897</v>
      </c>
      <c r="D92" s="871" t="s">
        <v>166</v>
      </c>
      <c r="E92" s="883">
        <f>E90</f>
        <v>70</v>
      </c>
      <c r="F92" s="874"/>
      <c r="G92" s="1261">
        <f>30500+4500</f>
        <v>35000</v>
      </c>
      <c r="H92" s="874"/>
      <c r="I92" s="874"/>
      <c r="J92" s="875">
        <f>ROUND((E92*F92),0)</f>
        <v>0</v>
      </c>
      <c r="K92" s="875">
        <f t="shared" ref="K92" si="28">ROUND((E92*G92),0)</f>
        <v>2450000</v>
      </c>
      <c r="L92" s="875"/>
      <c r="M92" s="875"/>
      <c r="N92" s="767"/>
      <c r="O92" s="767"/>
    </row>
    <row r="93" spans="1:19" s="513" customFormat="1" ht="18">
      <c r="A93" s="512"/>
      <c r="B93" s="886"/>
      <c r="C93" s="870" t="s">
        <v>552</v>
      </c>
      <c r="D93" s="886" t="s">
        <v>157</v>
      </c>
      <c r="E93" s="888">
        <f>E91</f>
        <v>70</v>
      </c>
      <c r="F93" s="888"/>
      <c r="G93" s="1262">
        <v>28000</v>
      </c>
      <c r="H93" s="868"/>
      <c r="I93" s="868">
        <v>0</v>
      </c>
      <c r="J93" s="875">
        <f>ROUND((E93*F93),0)</f>
        <v>0</v>
      </c>
      <c r="K93" s="869">
        <f t="shared" si="24"/>
        <v>1960000</v>
      </c>
      <c r="L93" s="869">
        <f t="shared" si="26"/>
        <v>0</v>
      </c>
      <c r="M93" s="869">
        <f t="shared" si="27"/>
        <v>0</v>
      </c>
      <c r="N93" s="767"/>
      <c r="O93" s="767"/>
    </row>
    <row r="94" spans="1:19" s="64" customFormat="1" ht="18">
      <c r="A94" s="512"/>
      <c r="B94" s="1230">
        <v>8</v>
      </c>
      <c r="C94" s="860" t="s">
        <v>500</v>
      </c>
      <c r="D94" s="1230" t="s">
        <v>33</v>
      </c>
      <c r="E94" s="927">
        <f>'BKe TT'!AE247</f>
        <v>4</v>
      </c>
      <c r="F94" s="1006"/>
      <c r="G94" s="866"/>
      <c r="H94" s="866"/>
      <c r="I94" s="866"/>
      <c r="J94" s="866"/>
      <c r="K94" s="867"/>
      <c r="L94" s="867">
        <f t="shared" ref="L94:L96" si="29">ROUND((E94*H94),0)</f>
        <v>0</v>
      </c>
      <c r="M94" s="867">
        <f t="shared" ref="M94:M96" si="30">ROUND((E94*I94),0)</f>
        <v>0</v>
      </c>
      <c r="N94" s="767"/>
      <c r="O94" s="767"/>
      <c r="P94" s="804"/>
      <c r="Q94" s="804"/>
      <c r="R94" s="804"/>
      <c r="S94" s="804"/>
    </row>
    <row r="95" spans="1:19" s="513" customFormat="1" ht="18">
      <c r="A95" s="512"/>
      <c r="B95" s="903"/>
      <c r="C95" s="914" t="s">
        <v>329</v>
      </c>
      <c r="D95" s="871" t="s">
        <v>501</v>
      </c>
      <c r="E95" s="883">
        <f>E94</f>
        <v>4</v>
      </c>
      <c r="F95" s="1261">
        <f>F91</f>
        <v>235000</v>
      </c>
      <c r="G95" s="874"/>
      <c r="H95" s="874"/>
      <c r="I95" s="874"/>
      <c r="J95" s="875">
        <f>ROUND((E95*F95),0)</f>
        <v>940000</v>
      </c>
      <c r="K95" s="875">
        <f t="shared" ref="K95:K96" si="31">ROUND((E95*G95),0)</f>
        <v>0</v>
      </c>
      <c r="L95" s="875">
        <f t="shared" si="29"/>
        <v>0</v>
      </c>
      <c r="M95" s="875">
        <f t="shared" si="30"/>
        <v>0</v>
      </c>
      <c r="N95" s="767"/>
      <c r="O95" s="767"/>
    </row>
    <row r="96" spans="1:19" s="513" customFormat="1" ht="18">
      <c r="A96" s="512"/>
      <c r="B96" s="876"/>
      <c r="C96" s="916" t="s">
        <v>552</v>
      </c>
      <c r="D96" s="876" t="s">
        <v>157</v>
      </c>
      <c r="E96" s="908">
        <f>E95</f>
        <v>4</v>
      </c>
      <c r="F96" s="908"/>
      <c r="G96" s="1260">
        <f>G93</f>
        <v>28000</v>
      </c>
      <c r="H96" s="879"/>
      <c r="I96" s="879">
        <v>0</v>
      </c>
      <c r="J96" s="880">
        <f>ROUND((E96*F96),0)</f>
        <v>0</v>
      </c>
      <c r="K96" s="881">
        <f t="shared" si="31"/>
        <v>112000</v>
      </c>
      <c r="L96" s="869">
        <f t="shared" si="29"/>
        <v>0</v>
      </c>
      <c r="M96" s="869">
        <f t="shared" si="30"/>
        <v>0</v>
      </c>
      <c r="N96" s="767"/>
      <c r="O96" s="767"/>
    </row>
    <row r="97" spans="1:19" s="513" customFormat="1" ht="18">
      <c r="A97" s="512"/>
      <c r="B97" s="1230">
        <v>9</v>
      </c>
      <c r="C97" s="1255" t="s">
        <v>773</v>
      </c>
      <c r="D97" s="1230" t="s">
        <v>166</v>
      </c>
      <c r="E97" s="926">
        <f>'BKe TT'!AF247</f>
        <v>74</v>
      </c>
      <c r="F97" s="915"/>
      <c r="G97" s="1279">
        <f>310000+32000</f>
        <v>342000</v>
      </c>
      <c r="H97" s="866"/>
      <c r="I97" s="866">
        <v>0</v>
      </c>
      <c r="J97" s="867">
        <f>ROUND((E97*F97),0)</f>
        <v>0</v>
      </c>
      <c r="K97" s="867">
        <f t="shared" si="24"/>
        <v>25308000</v>
      </c>
      <c r="L97" s="881"/>
      <c r="M97" s="881"/>
      <c r="N97" s="767"/>
      <c r="O97" s="767"/>
    </row>
    <row r="98" spans="1:19" s="1249" customFormat="1" ht="18">
      <c r="A98" s="805"/>
      <c r="B98" s="1230">
        <v>10</v>
      </c>
      <c r="C98" s="860" t="s">
        <v>503</v>
      </c>
      <c r="D98" s="1230"/>
      <c r="E98" s="917"/>
      <c r="F98" s="917"/>
      <c r="G98" s="866"/>
      <c r="H98" s="866"/>
      <c r="I98" s="866"/>
      <c r="J98" s="866"/>
      <c r="K98" s="867"/>
      <c r="L98" s="867">
        <f t="shared" si="26"/>
        <v>0</v>
      </c>
      <c r="M98" s="867">
        <f t="shared" si="27"/>
        <v>0</v>
      </c>
      <c r="N98" s="767"/>
      <c r="O98" s="767"/>
      <c r="P98" s="804"/>
      <c r="Q98" s="804"/>
      <c r="R98" s="804"/>
      <c r="S98" s="804"/>
    </row>
    <row r="99" spans="1:19" s="1250" customFormat="1" ht="18">
      <c r="A99" s="512"/>
      <c r="B99" s="913"/>
      <c r="C99" s="1007" t="s">
        <v>707</v>
      </c>
      <c r="D99" s="913" t="s">
        <v>157</v>
      </c>
      <c r="E99" s="1302">
        <f>'BKe TT'!AG247</f>
        <v>4</v>
      </c>
      <c r="F99" s="1008"/>
      <c r="G99" s="1272">
        <f>G13</f>
        <v>10500</v>
      </c>
      <c r="H99" s="906"/>
      <c r="I99" s="906"/>
      <c r="J99" s="869">
        <f t="shared" ref="J99" si="32">ROUND((E99*F99),0)</f>
        <v>0</v>
      </c>
      <c r="K99" s="869">
        <f t="shared" ref="K99" si="33">ROUND((E99*G99),0)</f>
        <v>42000</v>
      </c>
      <c r="L99" s="880"/>
      <c r="M99" s="880"/>
      <c r="N99" s="767"/>
      <c r="O99" s="767"/>
      <c r="P99" s="513"/>
      <c r="Q99" s="513"/>
      <c r="R99" s="513"/>
      <c r="S99" s="513"/>
    </row>
    <row r="100" spans="1:19" s="513" customFormat="1" ht="18">
      <c r="A100" s="512"/>
      <c r="B100" s="918"/>
      <c r="C100" s="887" t="s">
        <v>708</v>
      </c>
      <c r="D100" s="886" t="s">
        <v>157</v>
      </c>
      <c r="E100" s="942">
        <f>'BKe TT'!AH247</f>
        <v>4</v>
      </c>
      <c r="F100" s="868"/>
      <c r="G100" s="1262">
        <v>18900</v>
      </c>
      <c r="H100" s="868"/>
      <c r="I100" s="868">
        <v>0</v>
      </c>
      <c r="J100" s="869">
        <f t="shared" ref="J100:J116" si="34">ROUND((E100*F100),0)</f>
        <v>0</v>
      </c>
      <c r="K100" s="869">
        <f t="shared" si="24"/>
        <v>75600</v>
      </c>
      <c r="L100" s="869">
        <f t="shared" si="26"/>
        <v>0</v>
      </c>
      <c r="M100" s="869">
        <f t="shared" si="27"/>
        <v>0</v>
      </c>
      <c r="N100" s="767"/>
      <c r="O100" s="767"/>
    </row>
    <row r="101" spans="1:19" s="513" customFormat="1" ht="18">
      <c r="A101" s="512"/>
      <c r="B101" s="918"/>
      <c r="C101" s="887" t="s">
        <v>504</v>
      </c>
      <c r="D101" s="886" t="s">
        <v>169</v>
      </c>
      <c r="E101" s="941">
        <f>'BKe TT'!AV247</f>
        <v>6</v>
      </c>
      <c r="F101" s="1262">
        <v>77700</v>
      </c>
      <c r="G101" s="868"/>
      <c r="H101" s="868"/>
      <c r="I101" s="868"/>
      <c r="J101" s="875">
        <f t="shared" si="34"/>
        <v>466200</v>
      </c>
      <c r="K101" s="869">
        <f t="shared" si="24"/>
        <v>0</v>
      </c>
      <c r="L101" s="869">
        <f>ROUND((E101*H101),0)</f>
        <v>0</v>
      </c>
      <c r="M101" s="869">
        <f>ROUND((E101*I101),0)</f>
        <v>0</v>
      </c>
      <c r="N101" s="767"/>
      <c r="O101" s="767"/>
    </row>
    <row r="102" spans="1:19" s="513" customFormat="1" ht="18">
      <c r="A102" s="512"/>
      <c r="B102" s="918"/>
      <c r="C102" s="887" t="s">
        <v>545</v>
      </c>
      <c r="D102" s="886" t="s">
        <v>169</v>
      </c>
      <c r="E102" s="941">
        <f>'BKe TT'!AW247</f>
        <v>21.5</v>
      </c>
      <c r="F102" s="1280">
        <v>118700</v>
      </c>
      <c r="G102" s="868"/>
      <c r="H102" s="868"/>
      <c r="I102" s="868"/>
      <c r="J102" s="875">
        <f t="shared" si="34"/>
        <v>2552050</v>
      </c>
      <c r="K102" s="869">
        <f t="shared" si="24"/>
        <v>0</v>
      </c>
      <c r="L102" s="869"/>
      <c r="M102" s="869"/>
      <c r="N102" s="767"/>
      <c r="O102" s="767"/>
    </row>
    <row r="103" spans="1:19" s="1251" customFormat="1" ht="18">
      <c r="A103" s="50">
        <f>A101+1</f>
        <v>1</v>
      </c>
      <c r="B103" s="1009"/>
      <c r="C103" s="1010" t="s">
        <v>709</v>
      </c>
      <c r="D103" s="876" t="s">
        <v>166</v>
      </c>
      <c r="E103" s="942">
        <f>'BKe TT'!AJ247+'BKe TT'!AM247</f>
        <v>35</v>
      </c>
      <c r="F103" s="889"/>
      <c r="G103" s="1277">
        <v>152000</v>
      </c>
      <c r="H103" s="1011"/>
      <c r="I103" s="919"/>
      <c r="J103" s="875">
        <f t="shared" si="34"/>
        <v>0</v>
      </c>
      <c r="K103" s="869">
        <f t="shared" ref="K103:K115" si="35">ROUND((E103*G103),0)</f>
        <v>5320000</v>
      </c>
      <c r="L103" s="869">
        <f>ROUND((E103*H103),0)</f>
        <v>0</v>
      </c>
      <c r="M103" s="869">
        <f>ROUND((E103*I103),0)</f>
        <v>0</v>
      </c>
      <c r="N103" s="767"/>
      <c r="O103" s="767"/>
      <c r="P103" s="1012"/>
      <c r="Q103" s="1012"/>
      <c r="R103" s="1012"/>
      <c r="S103" s="1012"/>
    </row>
    <row r="104" spans="1:19" s="1251" customFormat="1" ht="18">
      <c r="A104" s="50">
        <f>A103+1</f>
        <v>2</v>
      </c>
      <c r="B104" s="1009"/>
      <c r="C104" s="1010" t="s">
        <v>325</v>
      </c>
      <c r="D104" s="1013" t="s">
        <v>157</v>
      </c>
      <c r="E104" s="942">
        <f>'BKe TT'!AK247</f>
        <v>16</v>
      </c>
      <c r="F104" s="889"/>
      <c r="G104" s="1277">
        <v>68000</v>
      </c>
      <c r="H104" s="1011"/>
      <c r="I104" s="919"/>
      <c r="J104" s="875">
        <f t="shared" ref="J104:J108" si="36">ROUND((E104*F104),0)</f>
        <v>0</v>
      </c>
      <c r="K104" s="869">
        <f t="shared" ref="K104:K108" si="37">ROUND((E104*G104),0)</f>
        <v>1088000</v>
      </c>
      <c r="L104" s="869">
        <f>ROUND((E104*H104),0)</f>
        <v>0</v>
      </c>
      <c r="M104" s="869">
        <f>ROUND((E104*I104),0)</f>
        <v>0</v>
      </c>
      <c r="N104" s="767"/>
      <c r="O104" s="767"/>
      <c r="P104" s="1012"/>
      <c r="Q104" s="1012"/>
      <c r="R104" s="1012"/>
      <c r="S104" s="1012"/>
    </row>
    <row r="105" spans="1:19" s="1251" customFormat="1" ht="18">
      <c r="A105" s="50"/>
      <c r="B105" s="1009"/>
      <c r="C105" s="1010" t="s">
        <v>174</v>
      </c>
      <c r="D105" s="1013" t="s">
        <v>157</v>
      </c>
      <c r="E105" s="942">
        <f>'BKe TT'!AL247</f>
        <v>8</v>
      </c>
      <c r="F105" s="889"/>
      <c r="G105" s="1277">
        <v>94500</v>
      </c>
      <c r="H105" s="1011"/>
      <c r="I105" s="919"/>
      <c r="J105" s="875">
        <f t="shared" si="36"/>
        <v>0</v>
      </c>
      <c r="K105" s="869">
        <f t="shared" si="37"/>
        <v>756000</v>
      </c>
      <c r="L105" s="869"/>
      <c r="M105" s="869"/>
      <c r="N105" s="767"/>
      <c r="O105" s="767"/>
      <c r="P105" s="1012"/>
      <c r="Q105" s="1012"/>
      <c r="R105" s="1012"/>
      <c r="S105" s="1012"/>
    </row>
    <row r="106" spans="1:19" s="507" customFormat="1" ht="18">
      <c r="A106" s="50">
        <f>A101+1</f>
        <v>1</v>
      </c>
      <c r="B106" s="1014"/>
      <c r="C106" s="1015" t="s">
        <v>505</v>
      </c>
      <c r="D106" s="1013" t="s">
        <v>157</v>
      </c>
      <c r="E106" s="943">
        <f>'BKe TT'!AN247</f>
        <v>33</v>
      </c>
      <c r="F106" s="1017"/>
      <c r="G106" s="943">
        <v>122000</v>
      </c>
      <c r="H106" s="1016"/>
      <c r="I106" s="1018"/>
      <c r="J106" s="875">
        <f t="shared" si="36"/>
        <v>0</v>
      </c>
      <c r="K106" s="869">
        <f t="shared" si="37"/>
        <v>4026000</v>
      </c>
      <c r="L106" s="869">
        <f>ROUND((E106*H106),0)</f>
        <v>0</v>
      </c>
      <c r="M106" s="869">
        <f>ROUND((E106*I106),0)</f>
        <v>0</v>
      </c>
      <c r="N106" s="767"/>
      <c r="O106" s="767"/>
      <c r="P106" s="516"/>
      <c r="Q106" s="516"/>
      <c r="R106" s="516"/>
      <c r="S106" s="516"/>
    </row>
    <row r="107" spans="1:19" s="507" customFormat="1" ht="18">
      <c r="A107" s="50"/>
      <c r="B107" s="1014"/>
      <c r="C107" s="1015" t="s">
        <v>710</v>
      </c>
      <c r="D107" s="1013" t="s">
        <v>157</v>
      </c>
      <c r="E107" s="943">
        <f>'BKe TT'!AO247</f>
        <v>10</v>
      </c>
      <c r="F107" s="1017"/>
      <c r="G107" s="943">
        <f>95000+95000</f>
        <v>190000</v>
      </c>
      <c r="H107" s="1016"/>
      <c r="I107" s="1018"/>
      <c r="J107" s="875">
        <f t="shared" si="36"/>
        <v>0</v>
      </c>
      <c r="K107" s="869">
        <f t="shared" si="37"/>
        <v>1900000</v>
      </c>
      <c r="L107" s="869"/>
      <c r="M107" s="869"/>
      <c r="N107" s="767"/>
      <c r="O107" s="767"/>
      <c r="P107" s="516"/>
      <c r="Q107" s="516"/>
      <c r="R107" s="516"/>
      <c r="S107" s="516"/>
    </row>
    <row r="108" spans="1:19" s="507" customFormat="1" ht="18">
      <c r="A108" s="50"/>
      <c r="B108" s="1014"/>
      <c r="C108" s="1015" t="s">
        <v>690</v>
      </c>
      <c r="D108" s="1013" t="s">
        <v>157</v>
      </c>
      <c r="E108" s="943">
        <f>'BKe TT'!AP247</f>
        <v>5</v>
      </c>
      <c r="F108" s="1017"/>
      <c r="G108" s="943">
        <v>32000</v>
      </c>
      <c r="H108" s="1016"/>
      <c r="I108" s="1018"/>
      <c r="J108" s="875">
        <f t="shared" si="36"/>
        <v>0</v>
      </c>
      <c r="K108" s="869">
        <f t="shared" si="37"/>
        <v>160000</v>
      </c>
      <c r="L108" s="869"/>
      <c r="M108" s="869"/>
      <c r="N108" s="767"/>
      <c r="O108" s="767"/>
      <c r="P108" s="516"/>
      <c r="Q108" s="516"/>
      <c r="R108" s="516"/>
      <c r="S108" s="516"/>
    </row>
    <row r="109" spans="1:19" s="507" customFormat="1" ht="18">
      <c r="A109" s="1019"/>
      <c r="B109" s="1014"/>
      <c r="C109" s="1015" t="s">
        <v>749</v>
      </c>
      <c r="D109" s="1013" t="s">
        <v>166</v>
      </c>
      <c r="E109" s="943">
        <f>'BKe TT'!AQ247</f>
        <v>6</v>
      </c>
      <c r="F109" s="1017"/>
      <c r="G109" s="943">
        <v>45000</v>
      </c>
      <c r="H109" s="1016"/>
      <c r="I109" s="1018"/>
      <c r="J109" s="875">
        <f t="shared" ref="J109" si="38">ROUND((E109*F109),0)</f>
        <v>0</v>
      </c>
      <c r="K109" s="869">
        <f t="shared" ref="K109:K110" si="39">ROUND((E109*G109),0)</f>
        <v>270000</v>
      </c>
      <c r="L109" s="869"/>
      <c r="M109" s="869"/>
      <c r="N109" s="767"/>
      <c r="O109" s="767"/>
      <c r="P109" s="516"/>
      <c r="Q109" s="516"/>
      <c r="R109" s="516"/>
      <c r="S109" s="516"/>
    </row>
    <row r="110" spans="1:19" s="507" customFormat="1" ht="18">
      <c r="A110" s="1019"/>
      <c r="B110" s="1014"/>
      <c r="C110" s="1015" t="s">
        <v>900</v>
      </c>
      <c r="D110" s="1013" t="s">
        <v>166</v>
      </c>
      <c r="E110" s="943">
        <f>'BKe TT'!AR247</f>
        <v>4</v>
      </c>
      <c r="F110" s="1017"/>
      <c r="G110" s="943">
        <v>65000</v>
      </c>
      <c r="H110" s="1016"/>
      <c r="I110" s="1018"/>
      <c r="J110" s="875"/>
      <c r="K110" s="869">
        <f t="shared" si="39"/>
        <v>260000</v>
      </c>
      <c r="L110" s="869"/>
      <c r="M110" s="869"/>
      <c r="N110" s="767"/>
      <c r="O110" s="767"/>
      <c r="P110" s="516"/>
      <c r="Q110" s="516"/>
      <c r="R110" s="516"/>
      <c r="S110" s="516"/>
    </row>
    <row r="111" spans="1:19" s="507" customFormat="1" ht="18">
      <c r="A111" s="1019"/>
      <c r="B111" s="1014"/>
      <c r="C111" s="1015" t="s">
        <v>898</v>
      </c>
      <c r="D111" s="920" t="s">
        <v>157</v>
      </c>
      <c r="E111" s="1257">
        <f>'BKe TT'!AX247</f>
        <v>106</v>
      </c>
      <c r="F111" s="921"/>
      <c r="G111" s="943">
        <v>135000</v>
      </c>
      <c r="H111" s="1016"/>
      <c r="I111" s="1018"/>
      <c r="J111" s="875">
        <f t="shared" ref="J111" si="40">ROUND((E111*F111),0)</f>
        <v>0</v>
      </c>
      <c r="K111" s="869">
        <f t="shared" ref="K111" si="41">ROUND((E111*G111),0)</f>
        <v>14310000</v>
      </c>
      <c r="L111" s="869"/>
      <c r="M111" s="869"/>
      <c r="N111" s="767"/>
      <c r="O111" s="767"/>
      <c r="P111" s="516"/>
      <c r="Q111" s="516"/>
      <c r="R111" s="516"/>
      <c r="S111" s="516"/>
    </row>
    <row r="112" spans="1:19" s="507" customFormat="1" ht="18">
      <c r="A112" s="1019"/>
      <c r="B112" s="1014"/>
      <c r="C112" s="1015" t="s">
        <v>899</v>
      </c>
      <c r="D112" s="1013" t="s">
        <v>157</v>
      </c>
      <c r="E112" s="1258">
        <f>'BKe TT'!AY247</f>
        <v>172</v>
      </c>
      <c r="F112" s="1017"/>
      <c r="G112" s="943">
        <v>132000</v>
      </c>
      <c r="H112" s="1016"/>
      <c r="I112" s="1018"/>
      <c r="J112" s="875">
        <f t="shared" ref="J112" si="42">ROUND((E112*F112),0)</f>
        <v>0</v>
      </c>
      <c r="K112" s="869">
        <f t="shared" ref="K112" si="43">ROUND((E112*G112),0)</f>
        <v>22704000</v>
      </c>
      <c r="L112" s="869"/>
      <c r="M112" s="869"/>
      <c r="N112" s="767"/>
      <c r="O112" s="767"/>
      <c r="P112" s="516"/>
      <c r="Q112" s="516"/>
      <c r="R112" s="516"/>
      <c r="S112" s="516"/>
    </row>
    <row r="113" spans="1:19" s="513" customFormat="1" ht="20.399999999999999">
      <c r="A113" s="512"/>
      <c r="B113" s="886"/>
      <c r="C113" s="887" t="s">
        <v>704</v>
      </c>
      <c r="D113" s="886" t="s">
        <v>506</v>
      </c>
      <c r="E113" s="1021">
        <f>'BKe TT'!AT247</f>
        <v>1</v>
      </c>
      <c r="F113" s="889"/>
      <c r="G113" s="1262">
        <v>47500</v>
      </c>
      <c r="H113" s="868"/>
      <c r="I113" s="868"/>
      <c r="J113" s="875">
        <f t="shared" si="34"/>
        <v>0</v>
      </c>
      <c r="K113" s="869">
        <f t="shared" si="35"/>
        <v>47500</v>
      </c>
      <c r="L113" s="869">
        <f t="shared" ref="L113:L118" si="44">ROUND((E113*H113),0)</f>
        <v>0</v>
      </c>
      <c r="M113" s="869">
        <f t="shared" ref="M113:M118" si="45">ROUND((E113*I113),0)</f>
        <v>0</v>
      </c>
      <c r="N113" s="767" t="e">
        <f>#REF!/1000</f>
        <v>#REF!</v>
      </c>
      <c r="O113" s="767"/>
    </row>
    <row r="114" spans="1:19" s="513" customFormat="1" ht="20.399999999999999">
      <c r="A114" s="512"/>
      <c r="B114" s="886"/>
      <c r="C114" s="887" t="s">
        <v>901</v>
      </c>
      <c r="D114" s="886" t="s">
        <v>506</v>
      </c>
      <c r="E114" s="941">
        <f>'BKe TT'!AS247+11.5</f>
        <v>41</v>
      </c>
      <c r="F114" s="889"/>
      <c r="G114" s="1262">
        <v>32000</v>
      </c>
      <c r="H114" s="868"/>
      <c r="I114" s="868"/>
      <c r="J114" s="875">
        <f t="shared" si="34"/>
        <v>0</v>
      </c>
      <c r="K114" s="869">
        <f t="shared" si="35"/>
        <v>1312000</v>
      </c>
      <c r="L114" s="869">
        <f t="shared" si="44"/>
        <v>0</v>
      </c>
      <c r="M114" s="869">
        <f t="shared" si="45"/>
        <v>0</v>
      </c>
      <c r="N114" s="767"/>
      <c r="O114" s="767"/>
    </row>
    <row r="115" spans="1:19" s="16" customFormat="1" ht="36">
      <c r="A115" s="512"/>
      <c r="B115" s="886"/>
      <c r="C115" s="887" t="s">
        <v>671</v>
      </c>
      <c r="D115" s="920" t="s">
        <v>169</v>
      </c>
      <c r="E115" s="1326">
        <f>E114</f>
        <v>41</v>
      </c>
      <c r="F115" s="921"/>
      <c r="G115" s="1262">
        <v>130000</v>
      </c>
      <c r="H115" s="868"/>
      <c r="I115" s="868"/>
      <c r="J115" s="875">
        <f t="shared" si="34"/>
        <v>0</v>
      </c>
      <c r="K115" s="869">
        <f t="shared" si="35"/>
        <v>5330000</v>
      </c>
      <c r="L115" s="869">
        <f t="shared" si="44"/>
        <v>0</v>
      </c>
      <c r="M115" s="869">
        <f t="shared" si="45"/>
        <v>0</v>
      </c>
      <c r="N115" s="767"/>
      <c r="O115" s="767"/>
      <c r="P115" s="513"/>
      <c r="Q115" s="513"/>
      <c r="R115" s="513"/>
      <c r="S115" s="513"/>
    </row>
    <row r="116" spans="1:19" s="16" customFormat="1" ht="18">
      <c r="A116" s="512"/>
      <c r="B116" s="886"/>
      <c r="C116" s="887" t="s">
        <v>762</v>
      </c>
      <c r="D116" s="920" t="s">
        <v>77</v>
      </c>
      <c r="E116" s="1278">
        <f>ROUND(('BKe TT'!AB247*0.167*1.2)/7,0)</f>
        <v>1</v>
      </c>
      <c r="F116" s="1262">
        <v>83200</v>
      </c>
      <c r="G116" s="868"/>
      <c r="H116" s="868"/>
      <c r="I116" s="868"/>
      <c r="J116" s="875">
        <f t="shared" si="34"/>
        <v>83200</v>
      </c>
      <c r="K116" s="869">
        <f>ROUND((E116*G116),0)</f>
        <v>0</v>
      </c>
      <c r="L116" s="869">
        <f t="shared" si="44"/>
        <v>0</v>
      </c>
      <c r="M116" s="869">
        <f t="shared" si="45"/>
        <v>0</v>
      </c>
      <c r="N116" s="767"/>
      <c r="O116" s="767"/>
      <c r="P116" s="513"/>
      <c r="Q116" s="513"/>
      <c r="R116" s="513"/>
      <c r="S116" s="513"/>
    </row>
    <row r="117" spans="1:19" s="16" customFormat="1" ht="18">
      <c r="A117" s="512"/>
      <c r="B117" s="904"/>
      <c r="C117" s="922" t="s">
        <v>104</v>
      </c>
      <c r="D117" s="886" t="s">
        <v>77</v>
      </c>
      <c r="E117" s="888">
        <f>ROUND((('BKe TT'!M247+'BKe TT'!N247)/20),1)</f>
        <v>1</v>
      </c>
      <c r="F117" s="889"/>
      <c r="G117" s="1262">
        <v>76278</v>
      </c>
      <c r="H117" s="868"/>
      <c r="I117" s="868"/>
      <c r="J117" s="875">
        <f t="shared" ref="J117:J118" si="46">ROUND((E117*F117),0)</f>
        <v>0</v>
      </c>
      <c r="K117" s="869">
        <f t="shared" ref="K117:K118" si="47">ROUND((E117*G117),0)</f>
        <v>76278</v>
      </c>
      <c r="L117" s="869">
        <f t="shared" si="44"/>
        <v>0</v>
      </c>
      <c r="M117" s="869">
        <f t="shared" si="45"/>
        <v>0</v>
      </c>
      <c r="N117" s="767"/>
      <c r="O117" s="767"/>
      <c r="P117" s="513"/>
      <c r="Q117" s="513"/>
      <c r="R117" s="513"/>
      <c r="S117" s="513"/>
    </row>
    <row r="118" spans="1:19" s="16" customFormat="1" ht="18">
      <c r="A118" s="512"/>
      <c r="B118" s="904"/>
      <c r="C118" s="922" t="s">
        <v>103</v>
      </c>
      <c r="D118" s="886" t="s">
        <v>102</v>
      </c>
      <c r="E118" s="888">
        <f>ROUND((('BKe TT'!M247+'BKe TT'!N247)/15),0)</f>
        <v>1</v>
      </c>
      <c r="F118" s="889"/>
      <c r="G118" s="1262">
        <v>42000</v>
      </c>
      <c r="H118" s="868"/>
      <c r="I118" s="868"/>
      <c r="J118" s="875">
        <f t="shared" si="46"/>
        <v>0</v>
      </c>
      <c r="K118" s="869">
        <f t="shared" si="47"/>
        <v>42000</v>
      </c>
      <c r="L118" s="869">
        <f t="shared" si="44"/>
        <v>0</v>
      </c>
      <c r="M118" s="869">
        <f t="shared" si="45"/>
        <v>0</v>
      </c>
      <c r="N118" s="767"/>
      <c r="O118" s="767"/>
      <c r="P118" s="513"/>
      <c r="Q118" s="513"/>
      <c r="R118" s="513"/>
      <c r="S118" s="513"/>
    </row>
    <row r="119" spans="1:19" s="283" customFormat="1" ht="18">
      <c r="A119" s="85"/>
      <c r="B119" s="1230" t="s">
        <v>821</v>
      </c>
      <c r="C119" s="1166"/>
      <c r="D119" s="1165"/>
      <c r="E119" s="862"/>
      <c r="F119" s="862"/>
      <c r="G119" s="866"/>
      <c r="H119" s="1167"/>
      <c r="I119" s="864"/>
      <c r="J119" s="1282">
        <f>SUM(J12:J118)</f>
        <v>998247250</v>
      </c>
      <c r="K119" s="1282">
        <f>SUM(K12:K118)</f>
        <v>204547378</v>
      </c>
      <c r="L119" s="880"/>
      <c r="M119" s="880"/>
      <c r="N119" s="767"/>
      <c r="O119" s="767"/>
      <c r="P119" s="85"/>
      <c r="Q119" s="85"/>
      <c r="R119" s="85"/>
      <c r="S119" s="85"/>
    </row>
    <row r="120" spans="1:19" s="508" customFormat="1" ht="17.399999999999999" hidden="1">
      <c r="A120" s="712"/>
      <c r="B120" s="923"/>
      <c r="C120" s="924" t="s">
        <v>608</v>
      </c>
      <c r="D120" s="923"/>
      <c r="E120" s="925"/>
      <c r="F120" s="925"/>
      <c r="G120" s="925"/>
      <c r="H120" s="925"/>
      <c r="I120" s="925"/>
      <c r="J120" s="1282">
        <f>SUM(J12:J118)</f>
        <v>998247250</v>
      </c>
      <c r="K120" s="1282">
        <f>SUM(K12:K118)</f>
        <v>204547378</v>
      </c>
      <c r="L120" s="896"/>
      <c r="M120" s="896">
        <f>SUM(M9:M118)</f>
        <v>0</v>
      </c>
      <c r="N120" s="982">
        <v>789678171</v>
      </c>
      <c r="O120" s="982">
        <v>204611600</v>
      </c>
      <c r="P120" s="713"/>
      <c r="Q120" s="713"/>
      <c r="R120" s="713"/>
      <c r="S120" s="713"/>
    </row>
    <row r="121" spans="1:19" s="97" customFormat="1" ht="15">
      <c r="C121" s="509"/>
      <c r="D121" s="510"/>
      <c r="E121" s="515"/>
      <c r="F121" s="515"/>
      <c r="G121" s="511"/>
      <c r="H121" s="511"/>
      <c r="I121" s="511"/>
      <c r="J121" s="511"/>
    </row>
    <row r="122" spans="1:19" ht="15.6">
      <c r="C122" s="1041"/>
      <c r="K122" s="1040">
        <f>J120+K120</f>
        <v>1202794628</v>
      </c>
      <c r="N122" s="1034">
        <f>O120-K120</f>
        <v>64222</v>
      </c>
    </row>
    <row r="123" spans="1:19">
      <c r="C123" s="1041"/>
    </row>
    <row r="124" spans="1:19">
      <c r="C124" s="1041"/>
    </row>
    <row r="127" spans="1:19">
      <c r="C127" s="129"/>
    </row>
  </sheetData>
  <mergeCells count="9">
    <mergeCell ref="J5:M5"/>
    <mergeCell ref="B1:M1"/>
    <mergeCell ref="C5:C6"/>
    <mergeCell ref="B5:B6"/>
    <mergeCell ref="B3:M3"/>
    <mergeCell ref="E5:E6"/>
    <mergeCell ref="D5:D6"/>
    <mergeCell ref="F5:I5"/>
    <mergeCell ref="B2:M2"/>
  </mergeCells>
  <phoneticPr fontId="0" type="noConversion"/>
  <printOptions horizontalCentered="1"/>
  <pageMargins left="0.31496062992125984" right="0.27559055118110237" top="0.43307086614173229" bottom="0.31496062992125984" header="0.19685039370078741" footer="0.23622047244094491"/>
  <pageSetup paperSize="9" scale="64" fitToHeight="0" orientation="landscape" blackAndWhite="1" useFirstPageNumber="1" r:id="rId1"/>
  <headerFooter alignWithMargins="0">
    <oddFooter>Page &amp;P</oddFooter>
  </headerFooter>
  <rowBreaks count="2" manualBreakCount="2">
    <brk id="45" min="1" max="12" man="1"/>
    <brk id="85" min="1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32"/>
  <sheetViews>
    <sheetView showGridLines="0" showZeros="0" view="pageBreakPreview" zoomScale="78" zoomScaleNormal="85" zoomScaleSheetLayoutView="78" workbookViewId="0">
      <pane xSplit="3" ySplit="7" topLeftCell="D8" activePane="bottomRight" state="frozen"/>
      <selection pane="topRight" activeCell="D1" sqref="D1"/>
      <selection pane="bottomLeft" activeCell="A5" sqref="A5"/>
      <selection pane="bottomRight" activeCell="E16" sqref="E16"/>
    </sheetView>
  </sheetViews>
  <sheetFormatPr defaultColWidth="9.109375" defaultRowHeight="13.2"/>
  <cols>
    <col min="1" max="1" width="7.88671875" style="544" customWidth="1"/>
    <col min="2" max="2" width="15.6640625" style="544" bestFit="1" customWidth="1"/>
    <col min="3" max="3" width="65" style="544" customWidth="1"/>
    <col min="4" max="4" width="9.44140625" style="544" bestFit="1" customWidth="1"/>
    <col min="5" max="5" width="9.44140625" style="544" customWidth="1"/>
    <col min="6" max="6" width="16.33203125" style="550" customWidth="1"/>
    <col min="7" max="7" width="21.6640625" style="544" customWidth="1"/>
    <col min="8" max="8" width="13.109375" style="5" bestFit="1" customWidth="1"/>
    <col min="9" max="9" width="10.6640625" style="79" customWidth="1"/>
    <col min="10" max="10" width="7.88671875" style="80" customWidth="1"/>
    <col min="11" max="11" width="12" style="12" customWidth="1"/>
    <col min="12" max="12" width="11.109375" style="12" customWidth="1"/>
    <col min="13" max="13" width="14.6640625" style="12" customWidth="1"/>
    <col min="14" max="14" width="4.6640625" style="5" customWidth="1"/>
    <col min="15" max="15" width="12.44140625" style="5" customWidth="1"/>
    <col min="16" max="16" width="9.109375" style="5"/>
    <col min="17" max="17" width="14.6640625" style="5" bestFit="1" customWidth="1"/>
    <col min="18" max="18" width="12" style="5" bestFit="1" customWidth="1"/>
    <col min="19" max="19" width="14.6640625" style="5" bestFit="1" customWidth="1"/>
    <col min="20" max="16384" width="9.109375" style="5"/>
  </cols>
  <sheetData>
    <row r="2" spans="1:15" ht="17.399999999999999">
      <c r="A2" s="1443" t="s">
        <v>647</v>
      </c>
      <c r="B2" s="1443"/>
      <c r="C2" s="1443"/>
      <c r="D2" s="1443"/>
      <c r="E2" s="1443"/>
      <c r="F2" s="1443"/>
      <c r="G2" s="1443"/>
      <c r="H2" s="524"/>
      <c r="I2" s="524"/>
      <c r="J2" s="524"/>
      <c r="K2" s="84"/>
      <c r="L2" s="84"/>
      <c r="M2" s="84"/>
      <c r="N2" s="11"/>
      <c r="O2" s="81"/>
    </row>
    <row r="3" spans="1:15" ht="17.399999999999999">
      <c r="A3" s="1444" t="str">
        <f>BIA!A11</f>
        <v>Tên công trình: Sửa chữa đường dây trung thế huyện Cẩm Mỹ năm 2020.</v>
      </c>
      <c r="B3" s="1444"/>
      <c r="C3" s="1444"/>
      <c r="D3" s="1444"/>
      <c r="E3" s="1444"/>
      <c r="F3" s="1444"/>
      <c r="G3" s="1444"/>
      <c r="H3" s="762"/>
      <c r="I3" s="762"/>
      <c r="J3" s="762"/>
      <c r="K3" s="763"/>
      <c r="L3" s="763"/>
      <c r="M3" s="763"/>
      <c r="N3" s="11"/>
      <c r="O3" s="81"/>
    </row>
    <row r="4" spans="1:15" ht="17.399999999999999" hidden="1">
      <c r="A4" s="1443" t="str">
        <f>BIA!A14</f>
        <v>Mã số tài sản: 1.37013000.0001217; 1.37013000.0001215; 1.37013000.0001216.</v>
      </c>
      <c r="B4" s="1443"/>
      <c r="C4" s="1443"/>
      <c r="D4" s="1443"/>
      <c r="E4" s="1443"/>
      <c r="F4" s="1443"/>
      <c r="G4" s="1443"/>
      <c r="H4" s="762"/>
      <c r="I4" s="762"/>
      <c r="J4" s="762"/>
      <c r="K4" s="763"/>
      <c r="L4" s="763"/>
      <c r="M4" s="763"/>
      <c r="N4" s="11"/>
      <c r="O4" s="81"/>
    </row>
    <row r="5" spans="1:15" ht="17.399999999999999">
      <c r="A5" s="709"/>
      <c r="B5" s="709"/>
      <c r="C5" s="709"/>
      <c r="D5" s="709"/>
      <c r="E5" s="709"/>
      <c r="F5" s="709"/>
      <c r="G5" s="709"/>
      <c r="H5" s="762"/>
      <c r="I5" s="762"/>
      <c r="J5" s="762"/>
      <c r="K5" s="763"/>
      <c r="L5" s="763"/>
      <c r="M5" s="763"/>
      <c r="N5" s="11"/>
      <c r="O5" s="81"/>
    </row>
    <row r="6" spans="1:15" s="82" customFormat="1" ht="31.2">
      <c r="A6" s="518" t="s">
        <v>32</v>
      </c>
      <c r="B6" s="518" t="s">
        <v>12</v>
      </c>
      <c r="C6" s="518" t="s">
        <v>13</v>
      </c>
      <c r="D6" s="518" t="s">
        <v>14</v>
      </c>
      <c r="E6" s="519" t="s">
        <v>17</v>
      </c>
      <c r="F6" s="519" t="s">
        <v>18</v>
      </c>
      <c r="G6" s="520" t="s">
        <v>19</v>
      </c>
      <c r="H6" s="525"/>
      <c r="I6" s="526"/>
      <c r="J6" s="526" t="s">
        <v>66</v>
      </c>
    </row>
    <row r="7" spans="1:15" s="83" customFormat="1" ht="16.2">
      <c r="A7" s="521" t="s">
        <v>21</v>
      </c>
      <c r="B7" s="521" t="s">
        <v>22</v>
      </c>
      <c r="C7" s="521" t="s">
        <v>23</v>
      </c>
      <c r="D7" s="521" t="s">
        <v>24</v>
      </c>
      <c r="E7" s="521" t="s">
        <v>25</v>
      </c>
      <c r="F7" s="521" t="s">
        <v>26</v>
      </c>
      <c r="G7" s="521" t="s">
        <v>636</v>
      </c>
      <c r="H7" s="527"/>
      <c r="I7" s="528"/>
      <c r="J7" s="528"/>
    </row>
    <row r="8" spans="1:15" s="965" customFormat="1" ht="31.2">
      <c r="A8" s="968">
        <v>1</v>
      </c>
      <c r="B8" s="963" t="str">
        <f>'5. ĐG NC'!B9</f>
        <v>AB.1142(3)</v>
      </c>
      <c r="C8" s="991" t="str">
        <f>'5. ĐG NC'!C9</f>
        <v>Đào đất cấp III : 0,226m3/móng M12; 0,25m3/móng neo xuống; 0,25m3/móng neo lệch.</v>
      </c>
      <c r="D8" s="969" t="s">
        <v>67</v>
      </c>
      <c r="E8" s="1285">
        <f>ROUND((0.226*'BKe TT'!O247+0.25*'BKe TT'!S247+0.25*'BKe TT'!T247),1)</f>
        <v>5.5</v>
      </c>
      <c r="F8" s="1290">
        <f>'5. ĐG NC'!I9</f>
        <v>388798</v>
      </c>
      <c r="G8" s="964">
        <f>ROUND((E8*F8),0)</f>
        <v>2138389</v>
      </c>
      <c r="H8" s="974">
        <f>0.226*'BKe TT'!O247+'BKe TT'!S247*0.25+0.25*'BKe TT'!T247</f>
        <v>5.5440000000000005</v>
      </c>
      <c r="I8" s="973">
        <f>ROUND(0.226*'BKe TT'!O247+0.25*'BKe TT'!S247+0.25*'BKe TT'!T247,1)</f>
        <v>5.5</v>
      </c>
      <c r="J8" s="1027">
        <f t="shared" ref="J8:J11" si="0">IF(I8=E8,1,0)</f>
        <v>1</v>
      </c>
      <c r="K8" s="965">
        <f>0.226*I8+0.25*J8</f>
        <v>1.4930000000000001</v>
      </c>
    </row>
    <row r="9" spans="1:15" s="965" customFormat="1" ht="31.2">
      <c r="A9" s="968">
        <f>A8+1</f>
        <v>2</v>
      </c>
      <c r="B9" s="963" t="str">
        <f>'5. ĐG NC'!B10</f>
        <v>AB.1311(2)</v>
      </c>
      <c r="C9" s="991" t="str">
        <f>'5. ĐG NC'!C10</f>
        <v>Đắp đất k=0,9 : 0,18m3/móng M12; 0,25m3/móng neo xuống; 0,25m3/móng neo lệch.</v>
      </c>
      <c r="D9" s="969" t="s">
        <v>67</v>
      </c>
      <c r="E9" s="1285">
        <f>ROUND((0.18*'BKe TT'!O247+0.25*'BKe TT'!S247+0.25*'BKe TT'!T247),1)</f>
        <v>4.7</v>
      </c>
      <c r="F9" s="1290">
        <f>'5. ĐG NC'!I10</f>
        <v>111323</v>
      </c>
      <c r="G9" s="964">
        <f t="shared" ref="G9:G25" si="1">ROUND((E9*F9),0)</f>
        <v>523218</v>
      </c>
      <c r="H9" s="974">
        <f>0.18*'BKe TT'!O247+'BKe TT'!S247*0.25+'BKe TT'!T247*0.25</f>
        <v>4.67</v>
      </c>
      <c r="I9" s="973">
        <f>ROUND(0.18*'BKe TT'!O247+0.25*'BKe TT'!S247+0.25*'BKe TT'!T247,1)</f>
        <v>4.7</v>
      </c>
      <c r="J9" s="1027">
        <f t="shared" si="0"/>
        <v>1</v>
      </c>
      <c r="K9" s="965">
        <f>0.18*I8+0.25*J8</f>
        <v>1.24</v>
      </c>
    </row>
    <row r="10" spans="1:15" s="76" customFormat="1" ht="15.6">
      <c r="A10" s="529">
        <f>A9+1</f>
        <v>3</v>
      </c>
      <c r="B10" s="988" t="str">
        <f>'5. ĐG NC'!B13</f>
        <v>D2.810</v>
      </c>
      <c r="C10" s="522" t="str">
        <f>'5. ĐG NC'!C13</f>
        <v>Đóng trực tiếp cọc tiếp địa xuống đất</v>
      </c>
      <c r="D10" s="50" t="str">
        <f>'5. ĐG NC'!D13</f>
        <v>cọc</v>
      </c>
      <c r="E10" s="1284">
        <f>'BKe TT'!U247</f>
        <v>33</v>
      </c>
      <c r="F10" s="1291">
        <f>'5. ĐG NC'!I13</f>
        <v>67654</v>
      </c>
      <c r="G10" s="533">
        <f t="shared" si="1"/>
        <v>2232582</v>
      </c>
      <c r="H10" s="534"/>
      <c r="I10" s="538">
        <f>'BKe TT'!U247</f>
        <v>33</v>
      </c>
      <c r="J10" s="1027">
        <f t="shared" si="0"/>
        <v>1</v>
      </c>
    </row>
    <row r="11" spans="1:15" s="523" customFormat="1" ht="15.6">
      <c r="A11" s="529">
        <f t="shared" ref="A11:A20" si="2">A10+1</f>
        <v>4</v>
      </c>
      <c r="B11" s="989" t="str">
        <f>'5. ĐG NC'!B15</f>
        <v>04.02.30(2)</v>
      </c>
      <c r="C11" s="51" t="str">
        <f>'5. ĐG NC'!C15</f>
        <v>Thay trụ ≤12m : bằng cẩu + thủ công</v>
      </c>
      <c r="D11" s="50" t="str">
        <f>'5. ĐG NC'!D15</f>
        <v>trụ</v>
      </c>
      <c r="E11" s="1287">
        <f>'BKe TT'!M247</f>
        <v>19</v>
      </c>
      <c r="F11" s="1291">
        <f>'5. ĐG NC'!I15</f>
        <v>405228</v>
      </c>
      <c r="G11" s="533">
        <f t="shared" si="1"/>
        <v>7699332</v>
      </c>
      <c r="H11" s="534"/>
      <c r="I11" s="537">
        <f>'BKe TT'!M247</f>
        <v>19</v>
      </c>
      <c r="J11" s="1027">
        <f t="shared" si="0"/>
        <v>1</v>
      </c>
    </row>
    <row r="12" spans="1:15" s="523" customFormat="1" ht="15.6">
      <c r="A12" s="529">
        <f t="shared" si="2"/>
        <v>5</v>
      </c>
      <c r="B12" s="989" t="str">
        <f>'5. ĐG NC'!B16</f>
        <v>03.09.25(1)</v>
      </c>
      <c r="C12" s="51" t="str">
        <f>'5. ĐG NC'!C16</f>
        <v>Tháo bộ dây chằng</v>
      </c>
      <c r="D12" s="50" t="str">
        <f>'5. ĐG NC'!D16</f>
        <v>bộ</v>
      </c>
      <c r="E12" s="1287">
        <f>'BKe TT'!BG247+'BKe TT'!BH247+'BKe TT'!BI247</f>
        <v>141</v>
      </c>
      <c r="F12" s="1291">
        <f>'5. ĐG NC'!I16</f>
        <v>75984</v>
      </c>
      <c r="G12" s="533">
        <f t="shared" si="1"/>
        <v>10713744</v>
      </c>
      <c r="H12" s="534"/>
      <c r="I12" s="537">
        <f>'BKe TT'!BG247+'BKe TT'!BH247+'BKe TT'!BI247</f>
        <v>141</v>
      </c>
      <c r="J12" s="1027">
        <f>IF(I12=E12,1,0)</f>
        <v>1</v>
      </c>
    </row>
    <row r="13" spans="1:15" s="523" customFormat="1" ht="15.6">
      <c r="A13" s="529">
        <f t="shared" si="2"/>
        <v>6</v>
      </c>
      <c r="B13" s="989" t="str">
        <f>'5. ĐG NC'!B17</f>
        <v>03.09.25(1)</v>
      </c>
      <c r="C13" s="51" t="str">
        <f>'5. ĐG NC'!C17</f>
        <v>Lắp bộ dây chằng</v>
      </c>
      <c r="D13" s="50" t="str">
        <f>'5. ĐG NC'!D17</f>
        <v>bộ</v>
      </c>
      <c r="E13" s="1287">
        <f>'BKe TT'!P247+'BKe TT'!Q247+'BKe TT'!R247</f>
        <v>146</v>
      </c>
      <c r="F13" s="1291">
        <f>'5. ĐG NC'!I17</f>
        <v>92869</v>
      </c>
      <c r="G13" s="533">
        <f t="shared" si="1"/>
        <v>13558874</v>
      </c>
      <c r="H13" s="534"/>
      <c r="I13" s="537">
        <f>'BKe TT'!P247+'BKe TT'!Q247+'BKe TT'!R247</f>
        <v>146</v>
      </c>
      <c r="J13" s="1027">
        <f t="shared" ref="J13:J25" si="3">IF(I13=E13,1,0)</f>
        <v>1</v>
      </c>
    </row>
    <row r="14" spans="1:15" s="852" customFormat="1" ht="15.6">
      <c r="A14" s="529">
        <f t="shared" si="2"/>
        <v>7</v>
      </c>
      <c r="B14" s="989" t="str">
        <f>'5. ĐG NC'!B18</f>
        <v>D2.6021</v>
      </c>
      <c r="C14" s="51" t="str">
        <f>'5. ĐG NC'!C18</f>
        <v>Lắp xà thép U160x64x5 - 2200mm đơn (35,9kg)</v>
      </c>
      <c r="D14" s="50" t="str">
        <f>'5. ĐG NC'!D18</f>
        <v>bộ</v>
      </c>
      <c r="E14" s="1287">
        <f>'BKe TT'!V247</f>
        <v>52</v>
      </c>
      <c r="F14" s="1291">
        <f>'5. ĐG NC'!I18</f>
        <v>306746</v>
      </c>
      <c r="G14" s="533">
        <f t="shared" ref="G14" si="4">ROUND((E14*F14),0)</f>
        <v>15950792</v>
      </c>
      <c r="H14" s="851"/>
      <c r="I14" s="1028"/>
      <c r="J14" s="1030">
        <f t="shared" si="3"/>
        <v>0</v>
      </c>
    </row>
    <row r="15" spans="1:15" s="523" customFormat="1" ht="15.6">
      <c r="A15" s="529">
        <f t="shared" si="2"/>
        <v>8</v>
      </c>
      <c r="B15" s="989" t="str">
        <f>'5. ĐG NC'!B19</f>
        <v>03.01.10(5)</v>
      </c>
      <c r="C15" s="51" t="str">
        <f>'5. ĐG NC'!C19</f>
        <v>Tháo sứ đứng 15-22kV</v>
      </c>
      <c r="D15" s="50" t="str">
        <f>'5. ĐG NC'!D19</f>
        <v>bộ</v>
      </c>
      <c r="E15" s="1287">
        <f>'BKe TT'!W247+'BKe TT'!BN247</f>
        <v>243</v>
      </c>
      <c r="F15" s="1291">
        <f>'5. ĐG NC'!I19</f>
        <v>35344</v>
      </c>
      <c r="G15" s="533">
        <f t="shared" si="1"/>
        <v>8588592</v>
      </c>
      <c r="H15" s="534"/>
      <c r="I15" s="537" t="e">
        <f>'BKe TT'!#REF!</f>
        <v>#REF!</v>
      </c>
      <c r="J15" s="1027" t="e">
        <f t="shared" si="3"/>
        <v>#REF!</v>
      </c>
    </row>
    <row r="16" spans="1:15" s="852" customFormat="1" ht="15.6">
      <c r="A16" s="529">
        <f t="shared" si="2"/>
        <v>9</v>
      </c>
      <c r="B16" s="989" t="str">
        <f>'5. ĐG NC'!B20</f>
        <v>03.01.10(5)</v>
      </c>
      <c r="C16" s="51" t="str">
        <f>'5. ĐG NC'!C20</f>
        <v>Lắp sứ đứng 15-22kV</v>
      </c>
      <c r="D16" s="50" t="str">
        <f>'5. ĐG NC'!D20</f>
        <v>bộ</v>
      </c>
      <c r="E16" s="1288">
        <f>'BKe TT'!W247+'BKe TT'!X247+'BKe TT'!Z247*2</f>
        <v>276</v>
      </c>
      <c r="F16" s="1291">
        <f>'5. ĐG NC'!I20</f>
        <v>43199</v>
      </c>
      <c r="G16" s="1029">
        <f t="shared" si="1"/>
        <v>11922924</v>
      </c>
      <c r="H16" s="851"/>
      <c r="I16" s="1028"/>
      <c r="J16" s="1030">
        <f t="shared" si="3"/>
        <v>0</v>
      </c>
    </row>
    <row r="17" spans="1:14" s="965" customFormat="1" ht="15.6">
      <c r="A17" s="529">
        <f t="shared" si="2"/>
        <v>10</v>
      </c>
      <c r="B17" s="989" t="str">
        <f>'5. ĐG NC'!B21</f>
        <v>03.07.10(1)</v>
      </c>
      <c r="C17" s="51" t="str">
        <f>'5. ĐG NC'!C21</f>
        <v>Tháo sứ treo polymer néo đơn</v>
      </c>
      <c r="D17" s="50" t="str">
        <f>'5. ĐG NC'!D21</f>
        <v>bộ</v>
      </c>
      <c r="E17" s="1287">
        <f>'BKe TT'!BO247+'BKe TT'!BP247+'BKe TT'!BR247</f>
        <v>67</v>
      </c>
      <c r="F17" s="1291">
        <f>'5. ĐG NC'!I21</f>
        <v>42589</v>
      </c>
      <c r="G17" s="533">
        <f t="shared" si="1"/>
        <v>2853463</v>
      </c>
      <c r="H17" s="974"/>
      <c r="I17" s="973" t="e">
        <f>'BKe TT'!#REF!</f>
        <v>#REF!</v>
      </c>
      <c r="J17" s="1027" t="e">
        <f t="shared" si="3"/>
        <v>#REF!</v>
      </c>
    </row>
    <row r="18" spans="1:14" s="1033" customFormat="1" ht="15.6">
      <c r="A18" s="529">
        <f t="shared" si="2"/>
        <v>11</v>
      </c>
      <c r="B18" s="989" t="str">
        <f>'5. ĐG NC'!B22</f>
        <v>03.10.41(1)</v>
      </c>
      <c r="C18" s="51" t="str">
        <f>'5. ĐG NC'!C22</f>
        <v>Lắp sứ treo polymer néo đơn</v>
      </c>
      <c r="D18" s="50" t="str">
        <f>'5. ĐG NC'!D22</f>
        <v>bộ</v>
      </c>
      <c r="E18" s="1288">
        <f>'BKe TT'!AD247+'BKe TT'!AE247</f>
        <v>74</v>
      </c>
      <c r="F18" s="1291">
        <f>'5. ĐG NC'!I22</f>
        <v>52053</v>
      </c>
      <c r="G18" s="1029">
        <f t="shared" si="1"/>
        <v>3851922</v>
      </c>
      <c r="H18" s="1031"/>
      <c r="I18" s="1032"/>
      <c r="J18" s="1030">
        <f t="shared" si="3"/>
        <v>0</v>
      </c>
    </row>
    <row r="19" spans="1:14" s="965" customFormat="1" ht="15.6">
      <c r="A19" s="529">
        <f t="shared" si="2"/>
        <v>12</v>
      </c>
      <c r="B19" s="989" t="str">
        <f>'5. ĐG NC'!B23</f>
        <v>03.09.26(1)</v>
      </c>
      <c r="C19" s="51" t="str">
        <f>'5. ĐG NC'!C23</f>
        <v>Tháo kẹp quai</v>
      </c>
      <c r="D19" s="50" t="str">
        <f>'5. ĐG NC'!D23</f>
        <v>bộ</v>
      </c>
      <c r="E19" s="1287">
        <f>'BKe TT'!BT247</f>
        <v>48</v>
      </c>
      <c r="F19" s="1291">
        <f>'5. ĐG NC'!I23</f>
        <v>42213</v>
      </c>
      <c r="G19" s="533">
        <f t="shared" si="1"/>
        <v>2026224</v>
      </c>
      <c r="H19" s="974"/>
      <c r="I19" s="973">
        <f>'BKe TT'!W247+'BKe TT'!BN247</f>
        <v>243</v>
      </c>
      <c r="J19" s="1027">
        <f t="shared" si="3"/>
        <v>0</v>
      </c>
    </row>
    <row r="20" spans="1:14" s="965" customFormat="1" ht="15.6">
      <c r="A20" s="529">
        <f t="shared" si="2"/>
        <v>13</v>
      </c>
      <c r="B20" s="989" t="str">
        <f>'5. ĐG NC'!B24</f>
        <v>03.09.26(1)</v>
      </c>
      <c r="C20" s="51" t="str">
        <f>'5. ĐG NC'!C24</f>
        <v>Lắp kẹp quai</v>
      </c>
      <c r="D20" s="50" t="str">
        <f>'5. ĐG NC'!D24</f>
        <v>bộ</v>
      </c>
      <c r="E20" s="1287">
        <f>'BKe TT'!AJ247+'BKe TT'!AM247</f>
        <v>35</v>
      </c>
      <c r="F20" s="1291">
        <f>'5. ĐG NC'!I24</f>
        <v>51594</v>
      </c>
      <c r="G20" s="533">
        <f t="shared" si="1"/>
        <v>1805790</v>
      </c>
      <c r="H20" s="974"/>
      <c r="I20" s="973" t="e">
        <f>'BKe TT'!W247+'BKe TT'!#REF!+'BKe TT'!X247+'BKe TT'!Z247</f>
        <v>#REF!</v>
      </c>
      <c r="J20" s="1027" t="e">
        <f t="shared" si="3"/>
        <v>#REF!</v>
      </c>
    </row>
    <row r="21" spans="1:14" s="965" customFormat="1" ht="15.6">
      <c r="A21" s="529">
        <f t="shared" ref="A21:A22" si="5">A20+1</f>
        <v>14</v>
      </c>
      <c r="B21" s="989" t="str">
        <f>'5. ĐG NC'!B25</f>
        <v>03.09.27(1)</v>
      </c>
      <c r="C21" s="51" t="str">
        <f>'5. ĐG NC'!C25</f>
        <v xml:space="preserve">Tháo kẹp dừng dây </v>
      </c>
      <c r="D21" s="50" t="str">
        <f>'5. ĐG NC'!D25</f>
        <v>bộ</v>
      </c>
      <c r="E21" s="1287">
        <f>'BKe TT'!BK247</f>
        <v>52</v>
      </c>
      <c r="F21" s="1291">
        <f>'5. ĐG NC'!I25</f>
        <v>18574</v>
      </c>
      <c r="G21" s="533">
        <f t="shared" si="1"/>
        <v>965848</v>
      </c>
      <c r="H21" s="974"/>
      <c r="I21" s="973"/>
      <c r="J21" s="1027"/>
    </row>
    <row r="22" spans="1:14" s="976" customFormat="1" ht="15.6">
      <c r="A22" s="529">
        <f t="shared" si="5"/>
        <v>15</v>
      </c>
      <c r="B22" s="989" t="str">
        <f>'5. ĐG NC'!B26</f>
        <v>03.09.27(1)</v>
      </c>
      <c r="C22" s="51" t="str">
        <f>'5. ĐG NC'!C26</f>
        <v>Lắp kẹp dừng dây</v>
      </c>
      <c r="D22" s="50" t="str">
        <f>'5. ĐG NC'!D26</f>
        <v>bộ</v>
      </c>
      <c r="E22" s="1287">
        <f>'BKe TT'!AC247</f>
        <v>74</v>
      </c>
      <c r="F22" s="1291">
        <f>'5. ĐG NC'!I26</f>
        <v>22701</v>
      </c>
      <c r="G22" s="533">
        <f t="shared" si="1"/>
        <v>1679874</v>
      </c>
      <c r="H22" s="974"/>
      <c r="I22" s="973">
        <f>'BKe TT'!BO247</f>
        <v>59</v>
      </c>
      <c r="J22" s="1027">
        <f t="shared" si="3"/>
        <v>0</v>
      </c>
    </row>
    <row r="23" spans="1:14" s="976" customFormat="1" ht="15.6">
      <c r="A23" s="529">
        <f t="shared" ref="A23:A25" si="6">A22+1</f>
        <v>16</v>
      </c>
      <c r="B23" s="989" t="str">
        <f>'5. ĐG NC'!B27</f>
        <v>05.02.10(1)</v>
      </c>
      <c r="C23" s="51" t="str">
        <f>'5. ĐG NC'!C27</f>
        <v>Kéo cáp nhôm lõi thép ACX50 thủ công + cơ giới  (&lt;10m)</v>
      </c>
      <c r="D23" s="50" t="str">
        <f>'5. ĐG NC'!D27</f>
        <v>km</v>
      </c>
      <c r="E23" s="1289">
        <f>ROUND('BKe TT'!L247/1000,3)</f>
        <v>11.923999999999999</v>
      </c>
      <c r="F23" s="1291">
        <f>'5. ĐG NC'!I27</f>
        <v>1372853</v>
      </c>
      <c r="G23" s="533">
        <f t="shared" ref="G23" si="7">ROUND((E23*F23),0)</f>
        <v>16369899</v>
      </c>
      <c r="H23" s="974"/>
      <c r="I23" s="975"/>
      <c r="J23" s="1027"/>
    </row>
    <row r="24" spans="1:14" s="976" customFormat="1" ht="15.6">
      <c r="A24" s="529">
        <f t="shared" si="6"/>
        <v>17</v>
      </c>
      <c r="B24" s="989" t="str">
        <f>'5. ĐG NC'!B28</f>
        <v>05.02.10(1)</v>
      </c>
      <c r="C24" s="51" t="str">
        <f>'5. ĐG NC'!C28</f>
        <v>Kéo cáp nhôm lõi thép AC50 thủ công + cơ giới ( &lt;10m)</v>
      </c>
      <c r="D24" s="50" t="str">
        <f>'5. ĐG NC'!D28</f>
        <v>km</v>
      </c>
      <c r="E24" s="1289">
        <f>ROUND('BKe TT'!K247/1000,3)</f>
        <v>1.796</v>
      </c>
      <c r="F24" s="1291">
        <f>'5. ĐG NC'!I28</f>
        <v>1372853</v>
      </c>
      <c r="G24" s="533">
        <f t="shared" si="1"/>
        <v>2465644</v>
      </c>
      <c r="H24" s="974"/>
      <c r="I24" s="975" t="e">
        <f>ROUND('BKe TT'!#REF!/1000,3)</f>
        <v>#REF!</v>
      </c>
      <c r="J24" s="1027" t="e">
        <f t="shared" si="3"/>
        <v>#REF!</v>
      </c>
    </row>
    <row r="25" spans="1:14" s="976" customFormat="1" ht="15.6">
      <c r="A25" s="529">
        <f t="shared" si="6"/>
        <v>18</v>
      </c>
      <c r="B25" s="989" t="str">
        <f>'5. ĐG NC'!B29</f>
        <v>05.02.10(1)</v>
      </c>
      <c r="C25" s="51" t="str">
        <f>'5. ĐG NC'!C29</f>
        <v>Tháo cáp nhôm lõi thép AC50 thủ công + cơ giới (lắp lại)</v>
      </c>
      <c r="D25" s="50" t="str">
        <f>'5. ĐG NC'!D29</f>
        <v>km</v>
      </c>
      <c r="E25" s="1289">
        <f>ROUND('BKe TT'!J247/1000,3)</f>
        <v>11.923999999999999</v>
      </c>
      <c r="F25" s="1291">
        <f>'5. ĐG NC'!I29</f>
        <v>1031863</v>
      </c>
      <c r="G25" s="533">
        <f t="shared" si="1"/>
        <v>12303934</v>
      </c>
      <c r="H25" s="974"/>
      <c r="I25" s="975">
        <f>ROUND('BKe TT'!J247/1000,3)</f>
        <v>11.923999999999999</v>
      </c>
      <c r="J25" s="1027">
        <f t="shared" si="3"/>
        <v>1</v>
      </c>
    </row>
    <row r="26" spans="1:14" s="77" customFormat="1" ht="15.6">
      <c r="A26" s="984"/>
      <c r="B26" s="88" t="s">
        <v>198</v>
      </c>
      <c r="C26" s="89"/>
      <c r="D26" s="985"/>
      <c r="E26" s="985"/>
      <c r="F26" s="540"/>
      <c r="G26" s="787">
        <f>SUM(G8:G25)</f>
        <v>117651045</v>
      </c>
      <c r="H26" s="541"/>
      <c r="I26" s="538"/>
      <c r="J26" s="538"/>
    </row>
    <row r="27" spans="1:14" s="544" customFormat="1" ht="15.6">
      <c r="A27" s="542"/>
      <c r="B27" s="543" t="s">
        <v>541</v>
      </c>
      <c r="C27" s="705" t="s">
        <v>540</v>
      </c>
      <c r="D27" s="545"/>
      <c r="E27" s="545"/>
      <c r="F27" s="548"/>
      <c r="G27" s="546"/>
      <c r="H27" s="546"/>
      <c r="I27" s="547"/>
      <c r="J27" s="548"/>
      <c r="K27" s="706"/>
      <c r="L27" s="706"/>
      <c r="M27" s="706"/>
      <c r="N27" s="544">
        <v>1</v>
      </c>
    </row>
    <row r="28" spans="1:14" s="544" customFormat="1">
      <c r="C28" s="705" t="s">
        <v>542</v>
      </c>
      <c r="F28" s="550"/>
      <c r="J28" s="551"/>
      <c r="K28" s="551"/>
      <c r="L28" s="551"/>
      <c r="M28" s="551"/>
      <c r="N28" s="544">
        <v>1</v>
      </c>
    </row>
    <row r="32" spans="1:14">
      <c r="F32" s="552"/>
    </row>
  </sheetData>
  <mergeCells count="3">
    <mergeCell ref="A2:G2"/>
    <mergeCell ref="A3:G3"/>
    <mergeCell ref="A4:G4"/>
  </mergeCells>
  <phoneticPr fontId="31" type="noConversion"/>
  <printOptions horizontalCentered="1"/>
  <pageMargins left="0.19685039370078741" right="0.19685039370078741" top="0.51181102362204722" bottom="0.19685039370078741" header="0.31496062992125984" footer="0.27559055118110237"/>
  <pageSetup paperSize="9" scale="72" orientation="portrait" blackAndWhite="1" r:id="rId1"/>
  <headerFooter alignWithMargins="0"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5"/>
  <sheetViews>
    <sheetView showGridLines="0" showZeros="0" view="pageBreakPreview" zoomScale="84" zoomScaleNormal="85" zoomScaleSheetLayoutView="84" workbookViewId="0">
      <pane xSplit="3" ySplit="7" topLeftCell="D26" activePane="bottomRight" state="frozen"/>
      <selection pane="topRight" activeCell="D1" sqref="D1"/>
      <selection pane="bottomLeft" activeCell="A5" sqref="A5"/>
      <selection pane="bottomRight" activeCell="H27" sqref="H27"/>
    </sheetView>
  </sheetViews>
  <sheetFormatPr defaultRowHeight="13.2"/>
  <cols>
    <col min="1" max="1" width="4.6640625" style="544" customWidth="1"/>
    <col min="2" max="2" width="15.6640625" style="544" bestFit="1" customWidth="1"/>
    <col min="3" max="3" width="65" style="544" customWidth="1"/>
    <col min="4" max="4" width="14.5546875" style="544" bestFit="1" customWidth="1"/>
    <col min="5" max="5" width="9.44140625" style="544" bestFit="1" customWidth="1"/>
    <col min="6" max="6" width="13.6640625" style="544" customWidth="1"/>
    <col min="7" max="7" width="8.6640625" style="549" customWidth="1"/>
    <col min="8" max="8" width="16.33203125" style="550" customWidth="1"/>
    <col min="9" max="9" width="21.6640625" style="544" customWidth="1"/>
    <col min="10" max="10" width="13.109375" style="5" bestFit="1" customWidth="1"/>
    <col min="11" max="11" width="14.33203125" style="79" bestFit="1" customWidth="1"/>
    <col min="12" max="12" width="10.88671875" style="80" bestFit="1" customWidth="1"/>
    <col min="13" max="13" width="12" style="12" customWidth="1"/>
    <col min="14" max="14" width="11.109375" style="12" customWidth="1"/>
    <col min="15" max="15" width="14.6640625" style="12" customWidth="1"/>
    <col min="16" max="16" width="4.6640625" style="5" customWidth="1"/>
    <col min="17" max="17" width="12.44140625" style="5" customWidth="1"/>
    <col min="18" max="18" width="9.109375" style="5"/>
    <col min="19" max="19" width="14.6640625" style="5" bestFit="1" customWidth="1"/>
    <col min="20" max="20" width="12" style="5" bestFit="1" customWidth="1"/>
    <col min="21" max="21" width="14.6640625" style="5" bestFit="1" customWidth="1"/>
    <col min="22" max="256" width="9.109375" style="5"/>
    <col min="257" max="257" width="4.6640625" style="5" customWidth="1"/>
    <col min="258" max="258" width="15.6640625" style="5" bestFit="1" customWidth="1"/>
    <col min="259" max="259" width="65" style="5" customWidth="1"/>
    <col min="260" max="260" width="14.5546875" style="5" bestFit="1" customWidth="1"/>
    <col min="261" max="261" width="9.44140625" style="5" bestFit="1" customWidth="1"/>
    <col min="262" max="262" width="13.6640625" style="5" customWidth="1"/>
    <col min="263" max="263" width="8.6640625" style="5" customWidth="1"/>
    <col min="264" max="264" width="16.33203125" style="5" customWidth="1"/>
    <col min="265" max="265" width="21.6640625" style="5" customWidth="1"/>
    <col min="266" max="266" width="13.109375" style="5" bestFit="1" customWidth="1"/>
    <col min="267" max="267" width="12.5546875" style="5" bestFit="1" customWidth="1"/>
    <col min="268" max="268" width="10.88671875" style="5" bestFit="1" customWidth="1"/>
    <col min="269" max="269" width="12" style="5" customWidth="1"/>
    <col min="270" max="270" width="11.109375" style="5" customWidth="1"/>
    <col min="271" max="271" width="14.6640625" style="5" customWidth="1"/>
    <col min="272" max="272" width="4.6640625" style="5" customWidth="1"/>
    <col min="273" max="273" width="12.44140625" style="5" customWidth="1"/>
    <col min="274" max="274" width="9.109375" style="5"/>
    <col min="275" max="275" width="14.6640625" style="5" bestFit="1" customWidth="1"/>
    <col min="276" max="276" width="12" style="5" bestFit="1" customWidth="1"/>
    <col min="277" max="277" width="14.6640625" style="5" bestFit="1" customWidth="1"/>
    <col min="278" max="512" width="9.109375" style="5"/>
    <col min="513" max="513" width="4.6640625" style="5" customWidth="1"/>
    <col min="514" max="514" width="15.6640625" style="5" bestFit="1" customWidth="1"/>
    <col min="515" max="515" width="65" style="5" customWidth="1"/>
    <col min="516" max="516" width="14.5546875" style="5" bestFit="1" customWidth="1"/>
    <col min="517" max="517" width="9.44140625" style="5" bestFit="1" customWidth="1"/>
    <col min="518" max="518" width="13.6640625" style="5" customWidth="1"/>
    <col min="519" max="519" width="8.6640625" style="5" customWidth="1"/>
    <col min="520" max="520" width="16.33203125" style="5" customWidth="1"/>
    <col min="521" max="521" width="21.6640625" style="5" customWidth="1"/>
    <col min="522" max="522" width="13.109375" style="5" bestFit="1" customWidth="1"/>
    <col min="523" max="523" width="12.5546875" style="5" bestFit="1" customWidth="1"/>
    <col min="524" max="524" width="10.88671875" style="5" bestFit="1" customWidth="1"/>
    <col min="525" max="525" width="12" style="5" customWidth="1"/>
    <col min="526" max="526" width="11.109375" style="5" customWidth="1"/>
    <col min="527" max="527" width="14.6640625" style="5" customWidth="1"/>
    <col min="528" max="528" width="4.6640625" style="5" customWidth="1"/>
    <col min="529" max="529" width="12.44140625" style="5" customWidth="1"/>
    <col min="530" max="530" width="9.109375" style="5"/>
    <col min="531" max="531" width="14.6640625" style="5" bestFit="1" customWidth="1"/>
    <col min="532" max="532" width="12" style="5" bestFit="1" customWidth="1"/>
    <col min="533" max="533" width="14.6640625" style="5" bestFit="1" customWidth="1"/>
    <col min="534" max="768" width="9.109375" style="5"/>
    <col min="769" max="769" width="4.6640625" style="5" customWidth="1"/>
    <col min="770" max="770" width="15.6640625" style="5" bestFit="1" customWidth="1"/>
    <col min="771" max="771" width="65" style="5" customWidth="1"/>
    <col min="772" max="772" width="14.5546875" style="5" bestFit="1" customWidth="1"/>
    <col min="773" max="773" width="9.44140625" style="5" bestFit="1" customWidth="1"/>
    <col min="774" max="774" width="13.6640625" style="5" customWidth="1"/>
    <col min="775" max="775" width="8.6640625" style="5" customWidth="1"/>
    <col min="776" max="776" width="16.33203125" style="5" customWidth="1"/>
    <col min="777" max="777" width="21.6640625" style="5" customWidth="1"/>
    <col min="778" max="778" width="13.109375" style="5" bestFit="1" customWidth="1"/>
    <col min="779" max="779" width="12.5546875" style="5" bestFit="1" customWidth="1"/>
    <col min="780" max="780" width="10.88671875" style="5" bestFit="1" customWidth="1"/>
    <col min="781" max="781" width="12" style="5" customWidth="1"/>
    <col min="782" max="782" width="11.109375" style="5" customWidth="1"/>
    <col min="783" max="783" width="14.6640625" style="5" customWidth="1"/>
    <col min="784" max="784" width="4.6640625" style="5" customWidth="1"/>
    <col min="785" max="785" width="12.44140625" style="5" customWidth="1"/>
    <col min="786" max="786" width="9.109375" style="5"/>
    <col min="787" max="787" width="14.6640625" style="5" bestFit="1" customWidth="1"/>
    <col min="788" max="788" width="12" style="5" bestFit="1" customWidth="1"/>
    <col min="789" max="789" width="14.6640625" style="5" bestFit="1" customWidth="1"/>
    <col min="790" max="1024" width="9.109375" style="5"/>
    <col min="1025" max="1025" width="4.6640625" style="5" customWidth="1"/>
    <col min="1026" max="1026" width="15.6640625" style="5" bestFit="1" customWidth="1"/>
    <col min="1027" max="1027" width="65" style="5" customWidth="1"/>
    <col min="1028" max="1028" width="14.5546875" style="5" bestFit="1" customWidth="1"/>
    <col min="1029" max="1029" width="9.44140625" style="5" bestFit="1" customWidth="1"/>
    <col min="1030" max="1030" width="13.6640625" style="5" customWidth="1"/>
    <col min="1031" max="1031" width="8.6640625" style="5" customWidth="1"/>
    <col min="1032" max="1032" width="16.33203125" style="5" customWidth="1"/>
    <col min="1033" max="1033" width="21.6640625" style="5" customWidth="1"/>
    <col min="1034" max="1034" width="13.109375" style="5" bestFit="1" customWidth="1"/>
    <col min="1035" max="1035" width="12.5546875" style="5" bestFit="1" customWidth="1"/>
    <col min="1036" max="1036" width="10.88671875" style="5" bestFit="1" customWidth="1"/>
    <col min="1037" max="1037" width="12" style="5" customWidth="1"/>
    <col min="1038" max="1038" width="11.109375" style="5" customWidth="1"/>
    <col min="1039" max="1039" width="14.6640625" style="5" customWidth="1"/>
    <col min="1040" max="1040" width="4.6640625" style="5" customWidth="1"/>
    <col min="1041" max="1041" width="12.44140625" style="5" customWidth="1"/>
    <col min="1042" max="1042" width="9.109375" style="5"/>
    <col min="1043" max="1043" width="14.6640625" style="5" bestFit="1" customWidth="1"/>
    <col min="1044" max="1044" width="12" style="5" bestFit="1" customWidth="1"/>
    <col min="1045" max="1045" width="14.6640625" style="5" bestFit="1" customWidth="1"/>
    <col min="1046" max="1280" width="9.109375" style="5"/>
    <col min="1281" max="1281" width="4.6640625" style="5" customWidth="1"/>
    <col min="1282" max="1282" width="15.6640625" style="5" bestFit="1" customWidth="1"/>
    <col min="1283" max="1283" width="65" style="5" customWidth="1"/>
    <col min="1284" max="1284" width="14.5546875" style="5" bestFit="1" customWidth="1"/>
    <col min="1285" max="1285" width="9.44140625" style="5" bestFit="1" customWidth="1"/>
    <col min="1286" max="1286" width="13.6640625" style="5" customWidth="1"/>
    <col min="1287" max="1287" width="8.6640625" style="5" customWidth="1"/>
    <col min="1288" max="1288" width="16.33203125" style="5" customWidth="1"/>
    <col min="1289" max="1289" width="21.6640625" style="5" customWidth="1"/>
    <col min="1290" max="1290" width="13.109375" style="5" bestFit="1" customWidth="1"/>
    <col min="1291" max="1291" width="12.5546875" style="5" bestFit="1" customWidth="1"/>
    <col min="1292" max="1292" width="10.88671875" style="5" bestFit="1" customWidth="1"/>
    <col min="1293" max="1293" width="12" style="5" customWidth="1"/>
    <col min="1294" max="1294" width="11.109375" style="5" customWidth="1"/>
    <col min="1295" max="1295" width="14.6640625" style="5" customWidth="1"/>
    <col min="1296" max="1296" width="4.6640625" style="5" customWidth="1"/>
    <col min="1297" max="1297" width="12.44140625" style="5" customWidth="1"/>
    <col min="1298" max="1298" width="9.109375" style="5"/>
    <col min="1299" max="1299" width="14.6640625" style="5" bestFit="1" customWidth="1"/>
    <col min="1300" max="1300" width="12" style="5" bestFit="1" customWidth="1"/>
    <col min="1301" max="1301" width="14.6640625" style="5" bestFit="1" customWidth="1"/>
    <col min="1302" max="1536" width="9.109375" style="5"/>
    <col min="1537" max="1537" width="4.6640625" style="5" customWidth="1"/>
    <col min="1538" max="1538" width="15.6640625" style="5" bestFit="1" customWidth="1"/>
    <col min="1539" max="1539" width="65" style="5" customWidth="1"/>
    <col min="1540" max="1540" width="14.5546875" style="5" bestFit="1" customWidth="1"/>
    <col min="1541" max="1541" width="9.44140625" style="5" bestFit="1" customWidth="1"/>
    <col min="1542" max="1542" width="13.6640625" style="5" customWidth="1"/>
    <col min="1543" max="1543" width="8.6640625" style="5" customWidth="1"/>
    <col min="1544" max="1544" width="16.33203125" style="5" customWidth="1"/>
    <col min="1545" max="1545" width="21.6640625" style="5" customWidth="1"/>
    <col min="1546" max="1546" width="13.109375" style="5" bestFit="1" customWidth="1"/>
    <col min="1547" max="1547" width="12.5546875" style="5" bestFit="1" customWidth="1"/>
    <col min="1548" max="1548" width="10.88671875" style="5" bestFit="1" customWidth="1"/>
    <col min="1549" max="1549" width="12" style="5" customWidth="1"/>
    <col min="1550" max="1550" width="11.109375" style="5" customWidth="1"/>
    <col min="1551" max="1551" width="14.6640625" style="5" customWidth="1"/>
    <col min="1552" max="1552" width="4.6640625" style="5" customWidth="1"/>
    <col min="1553" max="1553" width="12.44140625" style="5" customWidth="1"/>
    <col min="1554" max="1554" width="9.109375" style="5"/>
    <col min="1555" max="1555" width="14.6640625" style="5" bestFit="1" customWidth="1"/>
    <col min="1556" max="1556" width="12" style="5" bestFit="1" customWidth="1"/>
    <col min="1557" max="1557" width="14.6640625" style="5" bestFit="1" customWidth="1"/>
    <col min="1558" max="1792" width="9.109375" style="5"/>
    <col min="1793" max="1793" width="4.6640625" style="5" customWidth="1"/>
    <col min="1794" max="1794" width="15.6640625" style="5" bestFit="1" customWidth="1"/>
    <col min="1795" max="1795" width="65" style="5" customWidth="1"/>
    <col min="1796" max="1796" width="14.5546875" style="5" bestFit="1" customWidth="1"/>
    <col min="1797" max="1797" width="9.44140625" style="5" bestFit="1" customWidth="1"/>
    <col min="1798" max="1798" width="13.6640625" style="5" customWidth="1"/>
    <col min="1799" max="1799" width="8.6640625" style="5" customWidth="1"/>
    <col min="1800" max="1800" width="16.33203125" style="5" customWidth="1"/>
    <col min="1801" max="1801" width="21.6640625" style="5" customWidth="1"/>
    <col min="1802" max="1802" width="13.109375" style="5" bestFit="1" customWidth="1"/>
    <col min="1803" max="1803" width="12.5546875" style="5" bestFit="1" customWidth="1"/>
    <col min="1804" max="1804" width="10.88671875" style="5" bestFit="1" customWidth="1"/>
    <col min="1805" max="1805" width="12" style="5" customWidth="1"/>
    <col min="1806" max="1806" width="11.109375" style="5" customWidth="1"/>
    <col min="1807" max="1807" width="14.6640625" style="5" customWidth="1"/>
    <col min="1808" max="1808" width="4.6640625" style="5" customWidth="1"/>
    <col min="1809" max="1809" width="12.44140625" style="5" customWidth="1"/>
    <col min="1810" max="1810" width="9.109375" style="5"/>
    <col min="1811" max="1811" width="14.6640625" style="5" bestFit="1" customWidth="1"/>
    <col min="1812" max="1812" width="12" style="5" bestFit="1" customWidth="1"/>
    <col min="1813" max="1813" width="14.6640625" style="5" bestFit="1" customWidth="1"/>
    <col min="1814" max="2048" width="9.109375" style="5"/>
    <col min="2049" max="2049" width="4.6640625" style="5" customWidth="1"/>
    <col min="2050" max="2050" width="15.6640625" style="5" bestFit="1" customWidth="1"/>
    <col min="2051" max="2051" width="65" style="5" customWidth="1"/>
    <col min="2052" max="2052" width="14.5546875" style="5" bestFit="1" customWidth="1"/>
    <col min="2053" max="2053" width="9.44140625" style="5" bestFit="1" customWidth="1"/>
    <col min="2054" max="2054" width="13.6640625" style="5" customWidth="1"/>
    <col min="2055" max="2055" width="8.6640625" style="5" customWidth="1"/>
    <col min="2056" max="2056" width="16.33203125" style="5" customWidth="1"/>
    <col min="2057" max="2057" width="21.6640625" style="5" customWidth="1"/>
    <col min="2058" max="2058" width="13.109375" style="5" bestFit="1" customWidth="1"/>
    <col min="2059" max="2059" width="12.5546875" style="5" bestFit="1" customWidth="1"/>
    <col min="2060" max="2060" width="10.88671875" style="5" bestFit="1" customWidth="1"/>
    <col min="2061" max="2061" width="12" style="5" customWidth="1"/>
    <col min="2062" max="2062" width="11.109375" style="5" customWidth="1"/>
    <col min="2063" max="2063" width="14.6640625" style="5" customWidth="1"/>
    <col min="2064" max="2064" width="4.6640625" style="5" customWidth="1"/>
    <col min="2065" max="2065" width="12.44140625" style="5" customWidth="1"/>
    <col min="2066" max="2066" width="9.109375" style="5"/>
    <col min="2067" max="2067" width="14.6640625" style="5" bestFit="1" customWidth="1"/>
    <col min="2068" max="2068" width="12" style="5" bestFit="1" customWidth="1"/>
    <col min="2069" max="2069" width="14.6640625" style="5" bestFit="1" customWidth="1"/>
    <col min="2070" max="2304" width="9.109375" style="5"/>
    <col min="2305" max="2305" width="4.6640625" style="5" customWidth="1"/>
    <col min="2306" max="2306" width="15.6640625" style="5" bestFit="1" customWidth="1"/>
    <col min="2307" max="2307" width="65" style="5" customWidth="1"/>
    <col min="2308" max="2308" width="14.5546875" style="5" bestFit="1" customWidth="1"/>
    <col min="2309" max="2309" width="9.44140625" style="5" bestFit="1" customWidth="1"/>
    <col min="2310" max="2310" width="13.6640625" style="5" customWidth="1"/>
    <col min="2311" max="2311" width="8.6640625" style="5" customWidth="1"/>
    <col min="2312" max="2312" width="16.33203125" style="5" customWidth="1"/>
    <col min="2313" max="2313" width="21.6640625" style="5" customWidth="1"/>
    <col min="2314" max="2314" width="13.109375" style="5" bestFit="1" customWidth="1"/>
    <col min="2315" max="2315" width="12.5546875" style="5" bestFit="1" customWidth="1"/>
    <col min="2316" max="2316" width="10.88671875" style="5" bestFit="1" customWidth="1"/>
    <col min="2317" max="2317" width="12" style="5" customWidth="1"/>
    <col min="2318" max="2318" width="11.109375" style="5" customWidth="1"/>
    <col min="2319" max="2319" width="14.6640625" style="5" customWidth="1"/>
    <col min="2320" max="2320" width="4.6640625" style="5" customWidth="1"/>
    <col min="2321" max="2321" width="12.44140625" style="5" customWidth="1"/>
    <col min="2322" max="2322" width="9.109375" style="5"/>
    <col min="2323" max="2323" width="14.6640625" style="5" bestFit="1" customWidth="1"/>
    <col min="2324" max="2324" width="12" style="5" bestFit="1" customWidth="1"/>
    <col min="2325" max="2325" width="14.6640625" style="5" bestFit="1" customWidth="1"/>
    <col min="2326" max="2560" width="9.109375" style="5"/>
    <col min="2561" max="2561" width="4.6640625" style="5" customWidth="1"/>
    <col min="2562" max="2562" width="15.6640625" style="5" bestFit="1" customWidth="1"/>
    <col min="2563" max="2563" width="65" style="5" customWidth="1"/>
    <col min="2564" max="2564" width="14.5546875" style="5" bestFit="1" customWidth="1"/>
    <col min="2565" max="2565" width="9.44140625" style="5" bestFit="1" customWidth="1"/>
    <col min="2566" max="2566" width="13.6640625" style="5" customWidth="1"/>
    <col min="2567" max="2567" width="8.6640625" style="5" customWidth="1"/>
    <col min="2568" max="2568" width="16.33203125" style="5" customWidth="1"/>
    <col min="2569" max="2569" width="21.6640625" style="5" customWidth="1"/>
    <col min="2570" max="2570" width="13.109375" style="5" bestFit="1" customWidth="1"/>
    <col min="2571" max="2571" width="12.5546875" style="5" bestFit="1" customWidth="1"/>
    <col min="2572" max="2572" width="10.88671875" style="5" bestFit="1" customWidth="1"/>
    <col min="2573" max="2573" width="12" style="5" customWidth="1"/>
    <col min="2574" max="2574" width="11.109375" style="5" customWidth="1"/>
    <col min="2575" max="2575" width="14.6640625" style="5" customWidth="1"/>
    <col min="2576" max="2576" width="4.6640625" style="5" customWidth="1"/>
    <col min="2577" max="2577" width="12.44140625" style="5" customWidth="1"/>
    <col min="2578" max="2578" width="9.109375" style="5"/>
    <col min="2579" max="2579" width="14.6640625" style="5" bestFit="1" customWidth="1"/>
    <col min="2580" max="2580" width="12" style="5" bestFit="1" customWidth="1"/>
    <col min="2581" max="2581" width="14.6640625" style="5" bestFit="1" customWidth="1"/>
    <col min="2582" max="2816" width="9.109375" style="5"/>
    <col min="2817" max="2817" width="4.6640625" style="5" customWidth="1"/>
    <col min="2818" max="2818" width="15.6640625" style="5" bestFit="1" customWidth="1"/>
    <col min="2819" max="2819" width="65" style="5" customWidth="1"/>
    <col min="2820" max="2820" width="14.5546875" style="5" bestFit="1" customWidth="1"/>
    <col min="2821" max="2821" width="9.44140625" style="5" bestFit="1" customWidth="1"/>
    <col min="2822" max="2822" width="13.6640625" style="5" customWidth="1"/>
    <col min="2823" max="2823" width="8.6640625" style="5" customWidth="1"/>
    <col min="2824" max="2824" width="16.33203125" style="5" customWidth="1"/>
    <col min="2825" max="2825" width="21.6640625" style="5" customWidth="1"/>
    <col min="2826" max="2826" width="13.109375" style="5" bestFit="1" customWidth="1"/>
    <col min="2827" max="2827" width="12.5546875" style="5" bestFit="1" customWidth="1"/>
    <col min="2828" max="2828" width="10.88671875" style="5" bestFit="1" customWidth="1"/>
    <col min="2829" max="2829" width="12" style="5" customWidth="1"/>
    <col min="2830" max="2830" width="11.109375" style="5" customWidth="1"/>
    <col min="2831" max="2831" width="14.6640625" style="5" customWidth="1"/>
    <col min="2832" max="2832" width="4.6640625" style="5" customWidth="1"/>
    <col min="2833" max="2833" width="12.44140625" style="5" customWidth="1"/>
    <col min="2834" max="2834" width="9.109375" style="5"/>
    <col min="2835" max="2835" width="14.6640625" style="5" bestFit="1" customWidth="1"/>
    <col min="2836" max="2836" width="12" style="5" bestFit="1" customWidth="1"/>
    <col min="2837" max="2837" width="14.6640625" style="5" bestFit="1" customWidth="1"/>
    <col min="2838" max="3072" width="9.109375" style="5"/>
    <col min="3073" max="3073" width="4.6640625" style="5" customWidth="1"/>
    <col min="3074" max="3074" width="15.6640625" style="5" bestFit="1" customWidth="1"/>
    <col min="3075" max="3075" width="65" style="5" customWidth="1"/>
    <col min="3076" max="3076" width="14.5546875" style="5" bestFit="1" customWidth="1"/>
    <col min="3077" max="3077" width="9.44140625" style="5" bestFit="1" customWidth="1"/>
    <col min="3078" max="3078" width="13.6640625" style="5" customWidth="1"/>
    <col min="3079" max="3079" width="8.6640625" style="5" customWidth="1"/>
    <col min="3080" max="3080" width="16.33203125" style="5" customWidth="1"/>
    <col min="3081" max="3081" width="21.6640625" style="5" customWidth="1"/>
    <col min="3082" max="3082" width="13.109375" style="5" bestFit="1" customWidth="1"/>
    <col min="3083" max="3083" width="12.5546875" style="5" bestFit="1" customWidth="1"/>
    <col min="3084" max="3084" width="10.88671875" style="5" bestFit="1" customWidth="1"/>
    <col min="3085" max="3085" width="12" style="5" customWidth="1"/>
    <col min="3086" max="3086" width="11.109375" style="5" customWidth="1"/>
    <col min="3087" max="3087" width="14.6640625" style="5" customWidth="1"/>
    <col min="3088" max="3088" width="4.6640625" style="5" customWidth="1"/>
    <col min="3089" max="3089" width="12.44140625" style="5" customWidth="1"/>
    <col min="3090" max="3090" width="9.109375" style="5"/>
    <col min="3091" max="3091" width="14.6640625" style="5" bestFit="1" customWidth="1"/>
    <col min="3092" max="3092" width="12" style="5" bestFit="1" customWidth="1"/>
    <col min="3093" max="3093" width="14.6640625" style="5" bestFit="1" customWidth="1"/>
    <col min="3094" max="3328" width="9.109375" style="5"/>
    <col min="3329" max="3329" width="4.6640625" style="5" customWidth="1"/>
    <col min="3330" max="3330" width="15.6640625" style="5" bestFit="1" customWidth="1"/>
    <col min="3331" max="3331" width="65" style="5" customWidth="1"/>
    <col min="3332" max="3332" width="14.5546875" style="5" bestFit="1" customWidth="1"/>
    <col min="3333" max="3333" width="9.44140625" style="5" bestFit="1" customWidth="1"/>
    <col min="3334" max="3334" width="13.6640625" style="5" customWidth="1"/>
    <col min="3335" max="3335" width="8.6640625" style="5" customWidth="1"/>
    <col min="3336" max="3336" width="16.33203125" style="5" customWidth="1"/>
    <col min="3337" max="3337" width="21.6640625" style="5" customWidth="1"/>
    <col min="3338" max="3338" width="13.109375" style="5" bestFit="1" customWidth="1"/>
    <col min="3339" max="3339" width="12.5546875" style="5" bestFit="1" customWidth="1"/>
    <col min="3340" max="3340" width="10.88671875" style="5" bestFit="1" customWidth="1"/>
    <col min="3341" max="3341" width="12" style="5" customWidth="1"/>
    <col min="3342" max="3342" width="11.109375" style="5" customWidth="1"/>
    <col min="3343" max="3343" width="14.6640625" style="5" customWidth="1"/>
    <col min="3344" max="3344" width="4.6640625" style="5" customWidth="1"/>
    <col min="3345" max="3345" width="12.44140625" style="5" customWidth="1"/>
    <col min="3346" max="3346" width="9.109375" style="5"/>
    <col min="3347" max="3347" width="14.6640625" style="5" bestFit="1" customWidth="1"/>
    <col min="3348" max="3348" width="12" style="5" bestFit="1" customWidth="1"/>
    <col min="3349" max="3349" width="14.6640625" style="5" bestFit="1" customWidth="1"/>
    <col min="3350" max="3584" width="9.109375" style="5"/>
    <col min="3585" max="3585" width="4.6640625" style="5" customWidth="1"/>
    <col min="3586" max="3586" width="15.6640625" style="5" bestFit="1" customWidth="1"/>
    <col min="3587" max="3587" width="65" style="5" customWidth="1"/>
    <col min="3588" max="3588" width="14.5546875" style="5" bestFit="1" customWidth="1"/>
    <col min="3589" max="3589" width="9.44140625" style="5" bestFit="1" customWidth="1"/>
    <col min="3590" max="3590" width="13.6640625" style="5" customWidth="1"/>
    <col min="3591" max="3591" width="8.6640625" style="5" customWidth="1"/>
    <col min="3592" max="3592" width="16.33203125" style="5" customWidth="1"/>
    <col min="3593" max="3593" width="21.6640625" style="5" customWidth="1"/>
    <col min="3594" max="3594" width="13.109375" style="5" bestFit="1" customWidth="1"/>
    <col min="3595" max="3595" width="12.5546875" style="5" bestFit="1" customWidth="1"/>
    <col min="3596" max="3596" width="10.88671875" style="5" bestFit="1" customWidth="1"/>
    <col min="3597" max="3597" width="12" style="5" customWidth="1"/>
    <col min="3598" max="3598" width="11.109375" style="5" customWidth="1"/>
    <col min="3599" max="3599" width="14.6640625" style="5" customWidth="1"/>
    <col min="3600" max="3600" width="4.6640625" style="5" customWidth="1"/>
    <col min="3601" max="3601" width="12.44140625" style="5" customWidth="1"/>
    <col min="3602" max="3602" width="9.109375" style="5"/>
    <col min="3603" max="3603" width="14.6640625" style="5" bestFit="1" customWidth="1"/>
    <col min="3604" max="3604" width="12" style="5" bestFit="1" customWidth="1"/>
    <col min="3605" max="3605" width="14.6640625" style="5" bestFit="1" customWidth="1"/>
    <col min="3606" max="3840" width="9.109375" style="5"/>
    <col min="3841" max="3841" width="4.6640625" style="5" customWidth="1"/>
    <col min="3842" max="3842" width="15.6640625" style="5" bestFit="1" customWidth="1"/>
    <col min="3843" max="3843" width="65" style="5" customWidth="1"/>
    <col min="3844" max="3844" width="14.5546875" style="5" bestFit="1" customWidth="1"/>
    <col min="3845" max="3845" width="9.44140625" style="5" bestFit="1" customWidth="1"/>
    <col min="3846" max="3846" width="13.6640625" style="5" customWidth="1"/>
    <col min="3847" max="3847" width="8.6640625" style="5" customWidth="1"/>
    <col min="3848" max="3848" width="16.33203125" style="5" customWidth="1"/>
    <col min="3849" max="3849" width="21.6640625" style="5" customWidth="1"/>
    <col min="3850" max="3850" width="13.109375" style="5" bestFit="1" customWidth="1"/>
    <col min="3851" max="3851" width="12.5546875" style="5" bestFit="1" customWidth="1"/>
    <col min="3852" max="3852" width="10.88671875" style="5" bestFit="1" customWidth="1"/>
    <col min="3853" max="3853" width="12" style="5" customWidth="1"/>
    <col min="3854" max="3854" width="11.109375" style="5" customWidth="1"/>
    <col min="3855" max="3855" width="14.6640625" style="5" customWidth="1"/>
    <col min="3856" max="3856" width="4.6640625" style="5" customWidth="1"/>
    <col min="3857" max="3857" width="12.44140625" style="5" customWidth="1"/>
    <col min="3858" max="3858" width="9.109375" style="5"/>
    <col min="3859" max="3859" width="14.6640625" style="5" bestFit="1" customWidth="1"/>
    <col min="3860" max="3860" width="12" style="5" bestFit="1" customWidth="1"/>
    <col min="3861" max="3861" width="14.6640625" style="5" bestFit="1" customWidth="1"/>
    <col min="3862" max="4096" width="9.109375" style="5"/>
    <col min="4097" max="4097" width="4.6640625" style="5" customWidth="1"/>
    <col min="4098" max="4098" width="15.6640625" style="5" bestFit="1" customWidth="1"/>
    <col min="4099" max="4099" width="65" style="5" customWidth="1"/>
    <col min="4100" max="4100" width="14.5546875" style="5" bestFit="1" customWidth="1"/>
    <col min="4101" max="4101" width="9.44140625" style="5" bestFit="1" customWidth="1"/>
    <col min="4102" max="4102" width="13.6640625" style="5" customWidth="1"/>
    <col min="4103" max="4103" width="8.6640625" style="5" customWidth="1"/>
    <col min="4104" max="4104" width="16.33203125" style="5" customWidth="1"/>
    <col min="4105" max="4105" width="21.6640625" style="5" customWidth="1"/>
    <col min="4106" max="4106" width="13.109375" style="5" bestFit="1" customWidth="1"/>
    <col min="4107" max="4107" width="12.5546875" style="5" bestFit="1" customWidth="1"/>
    <col min="4108" max="4108" width="10.88671875" style="5" bestFit="1" customWidth="1"/>
    <col min="4109" max="4109" width="12" style="5" customWidth="1"/>
    <col min="4110" max="4110" width="11.109375" style="5" customWidth="1"/>
    <col min="4111" max="4111" width="14.6640625" style="5" customWidth="1"/>
    <col min="4112" max="4112" width="4.6640625" style="5" customWidth="1"/>
    <col min="4113" max="4113" width="12.44140625" style="5" customWidth="1"/>
    <col min="4114" max="4114" width="9.109375" style="5"/>
    <col min="4115" max="4115" width="14.6640625" style="5" bestFit="1" customWidth="1"/>
    <col min="4116" max="4116" width="12" style="5" bestFit="1" customWidth="1"/>
    <col min="4117" max="4117" width="14.6640625" style="5" bestFit="1" customWidth="1"/>
    <col min="4118" max="4352" width="9.109375" style="5"/>
    <col min="4353" max="4353" width="4.6640625" style="5" customWidth="1"/>
    <col min="4354" max="4354" width="15.6640625" style="5" bestFit="1" customWidth="1"/>
    <col min="4355" max="4355" width="65" style="5" customWidth="1"/>
    <col min="4356" max="4356" width="14.5546875" style="5" bestFit="1" customWidth="1"/>
    <col min="4357" max="4357" width="9.44140625" style="5" bestFit="1" customWidth="1"/>
    <col min="4358" max="4358" width="13.6640625" style="5" customWidth="1"/>
    <col min="4359" max="4359" width="8.6640625" style="5" customWidth="1"/>
    <col min="4360" max="4360" width="16.33203125" style="5" customWidth="1"/>
    <col min="4361" max="4361" width="21.6640625" style="5" customWidth="1"/>
    <col min="4362" max="4362" width="13.109375" style="5" bestFit="1" customWidth="1"/>
    <col min="4363" max="4363" width="12.5546875" style="5" bestFit="1" customWidth="1"/>
    <col min="4364" max="4364" width="10.88671875" style="5" bestFit="1" customWidth="1"/>
    <col min="4365" max="4365" width="12" style="5" customWidth="1"/>
    <col min="4366" max="4366" width="11.109375" style="5" customWidth="1"/>
    <col min="4367" max="4367" width="14.6640625" style="5" customWidth="1"/>
    <col min="4368" max="4368" width="4.6640625" style="5" customWidth="1"/>
    <col min="4369" max="4369" width="12.44140625" style="5" customWidth="1"/>
    <col min="4370" max="4370" width="9.109375" style="5"/>
    <col min="4371" max="4371" width="14.6640625" style="5" bestFit="1" customWidth="1"/>
    <col min="4372" max="4372" width="12" style="5" bestFit="1" customWidth="1"/>
    <col min="4373" max="4373" width="14.6640625" style="5" bestFit="1" customWidth="1"/>
    <col min="4374" max="4608" width="9.109375" style="5"/>
    <col min="4609" max="4609" width="4.6640625" style="5" customWidth="1"/>
    <col min="4610" max="4610" width="15.6640625" style="5" bestFit="1" customWidth="1"/>
    <col min="4611" max="4611" width="65" style="5" customWidth="1"/>
    <col min="4612" max="4612" width="14.5546875" style="5" bestFit="1" customWidth="1"/>
    <col min="4613" max="4613" width="9.44140625" style="5" bestFit="1" customWidth="1"/>
    <col min="4614" max="4614" width="13.6640625" style="5" customWidth="1"/>
    <col min="4615" max="4615" width="8.6640625" style="5" customWidth="1"/>
    <col min="4616" max="4616" width="16.33203125" style="5" customWidth="1"/>
    <col min="4617" max="4617" width="21.6640625" style="5" customWidth="1"/>
    <col min="4618" max="4618" width="13.109375" style="5" bestFit="1" customWidth="1"/>
    <col min="4619" max="4619" width="12.5546875" style="5" bestFit="1" customWidth="1"/>
    <col min="4620" max="4620" width="10.88671875" style="5" bestFit="1" customWidth="1"/>
    <col min="4621" max="4621" width="12" style="5" customWidth="1"/>
    <col min="4622" max="4622" width="11.109375" style="5" customWidth="1"/>
    <col min="4623" max="4623" width="14.6640625" style="5" customWidth="1"/>
    <col min="4624" max="4624" width="4.6640625" style="5" customWidth="1"/>
    <col min="4625" max="4625" width="12.44140625" style="5" customWidth="1"/>
    <col min="4626" max="4626" width="9.109375" style="5"/>
    <col min="4627" max="4627" width="14.6640625" style="5" bestFit="1" customWidth="1"/>
    <col min="4628" max="4628" width="12" style="5" bestFit="1" customWidth="1"/>
    <col min="4629" max="4629" width="14.6640625" style="5" bestFit="1" customWidth="1"/>
    <col min="4630" max="4864" width="9.109375" style="5"/>
    <col min="4865" max="4865" width="4.6640625" style="5" customWidth="1"/>
    <col min="4866" max="4866" width="15.6640625" style="5" bestFit="1" customWidth="1"/>
    <col min="4867" max="4867" width="65" style="5" customWidth="1"/>
    <col min="4868" max="4868" width="14.5546875" style="5" bestFit="1" customWidth="1"/>
    <col min="4869" max="4869" width="9.44140625" style="5" bestFit="1" customWidth="1"/>
    <col min="4870" max="4870" width="13.6640625" style="5" customWidth="1"/>
    <col min="4871" max="4871" width="8.6640625" style="5" customWidth="1"/>
    <col min="4872" max="4872" width="16.33203125" style="5" customWidth="1"/>
    <col min="4873" max="4873" width="21.6640625" style="5" customWidth="1"/>
    <col min="4874" max="4874" width="13.109375" style="5" bestFit="1" customWidth="1"/>
    <col min="4875" max="4875" width="12.5546875" style="5" bestFit="1" customWidth="1"/>
    <col min="4876" max="4876" width="10.88671875" style="5" bestFit="1" customWidth="1"/>
    <col min="4877" max="4877" width="12" style="5" customWidth="1"/>
    <col min="4878" max="4878" width="11.109375" style="5" customWidth="1"/>
    <col min="4879" max="4879" width="14.6640625" style="5" customWidth="1"/>
    <col min="4880" max="4880" width="4.6640625" style="5" customWidth="1"/>
    <col min="4881" max="4881" width="12.44140625" style="5" customWidth="1"/>
    <col min="4882" max="4882" width="9.109375" style="5"/>
    <col min="4883" max="4883" width="14.6640625" style="5" bestFit="1" customWidth="1"/>
    <col min="4884" max="4884" width="12" style="5" bestFit="1" customWidth="1"/>
    <col min="4885" max="4885" width="14.6640625" style="5" bestFit="1" customWidth="1"/>
    <col min="4886" max="5120" width="9.109375" style="5"/>
    <col min="5121" max="5121" width="4.6640625" style="5" customWidth="1"/>
    <col min="5122" max="5122" width="15.6640625" style="5" bestFit="1" customWidth="1"/>
    <col min="5123" max="5123" width="65" style="5" customWidth="1"/>
    <col min="5124" max="5124" width="14.5546875" style="5" bestFit="1" customWidth="1"/>
    <col min="5125" max="5125" width="9.44140625" style="5" bestFit="1" customWidth="1"/>
    <col min="5126" max="5126" width="13.6640625" style="5" customWidth="1"/>
    <col min="5127" max="5127" width="8.6640625" style="5" customWidth="1"/>
    <col min="5128" max="5128" width="16.33203125" style="5" customWidth="1"/>
    <col min="5129" max="5129" width="21.6640625" style="5" customWidth="1"/>
    <col min="5130" max="5130" width="13.109375" style="5" bestFit="1" customWidth="1"/>
    <col min="5131" max="5131" width="12.5546875" style="5" bestFit="1" customWidth="1"/>
    <col min="5132" max="5132" width="10.88671875" style="5" bestFit="1" customWidth="1"/>
    <col min="5133" max="5133" width="12" style="5" customWidth="1"/>
    <col min="5134" max="5134" width="11.109375" style="5" customWidth="1"/>
    <col min="5135" max="5135" width="14.6640625" style="5" customWidth="1"/>
    <col min="5136" max="5136" width="4.6640625" style="5" customWidth="1"/>
    <col min="5137" max="5137" width="12.44140625" style="5" customWidth="1"/>
    <col min="5138" max="5138" width="9.109375" style="5"/>
    <col min="5139" max="5139" width="14.6640625" style="5" bestFit="1" customWidth="1"/>
    <col min="5140" max="5140" width="12" style="5" bestFit="1" customWidth="1"/>
    <col min="5141" max="5141" width="14.6640625" style="5" bestFit="1" customWidth="1"/>
    <col min="5142" max="5376" width="9.109375" style="5"/>
    <col min="5377" max="5377" width="4.6640625" style="5" customWidth="1"/>
    <col min="5378" max="5378" width="15.6640625" style="5" bestFit="1" customWidth="1"/>
    <col min="5379" max="5379" width="65" style="5" customWidth="1"/>
    <col min="5380" max="5380" width="14.5546875" style="5" bestFit="1" customWidth="1"/>
    <col min="5381" max="5381" width="9.44140625" style="5" bestFit="1" customWidth="1"/>
    <col min="5382" max="5382" width="13.6640625" style="5" customWidth="1"/>
    <col min="5383" max="5383" width="8.6640625" style="5" customWidth="1"/>
    <col min="5384" max="5384" width="16.33203125" style="5" customWidth="1"/>
    <col min="5385" max="5385" width="21.6640625" style="5" customWidth="1"/>
    <col min="5386" max="5386" width="13.109375" style="5" bestFit="1" customWidth="1"/>
    <col min="5387" max="5387" width="12.5546875" style="5" bestFit="1" customWidth="1"/>
    <col min="5388" max="5388" width="10.88671875" style="5" bestFit="1" customWidth="1"/>
    <col min="5389" max="5389" width="12" style="5" customWidth="1"/>
    <col min="5390" max="5390" width="11.109375" style="5" customWidth="1"/>
    <col min="5391" max="5391" width="14.6640625" style="5" customWidth="1"/>
    <col min="5392" max="5392" width="4.6640625" style="5" customWidth="1"/>
    <col min="5393" max="5393" width="12.44140625" style="5" customWidth="1"/>
    <col min="5394" max="5394" width="9.109375" style="5"/>
    <col min="5395" max="5395" width="14.6640625" style="5" bestFit="1" customWidth="1"/>
    <col min="5396" max="5396" width="12" style="5" bestFit="1" customWidth="1"/>
    <col min="5397" max="5397" width="14.6640625" style="5" bestFit="1" customWidth="1"/>
    <col min="5398" max="5632" width="9.109375" style="5"/>
    <col min="5633" max="5633" width="4.6640625" style="5" customWidth="1"/>
    <col min="5634" max="5634" width="15.6640625" style="5" bestFit="1" customWidth="1"/>
    <col min="5635" max="5635" width="65" style="5" customWidth="1"/>
    <col min="5636" max="5636" width="14.5546875" style="5" bestFit="1" customWidth="1"/>
    <col min="5637" max="5637" width="9.44140625" style="5" bestFit="1" customWidth="1"/>
    <col min="5638" max="5638" width="13.6640625" style="5" customWidth="1"/>
    <col min="5639" max="5639" width="8.6640625" style="5" customWidth="1"/>
    <col min="5640" max="5640" width="16.33203125" style="5" customWidth="1"/>
    <col min="5641" max="5641" width="21.6640625" style="5" customWidth="1"/>
    <col min="5642" max="5642" width="13.109375" style="5" bestFit="1" customWidth="1"/>
    <col min="5643" max="5643" width="12.5546875" style="5" bestFit="1" customWidth="1"/>
    <col min="5644" max="5644" width="10.88671875" style="5" bestFit="1" customWidth="1"/>
    <col min="5645" max="5645" width="12" style="5" customWidth="1"/>
    <col min="5646" max="5646" width="11.109375" style="5" customWidth="1"/>
    <col min="5647" max="5647" width="14.6640625" style="5" customWidth="1"/>
    <col min="5648" max="5648" width="4.6640625" style="5" customWidth="1"/>
    <col min="5649" max="5649" width="12.44140625" style="5" customWidth="1"/>
    <col min="5650" max="5650" width="9.109375" style="5"/>
    <col min="5651" max="5651" width="14.6640625" style="5" bestFit="1" customWidth="1"/>
    <col min="5652" max="5652" width="12" style="5" bestFit="1" customWidth="1"/>
    <col min="5653" max="5653" width="14.6640625" style="5" bestFit="1" customWidth="1"/>
    <col min="5654" max="5888" width="9.109375" style="5"/>
    <col min="5889" max="5889" width="4.6640625" style="5" customWidth="1"/>
    <col min="5890" max="5890" width="15.6640625" style="5" bestFit="1" customWidth="1"/>
    <col min="5891" max="5891" width="65" style="5" customWidth="1"/>
    <col min="5892" max="5892" width="14.5546875" style="5" bestFit="1" customWidth="1"/>
    <col min="5893" max="5893" width="9.44140625" style="5" bestFit="1" customWidth="1"/>
    <col min="5894" max="5894" width="13.6640625" style="5" customWidth="1"/>
    <col min="5895" max="5895" width="8.6640625" style="5" customWidth="1"/>
    <col min="5896" max="5896" width="16.33203125" style="5" customWidth="1"/>
    <col min="5897" max="5897" width="21.6640625" style="5" customWidth="1"/>
    <col min="5898" max="5898" width="13.109375" style="5" bestFit="1" customWidth="1"/>
    <col min="5899" max="5899" width="12.5546875" style="5" bestFit="1" customWidth="1"/>
    <col min="5900" max="5900" width="10.88671875" style="5" bestFit="1" customWidth="1"/>
    <col min="5901" max="5901" width="12" style="5" customWidth="1"/>
    <col min="5902" max="5902" width="11.109375" style="5" customWidth="1"/>
    <col min="5903" max="5903" width="14.6640625" style="5" customWidth="1"/>
    <col min="5904" max="5904" width="4.6640625" style="5" customWidth="1"/>
    <col min="5905" max="5905" width="12.44140625" style="5" customWidth="1"/>
    <col min="5906" max="5906" width="9.109375" style="5"/>
    <col min="5907" max="5907" width="14.6640625" style="5" bestFit="1" customWidth="1"/>
    <col min="5908" max="5908" width="12" style="5" bestFit="1" customWidth="1"/>
    <col min="5909" max="5909" width="14.6640625" style="5" bestFit="1" customWidth="1"/>
    <col min="5910" max="6144" width="9.109375" style="5"/>
    <col min="6145" max="6145" width="4.6640625" style="5" customWidth="1"/>
    <col min="6146" max="6146" width="15.6640625" style="5" bestFit="1" customWidth="1"/>
    <col min="6147" max="6147" width="65" style="5" customWidth="1"/>
    <col min="6148" max="6148" width="14.5546875" style="5" bestFit="1" customWidth="1"/>
    <col min="6149" max="6149" width="9.44140625" style="5" bestFit="1" customWidth="1"/>
    <col min="6150" max="6150" width="13.6640625" style="5" customWidth="1"/>
    <col min="6151" max="6151" width="8.6640625" style="5" customWidth="1"/>
    <col min="6152" max="6152" width="16.33203125" style="5" customWidth="1"/>
    <col min="6153" max="6153" width="21.6640625" style="5" customWidth="1"/>
    <col min="6154" max="6154" width="13.109375" style="5" bestFit="1" customWidth="1"/>
    <col min="6155" max="6155" width="12.5546875" style="5" bestFit="1" customWidth="1"/>
    <col min="6156" max="6156" width="10.88671875" style="5" bestFit="1" customWidth="1"/>
    <col min="6157" max="6157" width="12" style="5" customWidth="1"/>
    <col min="6158" max="6158" width="11.109375" style="5" customWidth="1"/>
    <col min="6159" max="6159" width="14.6640625" style="5" customWidth="1"/>
    <col min="6160" max="6160" width="4.6640625" style="5" customWidth="1"/>
    <col min="6161" max="6161" width="12.44140625" style="5" customWidth="1"/>
    <col min="6162" max="6162" width="9.109375" style="5"/>
    <col min="6163" max="6163" width="14.6640625" style="5" bestFit="1" customWidth="1"/>
    <col min="6164" max="6164" width="12" style="5" bestFit="1" customWidth="1"/>
    <col min="6165" max="6165" width="14.6640625" style="5" bestFit="1" customWidth="1"/>
    <col min="6166" max="6400" width="9.109375" style="5"/>
    <col min="6401" max="6401" width="4.6640625" style="5" customWidth="1"/>
    <col min="6402" max="6402" width="15.6640625" style="5" bestFit="1" customWidth="1"/>
    <col min="6403" max="6403" width="65" style="5" customWidth="1"/>
    <col min="6404" max="6404" width="14.5546875" style="5" bestFit="1" customWidth="1"/>
    <col min="6405" max="6405" width="9.44140625" style="5" bestFit="1" customWidth="1"/>
    <col min="6406" max="6406" width="13.6640625" style="5" customWidth="1"/>
    <col min="6407" max="6407" width="8.6640625" style="5" customWidth="1"/>
    <col min="6408" max="6408" width="16.33203125" style="5" customWidth="1"/>
    <col min="6409" max="6409" width="21.6640625" style="5" customWidth="1"/>
    <col min="6410" max="6410" width="13.109375" style="5" bestFit="1" customWidth="1"/>
    <col min="6411" max="6411" width="12.5546875" style="5" bestFit="1" customWidth="1"/>
    <col min="6412" max="6412" width="10.88671875" style="5" bestFit="1" customWidth="1"/>
    <col min="6413" max="6413" width="12" style="5" customWidth="1"/>
    <col min="6414" max="6414" width="11.109375" style="5" customWidth="1"/>
    <col min="6415" max="6415" width="14.6640625" style="5" customWidth="1"/>
    <col min="6416" max="6416" width="4.6640625" style="5" customWidth="1"/>
    <col min="6417" max="6417" width="12.44140625" style="5" customWidth="1"/>
    <col min="6418" max="6418" width="9.109375" style="5"/>
    <col min="6419" max="6419" width="14.6640625" style="5" bestFit="1" customWidth="1"/>
    <col min="6420" max="6420" width="12" style="5" bestFit="1" customWidth="1"/>
    <col min="6421" max="6421" width="14.6640625" style="5" bestFit="1" customWidth="1"/>
    <col min="6422" max="6656" width="9.109375" style="5"/>
    <col min="6657" max="6657" width="4.6640625" style="5" customWidth="1"/>
    <col min="6658" max="6658" width="15.6640625" style="5" bestFit="1" customWidth="1"/>
    <col min="6659" max="6659" width="65" style="5" customWidth="1"/>
    <col min="6660" max="6660" width="14.5546875" style="5" bestFit="1" customWidth="1"/>
    <col min="6661" max="6661" width="9.44140625" style="5" bestFit="1" customWidth="1"/>
    <col min="6662" max="6662" width="13.6640625" style="5" customWidth="1"/>
    <col min="6663" max="6663" width="8.6640625" style="5" customWidth="1"/>
    <col min="6664" max="6664" width="16.33203125" style="5" customWidth="1"/>
    <col min="6665" max="6665" width="21.6640625" style="5" customWidth="1"/>
    <col min="6666" max="6666" width="13.109375" style="5" bestFit="1" customWidth="1"/>
    <col min="6667" max="6667" width="12.5546875" style="5" bestFit="1" customWidth="1"/>
    <col min="6668" max="6668" width="10.88671875" style="5" bestFit="1" customWidth="1"/>
    <col min="6669" max="6669" width="12" style="5" customWidth="1"/>
    <col min="6670" max="6670" width="11.109375" style="5" customWidth="1"/>
    <col min="6671" max="6671" width="14.6640625" style="5" customWidth="1"/>
    <col min="6672" max="6672" width="4.6640625" style="5" customWidth="1"/>
    <col min="6673" max="6673" width="12.44140625" style="5" customWidth="1"/>
    <col min="6674" max="6674" width="9.109375" style="5"/>
    <col min="6675" max="6675" width="14.6640625" style="5" bestFit="1" customWidth="1"/>
    <col min="6676" max="6676" width="12" style="5" bestFit="1" customWidth="1"/>
    <col min="6677" max="6677" width="14.6640625" style="5" bestFit="1" customWidth="1"/>
    <col min="6678" max="6912" width="9.109375" style="5"/>
    <col min="6913" max="6913" width="4.6640625" style="5" customWidth="1"/>
    <col min="6914" max="6914" width="15.6640625" style="5" bestFit="1" customWidth="1"/>
    <col min="6915" max="6915" width="65" style="5" customWidth="1"/>
    <col min="6916" max="6916" width="14.5546875" style="5" bestFit="1" customWidth="1"/>
    <col min="6917" max="6917" width="9.44140625" style="5" bestFit="1" customWidth="1"/>
    <col min="6918" max="6918" width="13.6640625" style="5" customWidth="1"/>
    <col min="6919" max="6919" width="8.6640625" style="5" customWidth="1"/>
    <col min="6920" max="6920" width="16.33203125" style="5" customWidth="1"/>
    <col min="6921" max="6921" width="21.6640625" style="5" customWidth="1"/>
    <col min="6922" max="6922" width="13.109375" style="5" bestFit="1" customWidth="1"/>
    <col min="6923" max="6923" width="12.5546875" style="5" bestFit="1" customWidth="1"/>
    <col min="6924" max="6924" width="10.88671875" style="5" bestFit="1" customWidth="1"/>
    <col min="6925" max="6925" width="12" style="5" customWidth="1"/>
    <col min="6926" max="6926" width="11.109375" style="5" customWidth="1"/>
    <col min="6927" max="6927" width="14.6640625" style="5" customWidth="1"/>
    <col min="6928" max="6928" width="4.6640625" style="5" customWidth="1"/>
    <col min="6929" max="6929" width="12.44140625" style="5" customWidth="1"/>
    <col min="6930" max="6930" width="9.109375" style="5"/>
    <col min="6931" max="6931" width="14.6640625" style="5" bestFit="1" customWidth="1"/>
    <col min="6932" max="6932" width="12" style="5" bestFit="1" customWidth="1"/>
    <col min="6933" max="6933" width="14.6640625" style="5" bestFit="1" customWidth="1"/>
    <col min="6934" max="7168" width="9.109375" style="5"/>
    <col min="7169" max="7169" width="4.6640625" style="5" customWidth="1"/>
    <col min="7170" max="7170" width="15.6640625" style="5" bestFit="1" customWidth="1"/>
    <col min="7171" max="7171" width="65" style="5" customWidth="1"/>
    <col min="7172" max="7172" width="14.5546875" style="5" bestFit="1" customWidth="1"/>
    <col min="7173" max="7173" width="9.44140625" style="5" bestFit="1" customWidth="1"/>
    <col min="7174" max="7174" width="13.6640625" style="5" customWidth="1"/>
    <col min="7175" max="7175" width="8.6640625" style="5" customWidth="1"/>
    <col min="7176" max="7176" width="16.33203125" style="5" customWidth="1"/>
    <col min="7177" max="7177" width="21.6640625" style="5" customWidth="1"/>
    <col min="7178" max="7178" width="13.109375" style="5" bestFit="1" customWidth="1"/>
    <col min="7179" max="7179" width="12.5546875" style="5" bestFit="1" customWidth="1"/>
    <col min="7180" max="7180" width="10.88671875" style="5" bestFit="1" customWidth="1"/>
    <col min="7181" max="7181" width="12" style="5" customWidth="1"/>
    <col min="7182" max="7182" width="11.109375" style="5" customWidth="1"/>
    <col min="7183" max="7183" width="14.6640625" style="5" customWidth="1"/>
    <col min="7184" max="7184" width="4.6640625" style="5" customWidth="1"/>
    <col min="7185" max="7185" width="12.44140625" style="5" customWidth="1"/>
    <col min="7186" max="7186" width="9.109375" style="5"/>
    <col min="7187" max="7187" width="14.6640625" style="5" bestFit="1" customWidth="1"/>
    <col min="7188" max="7188" width="12" style="5" bestFit="1" customWidth="1"/>
    <col min="7189" max="7189" width="14.6640625" style="5" bestFit="1" customWidth="1"/>
    <col min="7190" max="7424" width="9.109375" style="5"/>
    <col min="7425" max="7425" width="4.6640625" style="5" customWidth="1"/>
    <col min="7426" max="7426" width="15.6640625" style="5" bestFit="1" customWidth="1"/>
    <col min="7427" max="7427" width="65" style="5" customWidth="1"/>
    <col min="7428" max="7428" width="14.5546875" style="5" bestFit="1" customWidth="1"/>
    <col min="7429" max="7429" width="9.44140625" style="5" bestFit="1" customWidth="1"/>
    <col min="7430" max="7430" width="13.6640625" style="5" customWidth="1"/>
    <col min="7431" max="7431" width="8.6640625" style="5" customWidth="1"/>
    <col min="7432" max="7432" width="16.33203125" style="5" customWidth="1"/>
    <col min="7433" max="7433" width="21.6640625" style="5" customWidth="1"/>
    <col min="7434" max="7434" width="13.109375" style="5" bestFit="1" customWidth="1"/>
    <col min="7435" max="7435" width="12.5546875" style="5" bestFit="1" customWidth="1"/>
    <col min="7436" max="7436" width="10.88671875" style="5" bestFit="1" customWidth="1"/>
    <col min="7437" max="7437" width="12" style="5" customWidth="1"/>
    <col min="7438" max="7438" width="11.109375" style="5" customWidth="1"/>
    <col min="7439" max="7439" width="14.6640625" style="5" customWidth="1"/>
    <col min="7440" max="7440" width="4.6640625" style="5" customWidth="1"/>
    <col min="7441" max="7441" width="12.44140625" style="5" customWidth="1"/>
    <col min="7442" max="7442" width="9.109375" style="5"/>
    <col min="7443" max="7443" width="14.6640625" style="5" bestFit="1" customWidth="1"/>
    <col min="7444" max="7444" width="12" style="5" bestFit="1" customWidth="1"/>
    <col min="7445" max="7445" width="14.6640625" style="5" bestFit="1" customWidth="1"/>
    <col min="7446" max="7680" width="9.109375" style="5"/>
    <col min="7681" max="7681" width="4.6640625" style="5" customWidth="1"/>
    <col min="7682" max="7682" width="15.6640625" style="5" bestFit="1" customWidth="1"/>
    <col min="7683" max="7683" width="65" style="5" customWidth="1"/>
    <col min="7684" max="7684" width="14.5546875" style="5" bestFit="1" customWidth="1"/>
    <col min="7685" max="7685" width="9.44140625" style="5" bestFit="1" customWidth="1"/>
    <col min="7686" max="7686" width="13.6640625" style="5" customWidth="1"/>
    <col min="7687" max="7687" width="8.6640625" style="5" customWidth="1"/>
    <col min="7688" max="7688" width="16.33203125" style="5" customWidth="1"/>
    <col min="7689" max="7689" width="21.6640625" style="5" customWidth="1"/>
    <col min="7690" max="7690" width="13.109375" style="5" bestFit="1" customWidth="1"/>
    <col min="7691" max="7691" width="12.5546875" style="5" bestFit="1" customWidth="1"/>
    <col min="7692" max="7692" width="10.88671875" style="5" bestFit="1" customWidth="1"/>
    <col min="7693" max="7693" width="12" style="5" customWidth="1"/>
    <col min="7694" max="7694" width="11.109375" style="5" customWidth="1"/>
    <col min="7695" max="7695" width="14.6640625" style="5" customWidth="1"/>
    <col min="7696" max="7696" width="4.6640625" style="5" customWidth="1"/>
    <col min="7697" max="7697" width="12.44140625" style="5" customWidth="1"/>
    <col min="7698" max="7698" width="9.109375" style="5"/>
    <col min="7699" max="7699" width="14.6640625" style="5" bestFit="1" customWidth="1"/>
    <col min="7700" max="7700" width="12" style="5" bestFit="1" customWidth="1"/>
    <col min="7701" max="7701" width="14.6640625" style="5" bestFit="1" customWidth="1"/>
    <col min="7702" max="7936" width="9.109375" style="5"/>
    <col min="7937" max="7937" width="4.6640625" style="5" customWidth="1"/>
    <col min="7938" max="7938" width="15.6640625" style="5" bestFit="1" customWidth="1"/>
    <col min="7939" max="7939" width="65" style="5" customWidth="1"/>
    <col min="7940" max="7940" width="14.5546875" style="5" bestFit="1" customWidth="1"/>
    <col min="7941" max="7941" width="9.44140625" style="5" bestFit="1" customWidth="1"/>
    <col min="7942" max="7942" width="13.6640625" style="5" customWidth="1"/>
    <col min="7943" max="7943" width="8.6640625" style="5" customWidth="1"/>
    <col min="7944" max="7944" width="16.33203125" style="5" customWidth="1"/>
    <col min="7945" max="7945" width="21.6640625" style="5" customWidth="1"/>
    <col min="7946" max="7946" width="13.109375" style="5" bestFit="1" customWidth="1"/>
    <col min="7947" max="7947" width="12.5546875" style="5" bestFit="1" customWidth="1"/>
    <col min="7948" max="7948" width="10.88671875" style="5" bestFit="1" customWidth="1"/>
    <col min="7949" max="7949" width="12" style="5" customWidth="1"/>
    <col min="7950" max="7950" width="11.109375" style="5" customWidth="1"/>
    <col min="7951" max="7951" width="14.6640625" style="5" customWidth="1"/>
    <col min="7952" max="7952" width="4.6640625" style="5" customWidth="1"/>
    <col min="7953" max="7953" width="12.44140625" style="5" customWidth="1"/>
    <col min="7954" max="7954" width="9.109375" style="5"/>
    <col min="7955" max="7955" width="14.6640625" style="5" bestFit="1" customWidth="1"/>
    <col min="7956" max="7956" width="12" style="5" bestFit="1" customWidth="1"/>
    <col min="7957" max="7957" width="14.6640625" style="5" bestFit="1" customWidth="1"/>
    <col min="7958" max="8192" width="9.109375" style="5"/>
    <col min="8193" max="8193" width="4.6640625" style="5" customWidth="1"/>
    <col min="8194" max="8194" width="15.6640625" style="5" bestFit="1" customWidth="1"/>
    <col min="8195" max="8195" width="65" style="5" customWidth="1"/>
    <col min="8196" max="8196" width="14.5546875" style="5" bestFit="1" customWidth="1"/>
    <col min="8197" max="8197" width="9.44140625" style="5" bestFit="1" customWidth="1"/>
    <col min="8198" max="8198" width="13.6640625" style="5" customWidth="1"/>
    <col min="8199" max="8199" width="8.6640625" style="5" customWidth="1"/>
    <col min="8200" max="8200" width="16.33203125" style="5" customWidth="1"/>
    <col min="8201" max="8201" width="21.6640625" style="5" customWidth="1"/>
    <col min="8202" max="8202" width="13.109375" style="5" bestFit="1" customWidth="1"/>
    <col min="8203" max="8203" width="12.5546875" style="5" bestFit="1" customWidth="1"/>
    <col min="8204" max="8204" width="10.88671875" style="5" bestFit="1" customWidth="1"/>
    <col min="8205" max="8205" width="12" style="5" customWidth="1"/>
    <col min="8206" max="8206" width="11.109375" style="5" customWidth="1"/>
    <col min="8207" max="8207" width="14.6640625" style="5" customWidth="1"/>
    <col min="8208" max="8208" width="4.6640625" style="5" customWidth="1"/>
    <col min="8209" max="8209" width="12.44140625" style="5" customWidth="1"/>
    <col min="8210" max="8210" width="9.109375" style="5"/>
    <col min="8211" max="8211" width="14.6640625" style="5" bestFit="1" customWidth="1"/>
    <col min="8212" max="8212" width="12" style="5" bestFit="1" customWidth="1"/>
    <col min="8213" max="8213" width="14.6640625" style="5" bestFit="1" customWidth="1"/>
    <col min="8214" max="8448" width="9.109375" style="5"/>
    <col min="8449" max="8449" width="4.6640625" style="5" customWidth="1"/>
    <col min="8450" max="8450" width="15.6640625" style="5" bestFit="1" customWidth="1"/>
    <col min="8451" max="8451" width="65" style="5" customWidth="1"/>
    <col min="8452" max="8452" width="14.5546875" style="5" bestFit="1" customWidth="1"/>
    <col min="8453" max="8453" width="9.44140625" style="5" bestFit="1" customWidth="1"/>
    <col min="8454" max="8454" width="13.6640625" style="5" customWidth="1"/>
    <col min="8455" max="8455" width="8.6640625" style="5" customWidth="1"/>
    <col min="8456" max="8456" width="16.33203125" style="5" customWidth="1"/>
    <col min="8457" max="8457" width="21.6640625" style="5" customWidth="1"/>
    <col min="8458" max="8458" width="13.109375" style="5" bestFit="1" customWidth="1"/>
    <col min="8459" max="8459" width="12.5546875" style="5" bestFit="1" customWidth="1"/>
    <col min="8460" max="8460" width="10.88671875" style="5" bestFit="1" customWidth="1"/>
    <col min="8461" max="8461" width="12" style="5" customWidth="1"/>
    <col min="8462" max="8462" width="11.109375" style="5" customWidth="1"/>
    <col min="8463" max="8463" width="14.6640625" style="5" customWidth="1"/>
    <col min="8464" max="8464" width="4.6640625" style="5" customWidth="1"/>
    <col min="8465" max="8465" width="12.44140625" style="5" customWidth="1"/>
    <col min="8466" max="8466" width="9.109375" style="5"/>
    <col min="8467" max="8467" width="14.6640625" style="5" bestFit="1" customWidth="1"/>
    <col min="8468" max="8468" width="12" style="5" bestFit="1" customWidth="1"/>
    <col min="8469" max="8469" width="14.6640625" style="5" bestFit="1" customWidth="1"/>
    <col min="8470" max="8704" width="9.109375" style="5"/>
    <col min="8705" max="8705" width="4.6640625" style="5" customWidth="1"/>
    <col min="8706" max="8706" width="15.6640625" style="5" bestFit="1" customWidth="1"/>
    <col min="8707" max="8707" width="65" style="5" customWidth="1"/>
    <col min="8708" max="8708" width="14.5546875" style="5" bestFit="1" customWidth="1"/>
    <col min="8709" max="8709" width="9.44140625" style="5" bestFit="1" customWidth="1"/>
    <col min="8710" max="8710" width="13.6640625" style="5" customWidth="1"/>
    <col min="8711" max="8711" width="8.6640625" style="5" customWidth="1"/>
    <col min="8712" max="8712" width="16.33203125" style="5" customWidth="1"/>
    <col min="8713" max="8713" width="21.6640625" style="5" customWidth="1"/>
    <col min="8714" max="8714" width="13.109375" style="5" bestFit="1" customWidth="1"/>
    <col min="8715" max="8715" width="12.5546875" style="5" bestFit="1" customWidth="1"/>
    <col min="8716" max="8716" width="10.88671875" style="5" bestFit="1" customWidth="1"/>
    <col min="8717" max="8717" width="12" style="5" customWidth="1"/>
    <col min="8718" max="8718" width="11.109375" style="5" customWidth="1"/>
    <col min="8719" max="8719" width="14.6640625" style="5" customWidth="1"/>
    <col min="8720" max="8720" width="4.6640625" style="5" customWidth="1"/>
    <col min="8721" max="8721" width="12.44140625" style="5" customWidth="1"/>
    <col min="8722" max="8722" width="9.109375" style="5"/>
    <col min="8723" max="8723" width="14.6640625" style="5" bestFit="1" customWidth="1"/>
    <col min="8724" max="8724" width="12" style="5" bestFit="1" customWidth="1"/>
    <col min="8725" max="8725" width="14.6640625" style="5" bestFit="1" customWidth="1"/>
    <col min="8726" max="8960" width="9.109375" style="5"/>
    <col min="8961" max="8961" width="4.6640625" style="5" customWidth="1"/>
    <col min="8962" max="8962" width="15.6640625" style="5" bestFit="1" customWidth="1"/>
    <col min="8963" max="8963" width="65" style="5" customWidth="1"/>
    <col min="8964" max="8964" width="14.5546875" style="5" bestFit="1" customWidth="1"/>
    <col min="8965" max="8965" width="9.44140625" style="5" bestFit="1" customWidth="1"/>
    <col min="8966" max="8966" width="13.6640625" style="5" customWidth="1"/>
    <col min="8967" max="8967" width="8.6640625" style="5" customWidth="1"/>
    <col min="8968" max="8968" width="16.33203125" style="5" customWidth="1"/>
    <col min="8969" max="8969" width="21.6640625" style="5" customWidth="1"/>
    <col min="8970" max="8970" width="13.109375" style="5" bestFit="1" customWidth="1"/>
    <col min="8971" max="8971" width="12.5546875" style="5" bestFit="1" customWidth="1"/>
    <col min="8972" max="8972" width="10.88671875" style="5" bestFit="1" customWidth="1"/>
    <col min="8973" max="8973" width="12" style="5" customWidth="1"/>
    <col min="8974" max="8974" width="11.109375" style="5" customWidth="1"/>
    <col min="8975" max="8975" width="14.6640625" style="5" customWidth="1"/>
    <col min="8976" max="8976" width="4.6640625" style="5" customWidth="1"/>
    <col min="8977" max="8977" width="12.44140625" style="5" customWidth="1"/>
    <col min="8978" max="8978" width="9.109375" style="5"/>
    <col min="8979" max="8979" width="14.6640625" style="5" bestFit="1" customWidth="1"/>
    <col min="8980" max="8980" width="12" style="5" bestFit="1" customWidth="1"/>
    <col min="8981" max="8981" width="14.6640625" style="5" bestFit="1" customWidth="1"/>
    <col min="8982" max="9216" width="9.109375" style="5"/>
    <col min="9217" max="9217" width="4.6640625" style="5" customWidth="1"/>
    <col min="9218" max="9218" width="15.6640625" style="5" bestFit="1" customWidth="1"/>
    <col min="9219" max="9219" width="65" style="5" customWidth="1"/>
    <col min="9220" max="9220" width="14.5546875" style="5" bestFit="1" customWidth="1"/>
    <col min="9221" max="9221" width="9.44140625" style="5" bestFit="1" customWidth="1"/>
    <col min="9222" max="9222" width="13.6640625" style="5" customWidth="1"/>
    <col min="9223" max="9223" width="8.6640625" style="5" customWidth="1"/>
    <col min="9224" max="9224" width="16.33203125" style="5" customWidth="1"/>
    <col min="9225" max="9225" width="21.6640625" style="5" customWidth="1"/>
    <col min="9226" max="9226" width="13.109375" style="5" bestFit="1" customWidth="1"/>
    <col min="9227" max="9227" width="12.5546875" style="5" bestFit="1" customWidth="1"/>
    <col min="9228" max="9228" width="10.88671875" style="5" bestFit="1" customWidth="1"/>
    <col min="9229" max="9229" width="12" style="5" customWidth="1"/>
    <col min="9230" max="9230" width="11.109375" style="5" customWidth="1"/>
    <col min="9231" max="9231" width="14.6640625" style="5" customWidth="1"/>
    <col min="9232" max="9232" width="4.6640625" style="5" customWidth="1"/>
    <col min="9233" max="9233" width="12.44140625" style="5" customWidth="1"/>
    <col min="9234" max="9234" width="9.109375" style="5"/>
    <col min="9235" max="9235" width="14.6640625" style="5" bestFit="1" customWidth="1"/>
    <col min="9236" max="9236" width="12" style="5" bestFit="1" customWidth="1"/>
    <col min="9237" max="9237" width="14.6640625" style="5" bestFit="1" customWidth="1"/>
    <col min="9238" max="9472" width="9.109375" style="5"/>
    <col min="9473" max="9473" width="4.6640625" style="5" customWidth="1"/>
    <col min="9474" max="9474" width="15.6640625" style="5" bestFit="1" customWidth="1"/>
    <col min="9475" max="9475" width="65" style="5" customWidth="1"/>
    <col min="9476" max="9476" width="14.5546875" style="5" bestFit="1" customWidth="1"/>
    <col min="9477" max="9477" width="9.44140625" style="5" bestFit="1" customWidth="1"/>
    <col min="9478" max="9478" width="13.6640625" style="5" customWidth="1"/>
    <col min="9479" max="9479" width="8.6640625" style="5" customWidth="1"/>
    <col min="9480" max="9480" width="16.33203125" style="5" customWidth="1"/>
    <col min="9481" max="9481" width="21.6640625" style="5" customWidth="1"/>
    <col min="9482" max="9482" width="13.109375" style="5" bestFit="1" customWidth="1"/>
    <col min="9483" max="9483" width="12.5546875" style="5" bestFit="1" customWidth="1"/>
    <col min="9484" max="9484" width="10.88671875" style="5" bestFit="1" customWidth="1"/>
    <col min="9485" max="9485" width="12" style="5" customWidth="1"/>
    <col min="9486" max="9486" width="11.109375" style="5" customWidth="1"/>
    <col min="9487" max="9487" width="14.6640625" style="5" customWidth="1"/>
    <col min="9488" max="9488" width="4.6640625" style="5" customWidth="1"/>
    <col min="9489" max="9489" width="12.44140625" style="5" customWidth="1"/>
    <col min="9490" max="9490" width="9.109375" style="5"/>
    <col min="9491" max="9491" width="14.6640625" style="5" bestFit="1" customWidth="1"/>
    <col min="9492" max="9492" width="12" style="5" bestFit="1" customWidth="1"/>
    <col min="9493" max="9493" width="14.6640625" style="5" bestFit="1" customWidth="1"/>
    <col min="9494" max="9728" width="9.109375" style="5"/>
    <col min="9729" max="9729" width="4.6640625" style="5" customWidth="1"/>
    <col min="9730" max="9730" width="15.6640625" style="5" bestFit="1" customWidth="1"/>
    <col min="9731" max="9731" width="65" style="5" customWidth="1"/>
    <col min="9732" max="9732" width="14.5546875" style="5" bestFit="1" customWidth="1"/>
    <col min="9733" max="9733" width="9.44140625" style="5" bestFit="1" customWidth="1"/>
    <col min="9734" max="9734" width="13.6640625" style="5" customWidth="1"/>
    <col min="9735" max="9735" width="8.6640625" style="5" customWidth="1"/>
    <col min="9736" max="9736" width="16.33203125" style="5" customWidth="1"/>
    <col min="9737" max="9737" width="21.6640625" style="5" customWidth="1"/>
    <col min="9738" max="9738" width="13.109375" style="5" bestFit="1" customWidth="1"/>
    <col min="9739" max="9739" width="12.5546875" style="5" bestFit="1" customWidth="1"/>
    <col min="9740" max="9740" width="10.88671875" style="5" bestFit="1" customWidth="1"/>
    <col min="9741" max="9741" width="12" style="5" customWidth="1"/>
    <col min="9742" max="9742" width="11.109375" style="5" customWidth="1"/>
    <col min="9743" max="9743" width="14.6640625" style="5" customWidth="1"/>
    <col min="9744" max="9744" width="4.6640625" style="5" customWidth="1"/>
    <col min="9745" max="9745" width="12.44140625" style="5" customWidth="1"/>
    <col min="9746" max="9746" width="9.109375" style="5"/>
    <col min="9747" max="9747" width="14.6640625" style="5" bestFit="1" customWidth="1"/>
    <col min="9748" max="9748" width="12" style="5" bestFit="1" customWidth="1"/>
    <col min="9749" max="9749" width="14.6640625" style="5" bestFit="1" customWidth="1"/>
    <col min="9750" max="9984" width="9.109375" style="5"/>
    <col min="9985" max="9985" width="4.6640625" style="5" customWidth="1"/>
    <col min="9986" max="9986" width="15.6640625" style="5" bestFit="1" customWidth="1"/>
    <col min="9987" max="9987" width="65" style="5" customWidth="1"/>
    <col min="9988" max="9988" width="14.5546875" style="5" bestFit="1" customWidth="1"/>
    <col min="9989" max="9989" width="9.44140625" style="5" bestFit="1" customWidth="1"/>
    <col min="9990" max="9990" width="13.6640625" style="5" customWidth="1"/>
    <col min="9991" max="9991" width="8.6640625" style="5" customWidth="1"/>
    <col min="9992" max="9992" width="16.33203125" style="5" customWidth="1"/>
    <col min="9993" max="9993" width="21.6640625" style="5" customWidth="1"/>
    <col min="9994" max="9994" width="13.109375" style="5" bestFit="1" customWidth="1"/>
    <col min="9995" max="9995" width="12.5546875" style="5" bestFit="1" customWidth="1"/>
    <col min="9996" max="9996" width="10.88671875" style="5" bestFit="1" customWidth="1"/>
    <col min="9997" max="9997" width="12" style="5" customWidth="1"/>
    <col min="9998" max="9998" width="11.109375" style="5" customWidth="1"/>
    <col min="9999" max="9999" width="14.6640625" style="5" customWidth="1"/>
    <col min="10000" max="10000" width="4.6640625" style="5" customWidth="1"/>
    <col min="10001" max="10001" width="12.44140625" style="5" customWidth="1"/>
    <col min="10002" max="10002" width="9.109375" style="5"/>
    <col min="10003" max="10003" width="14.6640625" style="5" bestFit="1" customWidth="1"/>
    <col min="10004" max="10004" width="12" style="5" bestFit="1" customWidth="1"/>
    <col min="10005" max="10005" width="14.6640625" style="5" bestFit="1" customWidth="1"/>
    <col min="10006" max="10240" width="9.109375" style="5"/>
    <col min="10241" max="10241" width="4.6640625" style="5" customWidth="1"/>
    <col min="10242" max="10242" width="15.6640625" style="5" bestFit="1" customWidth="1"/>
    <col min="10243" max="10243" width="65" style="5" customWidth="1"/>
    <col min="10244" max="10244" width="14.5546875" style="5" bestFit="1" customWidth="1"/>
    <col min="10245" max="10245" width="9.44140625" style="5" bestFit="1" customWidth="1"/>
    <col min="10246" max="10246" width="13.6640625" style="5" customWidth="1"/>
    <col min="10247" max="10247" width="8.6640625" style="5" customWidth="1"/>
    <col min="10248" max="10248" width="16.33203125" style="5" customWidth="1"/>
    <col min="10249" max="10249" width="21.6640625" style="5" customWidth="1"/>
    <col min="10250" max="10250" width="13.109375" style="5" bestFit="1" customWidth="1"/>
    <col min="10251" max="10251" width="12.5546875" style="5" bestFit="1" customWidth="1"/>
    <col min="10252" max="10252" width="10.88671875" style="5" bestFit="1" customWidth="1"/>
    <col min="10253" max="10253" width="12" style="5" customWidth="1"/>
    <col min="10254" max="10254" width="11.109375" style="5" customWidth="1"/>
    <col min="10255" max="10255" width="14.6640625" style="5" customWidth="1"/>
    <col min="10256" max="10256" width="4.6640625" style="5" customWidth="1"/>
    <col min="10257" max="10257" width="12.44140625" style="5" customWidth="1"/>
    <col min="10258" max="10258" width="9.109375" style="5"/>
    <col min="10259" max="10259" width="14.6640625" style="5" bestFit="1" customWidth="1"/>
    <col min="10260" max="10260" width="12" style="5" bestFit="1" customWidth="1"/>
    <col min="10261" max="10261" width="14.6640625" style="5" bestFit="1" customWidth="1"/>
    <col min="10262" max="10496" width="9.109375" style="5"/>
    <col min="10497" max="10497" width="4.6640625" style="5" customWidth="1"/>
    <col min="10498" max="10498" width="15.6640625" style="5" bestFit="1" customWidth="1"/>
    <col min="10499" max="10499" width="65" style="5" customWidth="1"/>
    <col min="10500" max="10500" width="14.5546875" style="5" bestFit="1" customWidth="1"/>
    <col min="10501" max="10501" width="9.44140625" style="5" bestFit="1" customWidth="1"/>
    <col min="10502" max="10502" width="13.6640625" style="5" customWidth="1"/>
    <col min="10503" max="10503" width="8.6640625" style="5" customWidth="1"/>
    <col min="10504" max="10504" width="16.33203125" style="5" customWidth="1"/>
    <col min="10505" max="10505" width="21.6640625" style="5" customWidth="1"/>
    <col min="10506" max="10506" width="13.109375" style="5" bestFit="1" customWidth="1"/>
    <col min="10507" max="10507" width="12.5546875" style="5" bestFit="1" customWidth="1"/>
    <col min="10508" max="10508" width="10.88671875" style="5" bestFit="1" customWidth="1"/>
    <col min="10509" max="10509" width="12" style="5" customWidth="1"/>
    <col min="10510" max="10510" width="11.109375" style="5" customWidth="1"/>
    <col min="10511" max="10511" width="14.6640625" style="5" customWidth="1"/>
    <col min="10512" max="10512" width="4.6640625" style="5" customWidth="1"/>
    <col min="10513" max="10513" width="12.44140625" style="5" customWidth="1"/>
    <col min="10514" max="10514" width="9.109375" style="5"/>
    <col min="10515" max="10515" width="14.6640625" style="5" bestFit="1" customWidth="1"/>
    <col min="10516" max="10516" width="12" style="5" bestFit="1" customWidth="1"/>
    <col min="10517" max="10517" width="14.6640625" style="5" bestFit="1" customWidth="1"/>
    <col min="10518" max="10752" width="9.109375" style="5"/>
    <col min="10753" max="10753" width="4.6640625" style="5" customWidth="1"/>
    <col min="10754" max="10754" width="15.6640625" style="5" bestFit="1" customWidth="1"/>
    <col min="10755" max="10755" width="65" style="5" customWidth="1"/>
    <col min="10756" max="10756" width="14.5546875" style="5" bestFit="1" customWidth="1"/>
    <col min="10757" max="10757" width="9.44140625" style="5" bestFit="1" customWidth="1"/>
    <col min="10758" max="10758" width="13.6640625" style="5" customWidth="1"/>
    <col min="10759" max="10759" width="8.6640625" style="5" customWidth="1"/>
    <col min="10760" max="10760" width="16.33203125" style="5" customWidth="1"/>
    <col min="10761" max="10761" width="21.6640625" style="5" customWidth="1"/>
    <col min="10762" max="10762" width="13.109375" style="5" bestFit="1" customWidth="1"/>
    <col min="10763" max="10763" width="12.5546875" style="5" bestFit="1" customWidth="1"/>
    <col min="10764" max="10764" width="10.88671875" style="5" bestFit="1" customWidth="1"/>
    <col min="10765" max="10765" width="12" style="5" customWidth="1"/>
    <col min="10766" max="10766" width="11.109375" style="5" customWidth="1"/>
    <col min="10767" max="10767" width="14.6640625" style="5" customWidth="1"/>
    <col min="10768" max="10768" width="4.6640625" style="5" customWidth="1"/>
    <col min="10769" max="10769" width="12.44140625" style="5" customWidth="1"/>
    <col min="10770" max="10770" width="9.109375" style="5"/>
    <col min="10771" max="10771" width="14.6640625" style="5" bestFit="1" customWidth="1"/>
    <col min="10772" max="10772" width="12" style="5" bestFit="1" customWidth="1"/>
    <col min="10773" max="10773" width="14.6640625" style="5" bestFit="1" customWidth="1"/>
    <col min="10774" max="11008" width="9.109375" style="5"/>
    <col min="11009" max="11009" width="4.6640625" style="5" customWidth="1"/>
    <col min="11010" max="11010" width="15.6640625" style="5" bestFit="1" customWidth="1"/>
    <col min="11011" max="11011" width="65" style="5" customWidth="1"/>
    <col min="11012" max="11012" width="14.5546875" style="5" bestFit="1" customWidth="1"/>
    <col min="11013" max="11013" width="9.44140625" style="5" bestFit="1" customWidth="1"/>
    <col min="11014" max="11014" width="13.6640625" style="5" customWidth="1"/>
    <col min="11015" max="11015" width="8.6640625" style="5" customWidth="1"/>
    <col min="11016" max="11016" width="16.33203125" style="5" customWidth="1"/>
    <col min="11017" max="11017" width="21.6640625" style="5" customWidth="1"/>
    <col min="11018" max="11018" width="13.109375" style="5" bestFit="1" customWidth="1"/>
    <col min="11019" max="11019" width="12.5546875" style="5" bestFit="1" customWidth="1"/>
    <col min="11020" max="11020" width="10.88671875" style="5" bestFit="1" customWidth="1"/>
    <col min="11021" max="11021" width="12" style="5" customWidth="1"/>
    <col min="11022" max="11022" width="11.109375" style="5" customWidth="1"/>
    <col min="11023" max="11023" width="14.6640625" style="5" customWidth="1"/>
    <col min="11024" max="11024" width="4.6640625" style="5" customWidth="1"/>
    <col min="11025" max="11025" width="12.44140625" style="5" customWidth="1"/>
    <col min="11026" max="11026" width="9.109375" style="5"/>
    <col min="11027" max="11027" width="14.6640625" style="5" bestFit="1" customWidth="1"/>
    <col min="11028" max="11028" width="12" style="5" bestFit="1" customWidth="1"/>
    <col min="11029" max="11029" width="14.6640625" style="5" bestFit="1" customWidth="1"/>
    <col min="11030" max="11264" width="9.109375" style="5"/>
    <col min="11265" max="11265" width="4.6640625" style="5" customWidth="1"/>
    <col min="11266" max="11266" width="15.6640625" style="5" bestFit="1" customWidth="1"/>
    <col min="11267" max="11267" width="65" style="5" customWidth="1"/>
    <col min="11268" max="11268" width="14.5546875" style="5" bestFit="1" customWidth="1"/>
    <col min="11269" max="11269" width="9.44140625" style="5" bestFit="1" customWidth="1"/>
    <col min="11270" max="11270" width="13.6640625" style="5" customWidth="1"/>
    <col min="11271" max="11271" width="8.6640625" style="5" customWidth="1"/>
    <col min="11272" max="11272" width="16.33203125" style="5" customWidth="1"/>
    <col min="11273" max="11273" width="21.6640625" style="5" customWidth="1"/>
    <col min="11274" max="11274" width="13.109375" style="5" bestFit="1" customWidth="1"/>
    <col min="11275" max="11275" width="12.5546875" style="5" bestFit="1" customWidth="1"/>
    <col min="11276" max="11276" width="10.88671875" style="5" bestFit="1" customWidth="1"/>
    <col min="11277" max="11277" width="12" style="5" customWidth="1"/>
    <col min="11278" max="11278" width="11.109375" style="5" customWidth="1"/>
    <col min="11279" max="11279" width="14.6640625" style="5" customWidth="1"/>
    <col min="11280" max="11280" width="4.6640625" style="5" customWidth="1"/>
    <col min="11281" max="11281" width="12.44140625" style="5" customWidth="1"/>
    <col min="11282" max="11282" width="9.109375" style="5"/>
    <col min="11283" max="11283" width="14.6640625" style="5" bestFit="1" customWidth="1"/>
    <col min="11284" max="11284" width="12" style="5" bestFit="1" customWidth="1"/>
    <col min="11285" max="11285" width="14.6640625" style="5" bestFit="1" customWidth="1"/>
    <col min="11286" max="11520" width="9.109375" style="5"/>
    <col min="11521" max="11521" width="4.6640625" style="5" customWidth="1"/>
    <col min="11522" max="11522" width="15.6640625" style="5" bestFit="1" customWidth="1"/>
    <col min="11523" max="11523" width="65" style="5" customWidth="1"/>
    <col min="11524" max="11524" width="14.5546875" style="5" bestFit="1" customWidth="1"/>
    <col min="11525" max="11525" width="9.44140625" style="5" bestFit="1" customWidth="1"/>
    <col min="11526" max="11526" width="13.6640625" style="5" customWidth="1"/>
    <col min="11527" max="11527" width="8.6640625" style="5" customWidth="1"/>
    <col min="11528" max="11528" width="16.33203125" style="5" customWidth="1"/>
    <col min="11529" max="11529" width="21.6640625" style="5" customWidth="1"/>
    <col min="11530" max="11530" width="13.109375" style="5" bestFit="1" customWidth="1"/>
    <col min="11531" max="11531" width="12.5546875" style="5" bestFit="1" customWidth="1"/>
    <col min="11532" max="11532" width="10.88671875" style="5" bestFit="1" customWidth="1"/>
    <col min="11533" max="11533" width="12" style="5" customWidth="1"/>
    <col min="11534" max="11534" width="11.109375" style="5" customWidth="1"/>
    <col min="11535" max="11535" width="14.6640625" style="5" customWidth="1"/>
    <col min="11536" max="11536" width="4.6640625" style="5" customWidth="1"/>
    <col min="11537" max="11537" width="12.44140625" style="5" customWidth="1"/>
    <col min="11538" max="11538" width="9.109375" style="5"/>
    <col min="11539" max="11539" width="14.6640625" style="5" bestFit="1" customWidth="1"/>
    <col min="11540" max="11540" width="12" style="5" bestFit="1" customWidth="1"/>
    <col min="11541" max="11541" width="14.6640625" style="5" bestFit="1" customWidth="1"/>
    <col min="11542" max="11776" width="9.109375" style="5"/>
    <col min="11777" max="11777" width="4.6640625" style="5" customWidth="1"/>
    <col min="11778" max="11778" width="15.6640625" style="5" bestFit="1" customWidth="1"/>
    <col min="11779" max="11779" width="65" style="5" customWidth="1"/>
    <col min="11780" max="11780" width="14.5546875" style="5" bestFit="1" customWidth="1"/>
    <col min="11781" max="11781" width="9.44140625" style="5" bestFit="1" customWidth="1"/>
    <col min="11782" max="11782" width="13.6640625" style="5" customWidth="1"/>
    <col min="11783" max="11783" width="8.6640625" style="5" customWidth="1"/>
    <col min="11784" max="11784" width="16.33203125" style="5" customWidth="1"/>
    <col min="11785" max="11785" width="21.6640625" style="5" customWidth="1"/>
    <col min="11786" max="11786" width="13.109375" style="5" bestFit="1" customWidth="1"/>
    <col min="11787" max="11787" width="12.5546875" style="5" bestFit="1" customWidth="1"/>
    <col min="11788" max="11788" width="10.88671875" style="5" bestFit="1" customWidth="1"/>
    <col min="11789" max="11789" width="12" style="5" customWidth="1"/>
    <col min="11790" max="11790" width="11.109375" style="5" customWidth="1"/>
    <col min="11791" max="11791" width="14.6640625" style="5" customWidth="1"/>
    <col min="11792" max="11792" width="4.6640625" style="5" customWidth="1"/>
    <col min="11793" max="11793" width="12.44140625" style="5" customWidth="1"/>
    <col min="11794" max="11794" width="9.109375" style="5"/>
    <col min="11795" max="11795" width="14.6640625" style="5" bestFit="1" customWidth="1"/>
    <col min="11796" max="11796" width="12" style="5" bestFit="1" customWidth="1"/>
    <col min="11797" max="11797" width="14.6640625" style="5" bestFit="1" customWidth="1"/>
    <col min="11798" max="12032" width="9.109375" style="5"/>
    <col min="12033" max="12033" width="4.6640625" style="5" customWidth="1"/>
    <col min="12034" max="12034" width="15.6640625" style="5" bestFit="1" customWidth="1"/>
    <col min="12035" max="12035" width="65" style="5" customWidth="1"/>
    <col min="12036" max="12036" width="14.5546875" style="5" bestFit="1" customWidth="1"/>
    <col min="12037" max="12037" width="9.44140625" style="5" bestFit="1" customWidth="1"/>
    <col min="12038" max="12038" width="13.6640625" style="5" customWidth="1"/>
    <col min="12039" max="12039" width="8.6640625" style="5" customWidth="1"/>
    <col min="12040" max="12040" width="16.33203125" style="5" customWidth="1"/>
    <col min="12041" max="12041" width="21.6640625" style="5" customWidth="1"/>
    <col min="12042" max="12042" width="13.109375" style="5" bestFit="1" customWidth="1"/>
    <col min="12043" max="12043" width="12.5546875" style="5" bestFit="1" customWidth="1"/>
    <col min="12044" max="12044" width="10.88671875" style="5" bestFit="1" customWidth="1"/>
    <col min="12045" max="12045" width="12" style="5" customWidth="1"/>
    <col min="12046" max="12046" width="11.109375" style="5" customWidth="1"/>
    <col min="12047" max="12047" width="14.6640625" style="5" customWidth="1"/>
    <col min="12048" max="12048" width="4.6640625" style="5" customWidth="1"/>
    <col min="12049" max="12049" width="12.44140625" style="5" customWidth="1"/>
    <col min="12050" max="12050" width="9.109375" style="5"/>
    <col min="12051" max="12051" width="14.6640625" style="5" bestFit="1" customWidth="1"/>
    <col min="12052" max="12052" width="12" style="5" bestFit="1" customWidth="1"/>
    <col min="12053" max="12053" width="14.6640625" style="5" bestFit="1" customWidth="1"/>
    <col min="12054" max="12288" width="9.109375" style="5"/>
    <col min="12289" max="12289" width="4.6640625" style="5" customWidth="1"/>
    <col min="12290" max="12290" width="15.6640625" style="5" bestFit="1" customWidth="1"/>
    <col min="12291" max="12291" width="65" style="5" customWidth="1"/>
    <col min="12292" max="12292" width="14.5546875" style="5" bestFit="1" customWidth="1"/>
    <col min="12293" max="12293" width="9.44140625" style="5" bestFit="1" customWidth="1"/>
    <col min="12294" max="12294" width="13.6640625" style="5" customWidth="1"/>
    <col min="12295" max="12295" width="8.6640625" style="5" customWidth="1"/>
    <col min="12296" max="12296" width="16.33203125" style="5" customWidth="1"/>
    <col min="12297" max="12297" width="21.6640625" style="5" customWidth="1"/>
    <col min="12298" max="12298" width="13.109375" style="5" bestFit="1" customWidth="1"/>
    <col min="12299" max="12299" width="12.5546875" style="5" bestFit="1" customWidth="1"/>
    <col min="12300" max="12300" width="10.88671875" style="5" bestFit="1" customWidth="1"/>
    <col min="12301" max="12301" width="12" style="5" customWidth="1"/>
    <col min="12302" max="12302" width="11.109375" style="5" customWidth="1"/>
    <col min="12303" max="12303" width="14.6640625" style="5" customWidth="1"/>
    <col min="12304" max="12304" width="4.6640625" style="5" customWidth="1"/>
    <col min="12305" max="12305" width="12.44140625" style="5" customWidth="1"/>
    <col min="12306" max="12306" width="9.109375" style="5"/>
    <col min="12307" max="12307" width="14.6640625" style="5" bestFit="1" customWidth="1"/>
    <col min="12308" max="12308" width="12" style="5" bestFit="1" customWidth="1"/>
    <col min="12309" max="12309" width="14.6640625" style="5" bestFit="1" customWidth="1"/>
    <col min="12310" max="12544" width="9.109375" style="5"/>
    <col min="12545" max="12545" width="4.6640625" style="5" customWidth="1"/>
    <col min="12546" max="12546" width="15.6640625" style="5" bestFit="1" customWidth="1"/>
    <col min="12547" max="12547" width="65" style="5" customWidth="1"/>
    <col min="12548" max="12548" width="14.5546875" style="5" bestFit="1" customWidth="1"/>
    <col min="12549" max="12549" width="9.44140625" style="5" bestFit="1" customWidth="1"/>
    <col min="12550" max="12550" width="13.6640625" style="5" customWidth="1"/>
    <col min="12551" max="12551" width="8.6640625" style="5" customWidth="1"/>
    <col min="12552" max="12552" width="16.33203125" style="5" customWidth="1"/>
    <col min="12553" max="12553" width="21.6640625" style="5" customWidth="1"/>
    <col min="12554" max="12554" width="13.109375" style="5" bestFit="1" customWidth="1"/>
    <col min="12555" max="12555" width="12.5546875" style="5" bestFit="1" customWidth="1"/>
    <col min="12556" max="12556" width="10.88671875" style="5" bestFit="1" customWidth="1"/>
    <col min="12557" max="12557" width="12" style="5" customWidth="1"/>
    <col min="12558" max="12558" width="11.109375" style="5" customWidth="1"/>
    <col min="12559" max="12559" width="14.6640625" style="5" customWidth="1"/>
    <col min="12560" max="12560" width="4.6640625" style="5" customWidth="1"/>
    <col min="12561" max="12561" width="12.44140625" style="5" customWidth="1"/>
    <col min="12562" max="12562" width="9.109375" style="5"/>
    <col min="12563" max="12563" width="14.6640625" style="5" bestFit="1" customWidth="1"/>
    <col min="12564" max="12564" width="12" style="5" bestFit="1" customWidth="1"/>
    <col min="12565" max="12565" width="14.6640625" style="5" bestFit="1" customWidth="1"/>
    <col min="12566" max="12800" width="9.109375" style="5"/>
    <col min="12801" max="12801" width="4.6640625" style="5" customWidth="1"/>
    <col min="12802" max="12802" width="15.6640625" style="5" bestFit="1" customWidth="1"/>
    <col min="12803" max="12803" width="65" style="5" customWidth="1"/>
    <col min="12804" max="12804" width="14.5546875" style="5" bestFit="1" customWidth="1"/>
    <col min="12805" max="12805" width="9.44140625" style="5" bestFit="1" customWidth="1"/>
    <col min="12806" max="12806" width="13.6640625" style="5" customWidth="1"/>
    <col min="12807" max="12807" width="8.6640625" style="5" customWidth="1"/>
    <col min="12808" max="12808" width="16.33203125" style="5" customWidth="1"/>
    <col min="12809" max="12809" width="21.6640625" style="5" customWidth="1"/>
    <col min="12810" max="12810" width="13.109375" style="5" bestFit="1" customWidth="1"/>
    <col min="12811" max="12811" width="12.5546875" style="5" bestFit="1" customWidth="1"/>
    <col min="12812" max="12812" width="10.88671875" style="5" bestFit="1" customWidth="1"/>
    <col min="12813" max="12813" width="12" style="5" customWidth="1"/>
    <col min="12814" max="12814" width="11.109375" style="5" customWidth="1"/>
    <col min="12815" max="12815" width="14.6640625" style="5" customWidth="1"/>
    <col min="12816" max="12816" width="4.6640625" style="5" customWidth="1"/>
    <col min="12817" max="12817" width="12.44140625" style="5" customWidth="1"/>
    <col min="12818" max="12818" width="9.109375" style="5"/>
    <col min="12819" max="12819" width="14.6640625" style="5" bestFit="1" customWidth="1"/>
    <col min="12820" max="12820" width="12" style="5" bestFit="1" customWidth="1"/>
    <col min="12821" max="12821" width="14.6640625" style="5" bestFit="1" customWidth="1"/>
    <col min="12822" max="13056" width="9.109375" style="5"/>
    <col min="13057" max="13057" width="4.6640625" style="5" customWidth="1"/>
    <col min="13058" max="13058" width="15.6640625" style="5" bestFit="1" customWidth="1"/>
    <col min="13059" max="13059" width="65" style="5" customWidth="1"/>
    <col min="13060" max="13060" width="14.5546875" style="5" bestFit="1" customWidth="1"/>
    <col min="13061" max="13061" width="9.44140625" style="5" bestFit="1" customWidth="1"/>
    <col min="13062" max="13062" width="13.6640625" style="5" customWidth="1"/>
    <col min="13063" max="13063" width="8.6640625" style="5" customWidth="1"/>
    <col min="13064" max="13064" width="16.33203125" style="5" customWidth="1"/>
    <col min="13065" max="13065" width="21.6640625" style="5" customWidth="1"/>
    <col min="13066" max="13066" width="13.109375" style="5" bestFit="1" customWidth="1"/>
    <col min="13067" max="13067" width="12.5546875" style="5" bestFit="1" customWidth="1"/>
    <col min="13068" max="13068" width="10.88671875" style="5" bestFit="1" customWidth="1"/>
    <col min="13069" max="13069" width="12" style="5" customWidth="1"/>
    <col min="13070" max="13070" width="11.109375" style="5" customWidth="1"/>
    <col min="13071" max="13071" width="14.6640625" style="5" customWidth="1"/>
    <col min="13072" max="13072" width="4.6640625" style="5" customWidth="1"/>
    <col min="13073" max="13073" width="12.44140625" style="5" customWidth="1"/>
    <col min="13074" max="13074" width="9.109375" style="5"/>
    <col min="13075" max="13075" width="14.6640625" style="5" bestFit="1" customWidth="1"/>
    <col min="13076" max="13076" width="12" style="5" bestFit="1" customWidth="1"/>
    <col min="13077" max="13077" width="14.6640625" style="5" bestFit="1" customWidth="1"/>
    <col min="13078" max="13312" width="9.109375" style="5"/>
    <col min="13313" max="13313" width="4.6640625" style="5" customWidth="1"/>
    <col min="13314" max="13314" width="15.6640625" style="5" bestFit="1" customWidth="1"/>
    <col min="13315" max="13315" width="65" style="5" customWidth="1"/>
    <col min="13316" max="13316" width="14.5546875" style="5" bestFit="1" customWidth="1"/>
    <col min="13317" max="13317" width="9.44140625" style="5" bestFit="1" customWidth="1"/>
    <col min="13318" max="13318" width="13.6640625" style="5" customWidth="1"/>
    <col min="13319" max="13319" width="8.6640625" style="5" customWidth="1"/>
    <col min="13320" max="13320" width="16.33203125" style="5" customWidth="1"/>
    <col min="13321" max="13321" width="21.6640625" style="5" customWidth="1"/>
    <col min="13322" max="13322" width="13.109375" style="5" bestFit="1" customWidth="1"/>
    <col min="13323" max="13323" width="12.5546875" style="5" bestFit="1" customWidth="1"/>
    <col min="13324" max="13324" width="10.88671875" style="5" bestFit="1" customWidth="1"/>
    <col min="13325" max="13325" width="12" style="5" customWidth="1"/>
    <col min="13326" max="13326" width="11.109375" style="5" customWidth="1"/>
    <col min="13327" max="13327" width="14.6640625" style="5" customWidth="1"/>
    <col min="13328" max="13328" width="4.6640625" style="5" customWidth="1"/>
    <col min="13329" max="13329" width="12.44140625" style="5" customWidth="1"/>
    <col min="13330" max="13330" width="9.109375" style="5"/>
    <col min="13331" max="13331" width="14.6640625" style="5" bestFit="1" customWidth="1"/>
    <col min="13332" max="13332" width="12" style="5" bestFit="1" customWidth="1"/>
    <col min="13333" max="13333" width="14.6640625" style="5" bestFit="1" customWidth="1"/>
    <col min="13334" max="13568" width="9.109375" style="5"/>
    <col min="13569" max="13569" width="4.6640625" style="5" customWidth="1"/>
    <col min="13570" max="13570" width="15.6640625" style="5" bestFit="1" customWidth="1"/>
    <col min="13571" max="13571" width="65" style="5" customWidth="1"/>
    <col min="13572" max="13572" width="14.5546875" style="5" bestFit="1" customWidth="1"/>
    <col min="13573" max="13573" width="9.44140625" style="5" bestFit="1" customWidth="1"/>
    <col min="13574" max="13574" width="13.6640625" style="5" customWidth="1"/>
    <col min="13575" max="13575" width="8.6640625" style="5" customWidth="1"/>
    <col min="13576" max="13576" width="16.33203125" style="5" customWidth="1"/>
    <col min="13577" max="13577" width="21.6640625" style="5" customWidth="1"/>
    <col min="13578" max="13578" width="13.109375" style="5" bestFit="1" customWidth="1"/>
    <col min="13579" max="13579" width="12.5546875" style="5" bestFit="1" customWidth="1"/>
    <col min="13580" max="13580" width="10.88671875" style="5" bestFit="1" customWidth="1"/>
    <col min="13581" max="13581" width="12" style="5" customWidth="1"/>
    <col min="13582" max="13582" width="11.109375" style="5" customWidth="1"/>
    <col min="13583" max="13583" width="14.6640625" style="5" customWidth="1"/>
    <col min="13584" max="13584" width="4.6640625" style="5" customWidth="1"/>
    <col min="13585" max="13585" width="12.44140625" style="5" customWidth="1"/>
    <col min="13586" max="13586" width="9.109375" style="5"/>
    <col min="13587" max="13587" width="14.6640625" style="5" bestFit="1" customWidth="1"/>
    <col min="13588" max="13588" width="12" style="5" bestFit="1" customWidth="1"/>
    <col min="13589" max="13589" width="14.6640625" style="5" bestFit="1" customWidth="1"/>
    <col min="13590" max="13824" width="9.109375" style="5"/>
    <col min="13825" max="13825" width="4.6640625" style="5" customWidth="1"/>
    <col min="13826" max="13826" width="15.6640625" style="5" bestFit="1" customWidth="1"/>
    <col min="13827" max="13827" width="65" style="5" customWidth="1"/>
    <col min="13828" max="13828" width="14.5546875" style="5" bestFit="1" customWidth="1"/>
    <col min="13829" max="13829" width="9.44140625" style="5" bestFit="1" customWidth="1"/>
    <col min="13830" max="13830" width="13.6640625" style="5" customWidth="1"/>
    <col min="13831" max="13831" width="8.6640625" style="5" customWidth="1"/>
    <col min="13832" max="13832" width="16.33203125" style="5" customWidth="1"/>
    <col min="13833" max="13833" width="21.6640625" style="5" customWidth="1"/>
    <col min="13834" max="13834" width="13.109375" style="5" bestFit="1" customWidth="1"/>
    <col min="13835" max="13835" width="12.5546875" style="5" bestFit="1" customWidth="1"/>
    <col min="13836" max="13836" width="10.88671875" style="5" bestFit="1" customWidth="1"/>
    <col min="13837" max="13837" width="12" style="5" customWidth="1"/>
    <col min="13838" max="13838" width="11.109375" style="5" customWidth="1"/>
    <col min="13839" max="13839" width="14.6640625" style="5" customWidth="1"/>
    <col min="13840" max="13840" width="4.6640625" style="5" customWidth="1"/>
    <col min="13841" max="13841" width="12.44140625" style="5" customWidth="1"/>
    <col min="13842" max="13842" width="9.109375" style="5"/>
    <col min="13843" max="13843" width="14.6640625" style="5" bestFit="1" customWidth="1"/>
    <col min="13844" max="13844" width="12" style="5" bestFit="1" customWidth="1"/>
    <col min="13845" max="13845" width="14.6640625" style="5" bestFit="1" customWidth="1"/>
    <col min="13846" max="14080" width="9.109375" style="5"/>
    <col min="14081" max="14081" width="4.6640625" style="5" customWidth="1"/>
    <col min="14082" max="14082" width="15.6640625" style="5" bestFit="1" customWidth="1"/>
    <col min="14083" max="14083" width="65" style="5" customWidth="1"/>
    <col min="14084" max="14084" width="14.5546875" style="5" bestFit="1" customWidth="1"/>
    <col min="14085" max="14085" width="9.44140625" style="5" bestFit="1" customWidth="1"/>
    <col min="14086" max="14086" width="13.6640625" style="5" customWidth="1"/>
    <col min="14087" max="14087" width="8.6640625" style="5" customWidth="1"/>
    <col min="14088" max="14088" width="16.33203125" style="5" customWidth="1"/>
    <col min="14089" max="14089" width="21.6640625" style="5" customWidth="1"/>
    <col min="14090" max="14090" width="13.109375" style="5" bestFit="1" customWidth="1"/>
    <col min="14091" max="14091" width="12.5546875" style="5" bestFit="1" customWidth="1"/>
    <col min="14092" max="14092" width="10.88671875" style="5" bestFit="1" customWidth="1"/>
    <col min="14093" max="14093" width="12" style="5" customWidth="1"/>
    <col min="14094" max="14094" width="11.109375" style="5" customWidth="1"/>
    <col min="14095" max="14095" width="14.6640625" style="5" customWidth="1"/>
    <col min="14096" max="14096" width="4.6640625" style="5" customWidth="1"/>
    <col min="14097" max="14097" width="12.44140625" style="5" customWidth="1"/>
    <col min="14098" max="14098" width="9.109375" style="5"/>
    <col min="14099" max="14099" width="14.6640625" style="5" bestFit="1" customWidth="1"/>
    <col min="14100" max="14100" width="12" style="5" bestFit="1" customWidth="1"/>
    <col min="14101" max="14101" width="14.6640625" style="5" bestFit="1" customWidth="1"/>
    <col min="14102" max="14336" width="9.109375" style="5"/>
    <col min="14337" max="14337" width="4.6640625" style="5" customWidth="1"/>
    <col min="14338" max="14338" width="15.6640625" style="5" bestFit="1" customWidth="1"/>
    <col min="14339" max="14339" width="65" style="5" customWidth="1"/>
    <col min="14340" max="14340" width="14.5546875" style="5" bestFit="1" customWidth="1"/>
    <col min="14341" max="14341" width="9.44140625" style="5" bestFit="1" customWidth="1"/>
    <col min="14342" max="14342" width="13.6640625" style="5" customWidth="1"/>
    <col min="14343" max="14343" width="8.6640625" style="5" customWidth="1"/>
    <col min="14344" max="14344" width="16.33203125" style="5" customWidth="1"/>
    <col min="14345" max="14345" width="21.6640625" style="5" customWidth="1"/>
    <col min="14346" max="14346" width="13.109375" style="5" bestFit="1" customWidth="1"/>
    <col min="14347" max="14347" width="12.5546875" style="5" bestFit="1" customWidth="1"/>
    <col min="14348" max="14348" width="10.88671875" style="5" bestFit="1" customWidth="1"/>
    <col min="14349" max="14349" width="12" style="5" customWidth="1"/>
    <col min="14350" max="14350" width="11.109375" style="5" customWidth="1"/>
    <col min="14351" max="14351" width="14.6640625" style="5" customWidth="1"/>
    <col min="14352" max="14352" width="4.6640625" style="5" customWidth="1"/>
    <col min="14353" max="14353" width="12.44140625" style="5" customWidth="1"/>
    <col min="14354" max="14354" width="9.109375" style="5"/>
    <col min="14355" max="14355" width="14.6640625" style="5" bestFit="1" customWidth="1"/>
    <col min="14356" max="14356" width="12" style="5" bestFit="1" customWidth="1"/>
    <col min="14357" max="14357" width="14.6640625" style="5" bestFit="1" customWidth="1"/>
    <col min="14358" max="14592" width="9.109375" style="5"/>
    <col min="14593" max="14593" width="4.6640625" style="5" customWidth="1"/>
    <col min="14594" max="14594" width="15.6640625" style="5" bestFit="1" customWidth="1"/>
    <col min="14595" max="14595" width="65" style="5" customWidth="1"/>
    <col min="14596" max="14596" width="14.5546875" style="5" bestFit="1" customWidth="1"/>
    <col min="14597" max="14597" width="9.44140625" style="5" bestFit="1" customWidth="1"/>
    <col min="14598" max="14598" width="13.6640625" style="5" customWidth="1"/>
    <col min="14599" max="14599" width="8.6640625" style="5" customWidth="1"/>
    <col min="14600" max="14600" width="16.33203125" style="5" customWidth="1"/>
    <col min="14601" max="14601" width="21.6640625" style="5" customWidth="1"/>
    <col min="14602" max="14602" width="13.109375" style="5" bestFit="1" customWidth="1"/>
    <col min="14603" max="14603" width="12.5546875" style="5" bestFit="1" customWidth="1"/>
    <col min="14604" max="14604" width="10.88671875" style="5" bestFit="1" customWidth="1"/>
    <col min="14605" max="14605" width="12" style="5" customWidth="1"/>
    <col min="14606" max="14606" width="11.109375" style="5" customWidth="1"/>
    <col min="14607" max="14607" width="14.6640625" style="5" customWidth="1"/>
    <col min="14608" max="14608" width="4.6640625" style="5" customWidth="1"/>
    <col min="14609" max="14609" width="12.44140625" style="5" customWidth="1"/>
    <col min="14610" max="14610" width="9.109375" style="5"/>
    <col min="14611" max="14611" width="14.6640625" style="5" bestFit="1" customWidth="1"/>
    <col min="14612" max="14612" width="12" style="5" bestFit="1" customWidth="1"/>
    <col min="14613" max="14613" width="14.6640625" style="5" bestFit="1" customWidth="1"/>
    <col min="14614" max="14848" width="9.109375" style="5"/>
    <col min="14849" max="14849" width="4.6640625" style="5" customWidth="1"/>
    <col min="14850" max="14850" width="15.6640625" style="5" bestFit="1" customWidth="1"/>
    <col min="14851" max="14851" width="65" style="5" customWidth="1"/>
    <col min="14852" max="14852" width="14.5546875" style="5" bestFit="1" customWidth="1"/>
    <col min="14853" max="14853" width="9.44140625" style="5" bestFit="1" customWidth="1"/>
    <col min="14854" max="14854" width="13.6640625" style="5" customWidth="1"/>
    <col min="14855" max="14855" width="8.6640625" style="5" customWidth="1"/>
    <col min="14856" max="14856" width="16.33203125" style="5" customWidth="1"/>
    <col min="14857" max="14857" width="21.6640625" style="5" customWidth="1"/>
    <col min="14858" max="14858" width="13.109375" style="5" bestFit="1" customWidth="1"/>
    <col min="14859" max="14859" width="12.5546875" style="5" bestFit="1" customWidth="1"/>
    <col min="14860" max="14860" width="10.88671875" style="5" bestFit="1" customWidth="1"/>
    <col min="14861" max="14861" width="12" style="5" customWidth="1"/>
    <col min="14862" max="14862" width="11.109375" style="5" customWidth="1"/>
    <col min="14863" max="14863" width="14.6640625" style="5" customWidth="1"/>
    <col min="14864" max="14864" width="4.6640625" style="5" customWidth="1"/>
    <col min="14865" max="14865" width="12.44140625" style="5" customWidth="1"/>
    <col min="14866" max="14866" width="9.109375" style="5"/>
    <col min="14867" max="14867" width="14.6640625" style="5" bestFit="1" customWidth="1"/>
    <col min="14868" max="14868" width="12" style="5" bestFit="1" customWidth="1"/>
    <col min="14869" max="14869" width="14.6640625" style="5" bestFit="1" customWidth="1"/>
    <col min="14870" max="15104" width="9.109375" style="5"/>
    <col min="15105" max="15105" width="4.6640625" style="5" customWidth="1"/>
    <col min="15106" max="15106" width="15.6640625" style="5" bestFit="1" customWidth="1"/>
    <col min="15107" max="15107" width="65" style="5" customWidth="1"/>
    <col min="15108" max="15108" width="14.5546875" style="5" bestFit="1" customWidth="1"/>
    <col min="15109" max="15109" width="9.44140625" style="5" bestFit="1" customWidth="1"/>
    <col min="15110" max="15110" width="13.6640625" style="5" customWidth="1"/>
    <col min="15111" max="15111" width="8.6640625" style="5" customWidth="1"/>
    <col min="15112" max="15112" width="16.33203125" style="5" customWidth="1"/>
    <col min="15113" max="15113" width="21.6640625" style="5" customWidth="1"/>
    <col min="15114" max="15114" width="13.109375" style="5" bestFit="1" customWidth="1"/>
    <col min="15115" max="15115" width="12.5546875" style="5" bestFit="1" customWidth="1"/>
    <col min="15116" max="15116" width="10.88671875" style="5" bestFit="1" customWidth="1"/>
    <col min="15117" max="15117" width="12" style="5" customWidth="1"/>
    <col min="15118" max="15118" width="11.109375" style="5" customWidth="1"/>
    <col min="15119" max="15119" width="14.6640625" style="5" customWidth="1"/>
    <col min="15120" max="15120" width="4.6640625" style="5" customWidth="1"/>
    <col min="15121" max="15121" width="12.44140625" style="5" customWidth="1"/>
    <col min="15122" max="15122" width="9.109375" style="5"/>
    <col min="15123" max="15123" width="14.6640625" style="5" bestFit="1" customWidth="1"/>
    <col min="15124" max="15124" width="12" style="5" bestFit="1" customWidth="1"/>
    <col min="15125" max="15125" width="14.6640625" style="5" bestFit="1" customWidth="1"/>
    <col min="15126" max="15360" width="9.109375" style="5"/>
    <col min="15361" max="15361" width="4.6640625" style="5" customWidth="1"/>
    <col min="15362" max="15362" width="15.6640625" style="5" bestFit="1" customWidth="1"/>
    <col min="15363" max="15363" width="65" style="5" customWidth="1"/>
    <col min="15364" max="15364" width="14.5546875" style="5" bestFit="1" customWidth="1"/>
    <col min="15365" max="15365" width="9.44140625" style="5" bestFit="1" customWidth="1"/>
    <col min="15366" max="15366" width="13.6640625" style="5" customWidth="1"/>
    <col min="15367" max="15367" width="8.6640625" style="5" customWidth="1"/>
    <col min="15368" max="15368" width="16.33203125" style="5" customWidth="1"/>
    <col min="15369" max="15369" width="21.6640625" style="5" customWidth="1"/>
    <col min="15370" max="15370" width="13.109375" style="5" bestFit="1" customWidth="1"/>
    <col min="15371" max="15371" width="12.5546875" style="5" bestFit="1" customWidth="1"/>
    <col min="15372" max="15372" width="10.88671875" style="5" bestFit="1" customWidth="1"/>
    <col min="15373" max="15373" width="12" style="5" customWidth="1"/>
    <col min="15374" max="15374" width="11.109375" style="5" customWidth="1"/>
    <col min="15375" max="15375" width="14.6640625" style="5" customWidth="1"/>
    <col min="15376" max="15376" width="4.6640625" style="5" customWidth="1"/>
    <col min="15377" max="15377" width="12.44140625" style="5" customWidth="1"/>
    <col min="15378" max="15378" width="9.109375" style="5"/>
    <col min="15379" max="15379" width="14.6640625" style="5" bestFit="1" customWidth="1"/>
    <col min="15380" max="15380" width="12" style="5" bestFit="1" customWidth="1"/>
    <col min="15381" max="15381" width="14.6640625" style="5" bestFit="1" customWidth="1"/>
    <col min="15382" max="15616" width="9.109375" style="5"/>
    <col min="15617" max="15617" width="4.6640625" style="5" customWidth="1"/>
    <col min="15618" max="15618" width="15.6640625" style="5" bestFit="1" customWidth="1"/>
    <col min="15619" max="15619" width="65" style="5" customWidth="1"/>
    <col min="15620" max="15620" width="14.5546875" style="5" bestFit="1" customWidth="1"/>
    <col min="15621" max="15621" width="9.44140625" style="5" bestFit="1" customWidth="1"/>
    <col min="15622" max="15622" width="13.6640625" style="5" customWidth="1"/>
    <col min="15623" max="15623" width="8.6640625" style="5" customWidth="1"/>
    <col min="15624" max="15624" width="16.33203125" style="5" customWidth="1"/>
    <col min="15625" max="15625" width="21.6640625" style="5" customWidth="1"/>
    <col min="15626" max="15626" width="13.109375" style="5" bestFit="1" customWidth="1"/>
    <col min="15627" max="15627" width="12.5546875" style="5" bestFit="1" customWidth="1"/>
    <col min="15628" max="15628" width="10.88671875" style="5" bestFit="1" customWidth="1"/>
    <col min="15629" max="15629" width="12" style="5" customWidth="1"/>
    <col min="15630" max="15630" width="11.109375" style="5" customWidth="1"/>
    <col min="15631" max="15631" width="14.6640625" style="5" customWidth="1"/>
    <col min="15632" max="15632" width="4.6640625" style="5" customWidth="1"/>
    <col min="15633" max="15633" width="12.44140625" style="5" customWidth="1"/>
    <col min="15634" max="15634" width="9.109375" style="5"/>
    <col min="15635" max="15635" width="14.6640625" style="5" bestFit="1" customWidth="1"/>
    <col min="15636" max="15636" width="12" style="5" bestFit="1" customWidth="1"/>
    <col min="15637" max="15637" width="14.6640625" style="5" bestFit="1" customWidth="1"/>
    <col min="15638" max="15872" width="9.109375" style="5"/>
    <col min="15873" max="15873" width="4.6640625" style="5" customWidth="1"/>
    <col min="15874" max="15874" width="15.6640625" style="5" bestFit="1" customWidth="1"/>
    <col min="15875" max="15875" width="65" style="5" customWidth="1"/>
    <col min="15876" max="15876" width="14.5546875" style="5" bestFit="1" customWidth="1"/>
    <col min="15877" max="15877" width="9.44140625" style="5" bestFit="1" customWidth="1"/>
    <col min="15878" max="15878" width="13.6640625" style="5" customWidth="1"/>
    <col min="15879" max="15879" width="8.6640625" style="5" customWidth="1"/>
    <col min="15880" max="15880" width="16.33203125" style="5" customWidth="1"/>
    <col min="15881" max="15881" width="21.6640625" style="5" customWidth="1"/>
    <col min="15882" max="15882" width="13.109375" style="5" bestFit="1" customWidth="1"/>
    <col min="15883" max="15883" width="12.5546875" style="5" bestFit="1" customWidth="1"/>
    <col min="15884" max="15884" width="10.88671875" style="5" bestFit="1" customWidth="1"/>
    <col min="15885" max="15885" width="12" style="5" customWidth="1"/>
    <col min="15886" max="15886" width="11.109375" style="5" customWidth="1"/>
    <col min="15887" max="15887" width="14.6640625" style="5" customWidth="1"/>
    <col min="15888" max="15888" width="4.6640625" style="5" customWidth="1"/>
    <col min="15889" max="15889" width="12.44140625" style="5" customWidth="1"/>
    <col min="15890" max="15890" width="9.109375" style="5"/>
    <col min="15891" max="15891" width="14.6640625" style="5" bestFit="1" customWidth="1"/>
    <col min="15892" max="15892" width="12" style="5" bestFit="1" customWidth="1"/>
    <col min="15893" max="15893" width="14.6640625" style="5" bestFit="1" customWidth="1"/>
    <col min="15894" max="16128" width="9.109375" style="5"/>
    <col min="16129" max="16129" width="4.6640625" style="5" customWidth="1"/>
    <col min="16130" max="16130" width="15.6640625" style="5" bestFit="1" customWidth="1"/>
    <col min="16131" max="16131" width="65" style="5" customWidth="1"/>
    <col min="16132" max="16132" width="14.5546875" style="5" bestFit="1" customWidth="1"/>
    <col min="16133" max="16133" width="9.44140625" style="5" bestFit="1" customWidth="1"/>
    <col min="16134" max="16134" width="13.6640625" style="5" customWidth="1"/>
    <col min="16135" max="16135" width="8.6640625" style="5" customWidth="1"/>
    <col min="16136" max="16136" width="16.33203125" style="5" customWidth="1"/>
    <col min="16137" max="16137" width="21.6640625" style="5" customWidth="1"/>
    <col min="16138" max="16138" width="13.109375" style="5" bestFit="1" customWidth="1"/>
    <col min="16139" max="16139" width="12.5546875" style="5" bestFit="1" customWidth="1"/>
    <col min="16140" max="16140" width="10.88671875" style="5" bestFit="1" customWidth="1"/>
    <col min="16141" max="16141" width="12" style="5" customWidth="1"/>
    <col min="16142" max="16142" width="11.109375" style="5" customWidth="1"/>
    <col min="16143" max="16143" width="14.6640625" style="5" customWidth="1"/>
    <col min="16144" max="16144" width="4.6640625" style="5" customWidth="1"/>
    <col min="16145" max="16145" width="12.44140625" style="5" customWidth="1"/>
    <col min="16146" max="16146" width="9.109375" style="5"/>
    <col min="16147" max="16147" width="14.6640625" style="5" bestFit="1" customWidth="1"/>
    <col min="16148" max="16148" width="12" style="5" bestFit="1" customWidth="1"/>
    <col min="16149" max="16149" width="14.6640625" style="5" bestFit="1" customWidth="1"/>
    <col min="16150" max="16384" width="9.109375" style="5"/>
  </cols>
  <sheetData>
    <row r="1" spans="1:17">
      <c r="G1" s="547"/>
    </row>
    <row r="2" spans="1:17" ht="17.399999999999999">
      <c r="A2" s="1443" t="s">
        <v>646</v>
      </c>
      <c r="B2" s="1443"/>
      <c r="C2" s="1443"/>
      <c r="D2" s="1443"/>
      <c r="E2" s="1443"/>
      <c r="F2" s="1443"/>
      <c r="G2" s="1443"/>
      <c r="H2" s="1443"/>
      <c r="I2" s="1443"/>
      <c r="J2" s="524"/>
      <c r="K2" s="524"/>
      <c r="L2" s="524"/>
      <c r="M2" s="84"/>
      <c r="N2" s="84"/>
      <c r="O2" s="84"/>
      <c r="P2" s="11"/>
      <c r="Q2" s="81"/>
    </row>
    <row r="3" spans="1:17" ht="17.399999999999999">
      <c r="A3" s="1444" t="str">
        <f>BIA!A11</f>
        <v>Tên công trình: Sửa chữa đường dây trung thế huyện Cẩm Mỹ năm 2020.</v>
      </c>
      <c r="B3" s="1444"/>
      <c r="C3" s="1444"/>
      <c r="D3" s="1444"/>
      <c r="E3" s="1444"/>
      <c r="F3" s="1444"/>
      <c r="G3" s="1444"/>
      <c r="H3" s="1444"/>
      <c r="I3" s="1444"/>
      <c r="J3" s="762"/>
      <c r="K3" s="762"/>
      <c r="L3" s="762"/>
      <c r="M3" s="763"/>
      <c r="N3" s="763"/>
      <c r="O3" s="763"/>
      <c r="P3" s="11"/>
      <c r="Q3" s="81"/>
    </row>
    <row r="4" spans="1:17" ht="17.399999999999999" hidden="1">
      <c r="A4" s="1443" t="str">
        <f>BIA!A14</f>
        <v>Mã số tài sản: 1.37013000.0001217; 1.37013000.0001215; 1.37013000.0001216.</v>
      </c>
      <c r="B4" s="1443"/>
      <c r="C4" s="1443"/>
      <c r="D4" s="1443"/>
      <c r="E4" s="1443"/>
      <c r="F4" s="1443"/>
      <c r="G4" s="1443"/>
      <c r="H4" s="1443"/>
      <c r="I4" s="1443"/>
      <c r="J4" s="762"/>
      <c r="K4" s="762"/>
      <c r="L4" s="762"/>
      <c r="M4" s="763"/>
      <c r="N4" s="763"/>
      <c r="O4" s="763"/>
      <c r="P4" s="11"/>
      <c r="Q4" s="81"/>
    </row>
    <row r="5" spans="1:17" ht="17.399999999999999">
      <c r="A5" s="709"/>
      <c r="B5" s="709"/>
      <c r="C5" s="709"/>
      <c r="D5" s="709"/>
      <c r="E5" s="709"/>
      <c r="F5" s="709"/>
      <c r="G5" s="709"/>
      <c r="H5" s="709"/>
      <c r="I5" s="709"/>
      <c r="J5" s="762"/>
      <c r="K5" s="762"/>
      <c r="L5" s="762"/>
      <c r="M5" s="763"/>
      <c r="N5" s="763"/>
      <c r="O5" s="763"/>
      <c r="P5" s="11"/>
      <c r="Q5" s="81"/>
    </row>
    <row r="6" spans="1:17" s="82" customFormat="1" ht="78">
      <c r="A6" s="518" t="s">
        <v>32</v>
      </c>
      <c r="B6" s="518" t="s">
        <v>12</v>
      </c>
      <c r="C6" s="518" t="s">
        <v>13</v>
      </c>
      <c r="D6" s="518" t="s">
        <v>14</v>
      </c>
      <c r="E6" s="519" t="s">
        <v>15</v>
      </c>
      <c r="F6" s="519" t="s">
        <v>16</v>
      </c>
      <c r="G6" s="519" t="s">
        <v>20</v>
      </c>
      <c r="H6" s="519" t="s">
        <v>643</v>
      </c>
      <c r="I6" s="520" t="s">
        <v>19</v>
      </c>
      <c r="J6" s="525"/>
      <c r="K6" s="526"/>
      <c r="L6" s="526" t="s">
        <v>66</v>
      </c>
    </row>
    <row r="7" spans="1:17" s="83" customFormat="1" ht="16.2">
      <c r="A7" s="521" t="s">
        <v>21</v>
      </c>
      <c r="B7" s="521" t="s">
        <v>22</v>
      </c>
      <c r="C7" s="521" t="s">
        <v>23</v>
      </c>
      <c r="D7" s="521" t="s">
        <v>24</v>
      </c>
      <c r="E7" s="521" t="s">
        <v>25</v>
      </c>
      <c r="F7" s="521" t="s">
        <v>26</v>
      </c>
      <c r="G7" s="521" t="s">
        <v>27</v>
      </c>
      <c r="H7" s="521" t="s">
        <v>28</v>
      </c>
      <c r="I7" s="521" t="s">
        <v>628</v>
      </c>
      <c r="J7" s="527"/>
      <c r="K7" s="528"/>
      <c r="L7" s="528"/>
    </row>
    <row r="8" spans="1:17" s="83" customFormat="1" ht="16.2">
      <c r="A8" s="1445" t="s">
        <v>629</v>
      </c>
      <c r="B8" s="1445"/>
      <c r="C8" s="1445"/>
      <c r="D8" s="555">
        <v>2000000</v>
      </c>
      <c r="E8" s="806"/>
      <c r="F8" s="806"/>
      <c r="G8" s="806"/>
      <c r="H8" s="999" t="s">
        <v>644</v>
      </c>
      <c r="I8" s="806"/>
      <c r="J8" s="527"/>
      <c r="K8" s="528"/>
      <c r="L8" s="528"/>
    </row>
    <row r="9" spans="1:17" s="76" customFormat="1" ht="37.200000000000003">
      <c r="A9" s="807">
        <v>1</v>
      </c>
      <c r="B9" s="823" t="s">
        <v>630</v>
      </c>
      <c r="C9" s="824" t="s">
        <v>631</v>
      </c>
      <c r="D9" s="808" t="s">
        <v>67</v>
      </c>
      <c r="E9" s="809" t="s">
        <v>120</v>
      </c>
      <c r="F9" s="810">
        <v>1</v>
      </c>
      <c r="G9" s="822">
        <v>2.34</v>
      </c>
      <c r="H9" s="811">
        <v>166153</v>
      </c>
      <c r="I9" s="812">
        <f>ROUND((F9*G9*H9),0)</f>
        <v>388798</v>
      </c>
      <c r="J9" s="534"/>
      <c r="K9" s="535"/>
      <c r="L9" s="535"/>
    </row>
    <row r="10" spans="1:17" s="76" customFormat="1" ht="37.200000000000003">
      <c r="A10" s="813">
        <f>A9+1</f>
        <v>2</v>
      </c>
      <c r="B10" s="823" t="s">
        <v>642</v>
      </c>
      <c r="C10" s="825" t="s">
        <v>641</v>
      </c>
      <c r="D10" s="87" t="s">
        <v>67</v>
      </c>
      <c r="E10" s="814" t="s">
        <v>120</v>
      </c>
      <c r="F10" s="815">
        <v>1</v>
      </c>
      <c r="G10" s="753">
        <v>0.67</v>
      </c>
      <c r="H10" s="816">
        <f>H9</f>
        <v>166153</v>
      </c>
      <c r="I10" s="1022">
        <f t="shared" ref="I10:I29" si="0">ROUND((F10*G10*H10),0)</f>
        <v>111323</v>
      </c>
      <c r="J10" s="534"/>
      <c r="K10" s="535"/>
      <c r="L10" s="535"/>
    </row>
    <row r="11" spans="1:17" s="76" customFormat="1" ht="15.6">
      <c r="A11" s="1446" t="s">
        <v>722</v>
      </c>
      <c r="B11" s="1446"/>
      <c r="C11" s="1446"/>
      <c r="D11" s="960">
        <v>2000000</v>
      </c>
      <c r="E11" s="961"/>
      <c r="F11" s="961"/>
      <c r="G11" s="961"/>
      <c r="H11" s="1000" t="s">
        <v>645</v>
      </c>
      <c r="I11" s="961"/>
      <c r="J11" s="534"/>
      <c r="K11" s="535"/>
      <c r="L11" s="535"/>
    </row>
    <row r="12" spans="1:17" s="76" customFormat="1" ht="15.6" hidden="1">
      <c r="A12" s="807">
        <v>1</v>
      </c>
      <c r="B12" s="823" t="s">
        <v>723</v>
      </c>
      <c r="C12" s="824" t="s">
        <v>724</v>
      </c>
      <c r="D12" s="808" t="s">
        <v>725</v>
      </c>
      <c r="E12" s="809" t="s">
        <v>508</v>
      </c>
      <c r="F12" s="810">
        <v>1</v>
      </c>
      <c r="G12" s="822">
        <v>2.12</v>
      </c>
      <c r="H12" s="811">
        <f>H16</f>
        <v>208461</v>
      </c>
      <c r="I12" s="812">
        <f>H12*G12*F12</f>
        <v>441937.32</v>
      </c>
      <c r="J12" s="534"/>
      <c r="K12" s="535"/>
      <c r="L12" s="535"/>
    </row>
    <row r="13" spans="1:17" s="76" customFormat="1" ht="15.6">
      <c r="A13" s="529">
        <v>1</v>
      </c>
      <c r="B13" s="988" t="s">
        <v>726</v>
      </c>
      <c r="C13" s="522" t="s">
        <v>727</v>
      </c>
      <c r="D13" s="50" t="s">
        <v>167</v>
      </c>
      <c r="E13" s="530" t="s">
        <v>36</v>
      </c>
      <c r="F13" s="531">
        <f>1/10*0.8</f>
        <v>8.0000000000000016E-2</v>
      </c>
      <c r="G13" s="531">
        <v>4.38</v>
      </c>
      <c r="H13" s="532">
        <f>H15</f>
        <v>193076</v>
      </c>
      <c r="I13" s="533">
        <f>ROUND(H13*G13*F13,0)</f>
        <v>67654</v>
      </c>
      <c r="J13" s="534"/>
      <c r="K13" s="535"/>
      <c r="L13" s="535"/>
    </row>
    <row r="14" spans="1:17" s="76" customFormat="1" ht="15.6">
      <c r="A14" s="1445" t="s">
        <v>632</v>
      </c>
      <c r="B14" s="1445"/>
      <c r="C14" s="1445"/>
      <c r="D14" s="555">
        <v>2000000</v>
      </c>
      <c r="E14" s="817"/>
      <c r="F14" s="818"/>
      <c r="G14" s="819"/>
      <c r="H14" s="539" t="s">
        <v>645</v>
      </c>
      <c r="I14" s="820"/>
      <c r="J14" s="821">
        <f>2000000/26*2.51</f>
        <v>193076.92307692306</v>
      </c>
      <c r="K14" s="535">
        <f>183423*1.053</f>
        <v>193144.41899999999</v>
      </c>
      <c r="L14" s="535"/>
    </row>
    <row r="15" spans="1:17" s="965" customFormat="1" ht="15.6">
      <c r="A15" s="529">
        <v>1</v>
      </c>
      <c r="B15" s="989" t="s">
        <v>562</v>
      </c>
      <c r="C15" s="51" t="s">
        <v>728</v>
      </c>
      <c r="D15" s="50" t="s">
        <v>9</v>
      </c>
      <c r="E15" s="530" t="s">
        <v>36</v>
      </c>
      <c r="F15" s="531">
        <v>0.55000000000000004</v>
      </c>
      <c r="G15" s="536">
        <v>3.8159999999999998</v>
      </c>
      <c r="H15" s="532">
        <v>193076</v>
      </c>
      <c r="I15" s="533">
        <f t="shared" si="0"/>
        <v>405228</v>
      </c>
      <c r="J15" s="1023">
        <f>2000000/26*2.65</f>
        <v>203846.15384615384</v>
      </c>
      <c r="K15" s="535">
        <f>J15*3.33</f>
        <v>678807.69230769237</v>
      </c>
      <c r="L15" s="535" t="e">
        <f>K15*#REF!</f>
        <v>#REF!</v>
      </c>
    </row>
    <row r="16" spans="1:17" s="965" customFormat="1" ht="15.6">
      <c r="A16" s="529">
        <f t="shared" ref="A16:A29" si="1">A15+1</f>
        <v>2</v>
      </c>
      <c r="B16" s="723" t="s">
        <v>563</v>
      </c>
      <c r="C16" s="51" t="s">
        <v>29</v>
      </c>
      <c r="D16" s="50" t="s">
        <v>166</v>
      </c>
      <c r="E16" s="530" t="s">
        <v>508</v>
      </c>
      <c r="F16" s="531">
        <v>0.45</v>
      </c>
      <c r="G16" s="536">
        <v>0.81</v>
      </c>
      <c r="H16" s="532">
        <v>208461</v>
      </c>
      <c r="I16" s="533">
        <f t="shared" si="0"/>
        <v>75984</v>
      </c>
      <c r="J16" s="821">
        <f>2000000/26*2.65*3.33</f>
        <v>678807.69230769237</v>
      </c>
      <c r="K16" s="538">
        <f>2000000/26*2.51*3.33</f>
        <v>642946.15384615387</v>
      </c>
      <c r="L16" s="538"/>
    </row>
    <row r="17" spans="1:16" s="965" customFormat="1" ht="15.6">
      <c r="A17" s="529">
        <f t="shared" si="1"/>
        <v>3</v>
      </c>
      <c r="B17" s="723" t="s">
        <v>563</v>
      </c>
      <c r="C17" s="51" t="s">
        <v>286</v>
      </c>
      <c r="D17" s="50" t="s">
        <v>166</v>
      </c>
      <c r="E17" s="530" t="s">
        <v>508</v>
      </c>
      <c r="F17" s="531">
        <v>0.55000000000000004</v>
      </c>
      <c r="G17" s="536">
        <v>0.81</v>
      </c>
      <c r="H17" s="532">
        <f>H16</f>
        <v>208461</v>
      </c>
      <c r="I17" s="533">
        <f t="shared" si="0"/>
        <v>92869</v>
      </c>
      <c r="J17" s="1024">
        <f>J16*0.45</f>
        <v>305463.46153846156</v>
      </c>
      <c r="K17" s="538">
        <f>K16*0.45</f>
        <v>289325.76923076925</v>
      </c>
      <c r="L17" s="538"/>
    </row>
    <row r="18" spans="1:16" s="965" customFormat="1" ht="15.6">
      <c r="A18" s="529">
        <f t="shared" si="1"/>
        <v>4</v>
      </c>
      <c r="B18" s="967" t="s">
        <v>907</v>
      </c>
      <c r="C18" s="966" t="s">
        <v>908</v>
      </c>
      <c r="D18" s="969" t="s">
        <v>166</v>
      </c>
      <c r="E18" s="970" t="s">
        <v>36</v>
      </c>
      <c r="F18" s="971">
        <f>1*1.5</f>
        <v>1.5</v>
      </c>
      <c r="G18" s="972">
        <f>0.85*1.1541</f>
        <v>0.98098499999999988</v>
      </c>
      <c r="H18" s="826">
        <f>H17</f>
        <v>208461</v>
      </c>
      <c r="I18" s="964">
        <f>ROUND((F18*G18*H18),0)</f>
        <v>306746</v>
      </c>
      <c r="J18" s="974">
        <f>0.85+(1.15-0.85)*(35.9-25)/(50-25)</f>
        <v>0.98079999999999989</v>
      </c>
      <c r="K18" s="1283">
        <f>0.85*1.1541</f>
        <v>0.98098499999999988</v>
      </c>
      <c r="L18" s="973"/>
    </row>
    <row r="19" spans="1:16" s="965" customFormat="1" ht="15.6">
      <c r="A19" s="529">
        <f t="shared" si="1"/>
        <v>5</v>
      </c>
      <c r="B19" s="723" t="s">
        <v>564</v>
      </c>
      <c r="C19" s="51" t="s">
        <v>287</v>
      </c>
      <c r="D19" s="50" t="s">
        <v>166</v>
      </c>
      <c r="E19" s="530" t="s">
        <v>36</v>
      </c>
      <c r="F19" s="531">
        <v>0.45</v>
      </c>
      <c r="G19" s="1025">
        <f>4.068/10</f>
        <v>0.40679999999999994</v>
      </c>
      <c r="H19" s="532">
        <f>H15</f>
        <v>193076</v>
      </c>
      <c r="I19" s="533">
        <f t="shared" si="0"/>
        <v>35344</v>
      </c>
      <c r="J19" s="534"/>
      <c r="K19" s="538"/>
      <c r="L19" s="538"/>
    </row>
    <row r="20" spans="1:16" s="965" customFormat="1" ht="15.6">
      <c r="A20" s="529">
        <f t="shared" si="1"/>
        <v>6</v>
      </c>
      <c r="B20" s="723" t="s">
        <v>564</v>
      </c>
      <c r="C20" s="51" t="s">
        <v>288</v>
      </c>
      <c r="D20" s="50" t="s">
        <v>166</v>
      </c>
      <c r="E20" s="530" t="s">
        <v>36</v>
      </c>
      <c r="F20" s="531">
        <v>0.55000000000000004</v>
      </c>
      <c r="G20" s="1025">
        <f>4.068/10</f>
        <v>0.40679999999999994</v>
      </c>
      <c r="H20" s="532">
        <f>H15</f>
        <v>193076</v>
      </c>
      <c r="I20" s="533">
        <f t="shared" si="0"/>
        <v>43199</v>
      </c>
      <c r="J20" s="534"/>
      <c r="K20" s="538"/>
      <c r="L20" s="538"/>
    </row>
    <row r="21" spans="1:16" s="976" customFormat="1" ht="15.6">
      <c r="A21" s="529">
        <f>A20+1</f>
        <v>7</v>
      </c>
      <c r="B21" s="723" t="s">
        <v>569</v>
      </c>
      <c r="C21" s="51" t="s">
        <v>910</v>
      </c>
      <c r="D21" s="50" t="s">
        <v>166</v>
      </c>
      <c r="E21" s="530" t="s">
        <v>508</v>
      </c>
      <c r="F21" s="531">
        <v>0.45</v>
      </c>
      <c r="G21" s="536">
        <v>0.45400000000000001</v>
      </c>
      <c r="H21" s="532">
        <f>H16</f>
        <v>208461</v>
      </c>
      <c r="I21" s="533">
        <f t="shared" si="0"/>
        <v>42589</v>
      </c>
      <c r="J21" s="534"/>
      <c r="K21" s="538"/>
      <c r="L21" s="538"/>
    </row>
    <row r="22" spans="1:16" s="976" customFormat="1" ht="15.6">
      <c r="A22" s="529">
        <f t="shared" si="1"/>
        <v>8</v>
      </c>
      <c r="B22" s="723" t="s">
        <v>565</v>
      </c>
      <c r="C22" s="51" t="s">
        <v>509</v>
      </c>
      <c r="D22" s="50" t="s">
        <v>166</v>
      </c>
      <c r="E22" s="530" t="s">
        <v>508</v>
      </c>
      <c r="F22" s="531">
        <v>0.55000000000000004</v>
      </c>
      <c r="G22" s="536">
        <v>0.45400000000000001</v>
      </c>
      <c r="H22" s="532">
        <f>H16</f>
        <v>208461</v>
      </c>
      <c r="I22" s="1292">
        <f t="shared" si="0"/>
        <v>52053</v>
      </c>
      <c r="J22" s="534"/>
      <c r="K22" s="538"/>
      <c r="L22" s="538"/>
    </row>
    <row r="23" spans="1:16" s="976" customFormat="1" ht="15.6">
      <c r="A23" s="529">
        <f t="shared" si="1"/>
        <v>9</v>
      </c>
      <c r="B23" s="723" t="s">
        <v>566</v>
      </c>
      <c r="C23" s="51" t="s">
        <v>510</v>
      </c>
      <c r="D23" s="50" t="s">
        <v>166</v>
      </c>
      <c r="E23" s="530" t="s">
        <v>508</v>
      </c>
      <c r="F23" s="531">
        <v>0.45</v>
      </c>
      <c r="G23" s="531">
        <v>0.45</v>
      </c>
      <c r="H23" s="532">
        <f>H16</f>
        <v>208461</v>
      </c>
      <c r="I23" s="533">
        <f t="shared" si="0"/>
        <v>42213</v>
      </c>
      <c r="J23" s="534"/>
      <c r="K23" s="538"/>
      <c r="L23" s="538"/>
    </row>
    <row r="24" spans="1:16" s="976" customFormat="1" ht="15.6">
      <c r="A24" s="529">
        <f t="shared" si="1"/>
        <v>10</v>
      </c>
      <c r="B24" s="723" t="s">
        <v>566</v>
      </c>
      <c r="C24" s="51" t="s">
        <v>511</v>
      </c>
      <c r="D24" s="50" t="s">
        <v>166</v>
      </c>
      <c r="E24" s="530" t="s">
        <v>508</v>
      </c>
      <c r="F24" s="531">
        <v>0.55000000000000004</v>
      </c>
      <c r="G24" s="531">
        <v>0.45</v>
      </c>
      <c r="H24" s="532">
        <f>H16</f>
        <v>208461</v>
      </c>
      <c r="I24" s="533">
        <f t="shared" si="0"/>
        <v>51594</v>
      </c>
      <c r="J24" s="534"/>
      <c r="K24" s="538"/>
      <c r="L24" s="538"/>
    </row>
    <row r="25" spans="1:16" s="77" customFormat="1" ht="15.6">
      <c r="A25" s="529">
        <f t="shared" si="1"/>
        <v>11</v>
      </c>
      <c r="B25" s="723" t="s">
        <v>567</v>
      </c>
      <c r="C25" s="51" t="s">
        <v>911</v>
      </c>
      <c r="D25" s="50" t="s">
        <v>166</v>
      </c>
      <c r="E25" s="530" t="s">
        <v>508</v>
      </c>
      <c r="F25" s="531">
        <v>0.45</v>
      </c>
      <c r="G25" s="536">
        <v>0.19800000000000001</v>
      </c>
      <c r="H25" s="532">
        <f>H17</f>
        <v>208461</v>
      </c>
      <c r="I25" s="533">
        <f t="shared" si="0"/>
        <v>18574</v>
      </c>
      <c r="J25" s="534"/>
      <c r="K25" s="538"/>
      <c r="L25" s="538"/>
    </row>
    <row r="26" spans="1:16" s="77" customFormat="1" ht="15.6">
      <c r="A26" s="529">
        <f t="shared" si="1"/>
        <v>12</v>
      </c>
      <c r="B26" s="723" t="s">
        <v>567</v>
      </c>
      <c r="C26" s="51" t="s">
        <v>912</v>
      </c>
      <c r="D26" s="50" t="s">
        <v>166</v>
      </c>
      <c r="E26" s="530" t="s">
        <v>508</v>
      </c>
      <c r="F26" s="531">
        <v>0.55000000000000004</v>
      </c>
      <c r="G26" s="536">
        <v>0.19800000000000001</v>
      </c>
      <c r="H26" s="532">
        <f>H18</f>
        <v>208461</v>
      </c>
      <c r="I26" s="533">
        <f t="shared" si="0"/>
        <v>22701</v>
      </c>
      <c r="J26" s="534"/>
      <c r="K26" s="538"/>
      <c r="L26" s="538"/>
    </row>
    <row r="27" spans="1:16" s="976" customFormat="1" ht="15.6">
      <c r="A27" s="529">
        <f t="shared" si="1"/>
        <v>13</v>
      </c>
      <c r="B27" s="1036" t="s">
        <v>568</v>
      </c>
      <c r="C27" s="966" t="s">
        <v>913</v>
      </c>
      <c r="D27" s="969" t="s">
        <v>92</v>
      </c>
      <c r="E27" s="970" t="s">
        <v>345</v>
      </c>
      <c r="F27" s="971">
        <f>0.7*0.55</f>
        <v>0.38500000000000001</v>
      </c>
      <c r="G27" s="972">
        <v>15.714</v>
      </c>
      <c r="H27" s="826">
        <v>226922</v>
      </c>
      <c r="I27" s="964">
        <f t="shared" si="0"/>
        <v>1372853</v>
      </c>
      <c r="J27" s="534"/>
      <c r="K27" s="538"/>
      <c r="L27" s="538"/>
    </row>
    <row r="28" spans="1:16" s="976" customFormat="1" ht="15.6">
      <c r="A28" s="529">
        <f t="shared" si="1"/>
        <v>14</v>
      </c>
      <c r="B28" s="990" t="s">
        <v>568</v>
      </c>
      <c r="C28" s="51" t="s">
        <v>892</v>
      </c>
      <c r="D28" s="50" t="s">
        <v>92</v>
      </c>
      <c r="E28" s="530" t="s">
        <v>345</v>
      </c>
      <c r="F28" s="1026">
        <f>0.7*0.55</f>
        <v>0.38500000000000001</v>
      </c>
      <c r="G28" s="536">
        <v>15.714</v>
      </c>
      <c r="H28" s="532">
        <f>H27</f>
        <v>226922</v>
      </c>
      <c r="I28" s="533">
        <f t="shared" si="0"/>
        <v>1372853</v>
      </c>
      <c r="J28" s="534"/>
      <c r="K28" s="538"/>
      <c r="L28" s="538"/>
    </row>
    <row r="29" spans="1:16" s="976" customFormat="1" ht="15.6">
      <c r="A29" s="1363">
        <f t="shared" si="1"/>
        <v>15</v>
      </c>
      <c r="B29" s="1364" t="s">
        <v>568</v>
      </c>
      <c r="C29" s="1365" t="s">
        <v>909</v>
      </c>
      <c r="D29" s="1366" t="s">
        <v>92</v>
      </c>
      <c r="E29" s="1367" t="s">
        <v>345</v>
      </c>
      <c r="F29" s="1368">
        <f>0.7*0.45</f>
        <v>0.315</v>
      </c>
      <c r="G29" s="1369">
        <v>15.714</v>
      </c>
      <c r="H29" s="1370">
        <f>H25</f>
        <v>208461</v>
      </c>
      <c r="I29" s="1371">
        <f t="shared" si="0"/>
        <v>1031863</v>
      </c>
      <c r="J29" s="974"/>
      <c r="K29" s="973"/>
      <c r="L29" s="973"/>
    </row>
    <row r="30" spans="1:16" s="544" customFormat="1" ht="15.6">
      <c r="A30" s="542"/>
      <c r="B30" s="543" t="s">
        <v>541</v>
      </c>
      <c r="C30" s="705" t="s">
        <v>540</v>
      </c>
      <c r="D30" s="545"/>
      <c r="E30" s="546"/>
      <c r="F30" s="546"/>
      <c r="G30" s="547"/>
      <c r="H30" s="548"/>
      <c r="I30" s="546"/>
      <c r="J30" s="546"/>
      <c r="K30" s="547"/>
      <c r="L30" s="548"/>
      <c r="M30" s="706"/>
      <c r="N30" s="706"/>
      <c r="O30" s="706"/>
      <c r="P30" s="544">
        <v>1</v>
      </c>
    </row>
    <row r="31" spans="1:16" s="544" customFormat="1">
      <c r="C31" s="705" t="s">
        <v>542</v>
      </c>
      <c r="G31" s="549"/>
      <c r="H31" s="550"/>
      <c r="L31" s="551"/>
      <c r="M31" s="551"/>
      <c r="N31" s="551"/>
      <c r="O31" s="551"/>
      <c r="P31" s="544">
        <v>1</v>
      </c>
    </row>
    <row r="35" spans="8:8">
      <c r="H35" s="552"/>
    </row>
  </sheetData>
  <mergeCells count="6">
    <mergeCell ref="A2:I2"/>
    <mergeCell ref="A3:I3"/>
    <mergeCell ref="A8:C8"/>
    <mergeCell ref="A14:C14"/>
    <mergeCell ref="A4:I4"/>
    <mergeCell ref="A11:C11"/>
  </mergeCells>
  <printOptions horizontalCentered="1"/>
  <pageMargins left="0.19685039370078741" right="0.19685039370078741" top="0.47244094488188981" bottom="0.31496062992125984" header="0.31496062992125984" footer="0.27559055118110237"/>
  <pageSetup paperSize="9" scale="80" fitToHeight="0" orientation="landscape" blackAndWhite="1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21</vt:i4>
      </vt:variant>
    </vt:vector>
  </HeadingPairs>
  <TitlesOfParts>
    <vt:vector size="37" baseType="lpstr">
      <vt:lpstr>BIA</vt:lpstr>
      <vt:lpstr>1.Tonghop</vt:lpstr>
      <vt:lpstr>1.TH</vt:lpstr>
      <vt:lpstr>2.THXL</vt:lpstr>
      <vt:lpstr>2.DT</vt:lpstr>
      <vt:lpstr>5.THVL,NC,MTC</vt:lpstr>
      <vt:lpstr>3.TH CHI TIET</vt:lpstr>
      <vt:lpstr>4. CT NC</vt:lpstr>
      <vt:lpstr>5. ĐG NC</vt:lpstr>
      <vt:lpstr>6.mtcvtth</vt:lpstr>
      <vt:lpstr>7.vtth</vt:lpstr>
      <vt:lpstr>8.VCDD</vt:lpstr>
      <vt:lpstr>BKe TT</vt:lpstr>
      <vt:lpstr>Bảng tính ĐG TL</vt:lpstr>
      <vt:lpstr>VTu A</vt:lpstr>
      <vt:lpstr>VTu A (2)</vt:lpstr>
      <vt:lpstr>'1.TH'!Print_Area</vt:lpstr>
      <vt:lpstr>'1.Tonghop'!Print_Area</vt:lpstr>
      <vt:lpstr>'2.DT'!Print_Area</vt:lpstr>
      <vt:lpstr>'2.THXL'!Print_Area</vt:lpstr>
      <vt:lpstr>'3.TH CHI TIET'!Print_Area</vt:lpstr>
      <vt:lpstr>'4. CT NC'!Print_Area</vt:lpstr>
      <vt:lpstr>'5. ĐG NC'!Print_Area</vt:lpstr>
      <vt:lpstr>'5.THVL,NC,MTC'!Print_Area</vt:lpstr>
      <vt:lpstr>'6.mtcvtth'!Print_Area</vt:lpstr>
      <vt:lpstr>'7.vtth'!Print_Area</vt:lpstr>
      <vt:lpstr>'8.VCDD'!Print_Area</vt:lpstr>
      <vt:lpstr>'Bảng tính ĐG TL'!Print_Area</vt:lpstr>
      <vt:lpstr>BIA!Print_Area</vt:lpstr>
      <vt:lpstr>'BKe TT'!Print_Area</vt:lpstr>
      <vt:lpstr>'VTu A (2)'!Print_Area</vt:lpstr>
      <vt:lpstr>'3.TH CHI TIET'!Print_Titles</vt:lpstr>
      <vt:lpstr>'4. CT NC'!Print_Titles</vt:lpstr>
      <vt:lpstr>'5. ĐG NC'!Print_Titles</vt:lpstr>
      <vt:lpstr>'5.THVL,NC,MTC'!Print_Titles</vt:lpstr>
      <vt:lpstr>'7.vtth'!Print_Titles</vt:lpstr>
      <vt:lpstr>'BKe TT'!Print_Titles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</dc:title>
  <dc:creator/>
  <cp:lastModifiedBy/>
  <cp:lastPrinted>2015-02-04T21:29:06Z</cp:lastPrinted>
  <dcterms:created xsi:type="dcterms:W3CDTF">2000-12-13T01:30:22Z</dcterms:created>
  <dcterms:modified xsi:type="dcterms:W3CDTF">2020-03-23T13:48:33Z</dcterms:modified>
</cp:coreProperties>
</file>