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1A6D4EF5-197B-4BF6-90AC-ED682A6F9F86}" xr6:coauthVersionLast="44" xr6:coauthVersionMax="44" xr10:uidLastSave="{00000000-0000-0000-0000-000000000000}"/>
  <bookViews>
    <workbookView xWindow="0" yWindow="0" windowWidth="23040" windowHeight="12504" tabRatio="768" activeTab="10"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s>
  <externalReferences>
    <externalReference r:id="rId16"/>
    <externalReference r:id="rId17"/>
    <externalReference r:id="rId18"/>
  </externalReferences>
  <definedNames>
    <definedName name="_xlnm._FilterDatabase" localSheetId="4" hidden="1">DanhMucBCap!$C$1:$I$38</definedName>
    <definedName name="_xlnm._FilterDatabase" localSheetId="13" hidden="1">HopDongTuongTu!$A$1:$J$21</definedName>
    <definedName name="_xlnm._FilterDatabase" localSheetId="11" hidden="1">NhanSu!$A$1:$V$52</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1" l="1"/>
  <c r="N2" i="1" s="1"/>
  <c r="J2" i="1"/>
  <c r="H2" i="1"/>
  <c r="F2" i="1"/>
  <c r="D2" i="1"/>
  <c r="C2" i="1"/>
  <c r="B2" i="1"/>
  <c r="A2" i="1"/>
  <c r="J3" i="1"/>
  <c r="M2" i="1" l="1"/>
  <c r="C14" i="20"/>
  <c r="D14" i="20" a="1"/>
  <c r="D14" i="20" s="1"/>
  <c r="C15" i="20"/>
  <c r="D15" i="20" a="1"/>
  <c r="D15" i="20" s="1"/>
  <c r="C16" i="20"/>
  <c r="D16" i="20" a="1"/>
  <c r="D16" i="20" s="1"/>
  <c r="E6" i="19"/>
  <c r="E9" i="19"/>
  <c r="E10" i="19"/>
  <c r="E7" i="19"/>
  <c r="E8" i="19"/>
  <c r="E11" i="19"/>
  <c r="E24" i="19"/>
  <c r="E25" i="19"/>
  <c r="E22" i="19"/>
  <c r="E23" i="19"/>
  <c r="C24" i="19"/>
  <c r="C11" i="19"/>
  <c r="A1" i="19"/>
  <c r="C6" i="19"/>
  <c r="C2" i="19"/>
  <c r="C34" i="19" l="1"/>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B61" i="6" l="1"/>
  <c r="B62" i="6"/>
  <c r="B63" i="6"/>
  <c r="B64" i="6"/>
  <c r="B65" i="6"/>
  <c r="B66" i="6"/>
  <c r="B67" i="6"/>
  <c r="B68" i="6"/>
  <c r="B69" i="6"/>
  <c r="B70" i="6"/>
  <c r="B71" i="6"/>
  <c r="B72" i="6"/>
  <c r="B73" i="6"/>
  <c r="B74" i="6"/>
  <c r="B75" i="6"/>
  <c r="B76" i="6"/>
  <c r="B77" i="6"/>
  <c r="B78" i="6"/>
  <c r="B79" i="6"/>
  <c r="B60"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2" i="6"/>
  <c r="D5" i="6" l="1"/>
  <c r="D6" i="6" s="1"/>
  <c r="D7" i="6" s="1"/>
  <c r="D8" i="6" s="1"/>
  <c r="D9" i="6" s="1"/>
  <c r="D10" i="6" s="1"/>
  <c r="D11" i="6" s="1"/>
  <c r="D12" i="6" s="1"/>
  <c r="D13" i="6" s="1"/>
  <c r="D14" i="6" s="1"/>
  <c r="D15" i="6" s="1"/>
  <c r="D16" i="6" s="1"/>
  <c r="D17" i="6" s="1"/>
  <c r="D18" i="6" s="1"/>
  <c r="D19" i="6" s="1"/>
  <c r="D20" i="6" s="1"/>
  <c r="D21" i="6" s="1"/>
  <c r="D22" i="6" s="1"/>
  <c r="E22" i="6" l="1"/>
  <c r="D23" i="6"/>
  <c r="E23" i="6" s="1"/>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2" i="20" a="1"/>
  <c r="D2" i="20" s="1"/>
  <c r="C3" i="20"/>
  <c r="C4" i="20"/>
  <c r="C5" i="20"/>
  <c r="C6" i="20"/>
  <c r="C7" i="20"/>
  <c r="C8" i="20"/>
  <c r="C9" i="20"/>
  <c r="C10" i="20"/>
  <c r="C11" i="20"/>
  <c r="C12" i="20"/>
  <c r="C13" i="20"/>
  <c r="C2" i="20"/>
  <c r="N1" i="7" l="1"/>
  <c r="O1" i="7"/>
  <c r="P1" i="7"/>
  <c r="Q1" i="7"/>
  <c r="M1" i="7"/>
  <c r="H1" i="7"/>
  <c r="N2" i="7" l="1"/>
  <c r="O2" i="7"/>
  <c r="M2" i="7"/>
  <c r="P2" i="7" l="1"/>
  <c r="Q2" i="7"/>
  <c r="E3" i="7"/>
  <c r="E4" i="7"/>
  <c r="E5" i="7"/>
  <c r="E6" i="7"/>
  <c r="E7" i="7"/>
  <c r="E8" i="7"/>
  <c r="E2" i="7"/>
  <c r="E1" i="7"/>
  <c r="J1" i="7"/>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25" i="6" l="1"/>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13" i="6"/>
  <c r="E14" i="6"/>
  <c r="E15" i="6"/>
  <c r="E16" i="6"/>
  <c r="E17" i="6"/>
  <c r="E18" i="6"/>
  <c r="E19" i="6"/>
  <c r="E20" i="6"/>
  <c r="E21" i="6"/>
  <c r="E24" i="6"/>
  <c r="D1" i="6"/>
  <c r="L4" i="1" l="1"/>
  <c r="M22" i="14" l="1"/>
  <c r="M21" i="14"/>
  <c r="M13" i="14"/>
  <c r="M14" i="14"/>
  <c r="M15" i="14"/>
  <c r="M16" i="14"/>
  <c r="M17" i="14"/>
  <c r="M18" i="14"/>
  <c r="M19" i="14"/>
  <c r="M20" i="14"/>
  <c r="M23" i="14"/>
  <c r="M24" i="14"/>
  <c r="N12" i="1" l="1"/>
  <c r="G5" i="12"/>
  <c r="F1" i="14" l="1"/>
  <c r="G1" i="14"/>
  <c r="M11" i="14" l="1"/>
  <c r="M12" i="14"/>
  <c r="M10" i="14"/>
  <c r="M3" i="14"/>
  <c r="M4" i="14"/>
  <c r="M5" i="14"/>
  <c r="M6" i="14"/>
  <c r="M2" i="14"/>
  <c r="E1" i="14"/>
  <c r="H1" i="14"/>
  <c r="I1" i="14"/>
  <c r="J1" i="14"/>
  <c r="K1" i="14"/>
  <c r="D1" i="14"/>
  <c r="B3" i="6" l="1"/>
  <c r="B2" i="6"/>
  <c r="K1" i="6" l="1"/>
  <c r="A1" i="2" l="1"/>
  <c r="A5" i="2" l="1"/>
  <c r="R9" i="1" l="1"/>
  <c r="P9" i="1"/>
  <c r="R7" i="1" l="1"/>
  <c r="P7" i="1"/>
  <c r="A15" i="2" l="1"/>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F3" i="1" l="1"/>
  <c r="L3" i="1"/>
  <c r="N3" i="1" s="1"/>
  <c r="L17" i="1"/>
  <c r="N17" i="1" s="1"/>
  <c r="B3" i="1"/>
  <c r="C3" i="1"/>
  <c r="A3" i="1"/>
  <c r="H3" i="1"/>
  <c r="D3" i="1"/>
  <c r="C7" i="3"/>
  <c r="C4" i="3"/>
  <c r="C3" i="3"/>
  <c r="C2" i="3"/>
  <c r="C6" i="3"/>
  <c r="C33" i="3"/>
  <c r="M3" i="1" l="1"/>
  <c r="J5" i="1"/>
  <c r="J6" i="1"/>
  <c r="J4" i="1"/>
  <c r="L5" i="1"/>
  <c r="M5" i="1" s="1"/>
  <c r="L6" i="1"/>
  <c r="M6" i="1" s="1"/>
  <c r="M4" i="1" l="1"/>
  <c r="N6" i="1"/>
  <c r="N5"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<sst xmlns="http://schemas.openxmlformats.org/spreadsheetml/2006/main" count="1320" uniqueCount="644">
  <si>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</si>
  <si>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</si>
  <si>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</si>
  <si>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</si>
  <si>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</si>
  <si>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</si>
  <si>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</si>
  <si>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</si>
  <si>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</si>
  <si>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</si>
  <si>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</si>
  <si>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</si>
  <si>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</si>
  <si>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</si>
  <si>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</si>
  <si>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</si>
  <si>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</si>
  <si>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</si>
  <si>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</si>
  <si>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</si>
  <si>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</si>
  <si>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</si>
  <si>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</si>
  <si>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</si>
  <si>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</si>
  <si>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</si>
  <si>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</si>
  <si>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</si>
  <si>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</si>
  <si>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</si>
  <si>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</si>
  <si>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</si>
  <si>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</si>
  <si>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</si>
  <si>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</si>
  <si>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</si>
  <si>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</si>
  <si>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</si>
  <si>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</si>
  <si>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</si>
  <si>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</si>
  <si>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</si>
  <si>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</si>
  <si>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</si>
  <si>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</si>
  <si>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</si>
  <si>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</si>
  <si>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</si>
  <si>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</si>
  <si>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</si>
  <si>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</si>
  <si>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</si>
  <si>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</si>
  <si>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</si>
  <si>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</si>
  <si>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</si>
  <si>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</si>
  <si>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</si>
  <si>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</si>
  <si>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</si>
  <si>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</si>
  <si>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</si>
  <si>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</si>
  <si>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</si>
  <si>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</si>
  <si>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</si>
  <si>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</si>
  <si>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</si>
  <si>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</si>
  <si>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</si>
  <si>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</si>
  <si>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</si>
  <si>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</si>
  <si>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</si>
  <si>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</si>
  <si>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</si>
  <si>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</si>
  <si>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</si>
  <si>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</si>
  <si>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</si>
  <si>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</si>
  <si>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</si>
  <si>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</si>
  <si>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</si>
  <si>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</si>
  <si>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</si>
  <si>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</si>
  <si>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</si>
  <si>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</si>
  <si>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</si>
  <si>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</si>
  <si>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</si>
  <si>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</si>
  <si>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</si>
  <si>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</si>
  <si>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</si>
  <si>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</si>
  <si>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</si>
  <si>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</si>
  <si>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</si>
  <si>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</si>
  <si>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</si>
  <si>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</si>
  <si>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</si>
  <si>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</si>
  <si>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</si>
  <si>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</si>
  <si>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</si>
  <si>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</si>
  <si>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</si>
  <si>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</si>
  <si>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</si>
  <si>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</si>
  <si>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</si>
  <si>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</si>
  <si>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</si>
  <si>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</si>
  <si>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</si>
  <si>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</si>
  <si>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</si>
  <si>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</si>
  <si>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</si>
  <si>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</si>
  <si>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</si>
  <si>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</si>
  <si>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</si>
  <si>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</si>
  <si>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</si>
  <si>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</si>
  <si>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</si>
  <si>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</si>
  <si>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</si>
  <si>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</si>
  <si>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</si>
  <si>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</si>
  <si>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</si>
  <si>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</si>
  <si>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</si>
  <si>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</si>
  <si>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</si>
  <si>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</si>
  <si>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</si>
  <si>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</si>
  <si>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</si>
  <si>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</si>
  <si>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</si>
  <si>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</si>
  <si>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</si>
  <si>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</si>
  <si>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</si>
  <si>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</si>
  <si>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</si>
  <si>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</si>
  <si>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</si>
  <si>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</si>
  <si>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</si>
  <si>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</si>
  <si>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</si>
  <si>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</si>
  <si>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</si>
  <si>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</si>
  <si>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</si>
  <si>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</si>
  <si>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</si>
  <si>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</si>
  <si>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</si>
  <si>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</si>
  <si>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</si>
  <si>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</si>
  <si>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</si>
  <si>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</si>
  <si>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</si>
  <si>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</si>
  <si>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</si>
  <si>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</si>
  <si>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</si>
  <si>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</si>
  <si>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</si>
  <si>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</si>
  <si>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</si>
  <si>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</si>
  <si>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</si>
  <si>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</si>
  <si>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</si>
  <si>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</si>
  <si>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</si>
  <si>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</si>
  <si>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</si>
  <si>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</si>
  <si>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</si>
  <si>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</si>
  <si>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</si>
  <si>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</si>
  <si>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</si>
  <si>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</si>
  <si>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</si>
  <si>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</si>
  <si>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</si>
  <si>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</si>
  <si>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</si>
  <si>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</si>
  <si>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</si>
  <si>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</si>
  <si>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</si>
  <si>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</si>
  <si>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</si>
  <si>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</si>
  <si>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</si>
  <si>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</si>
  <si>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</si>
  <si>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</si>
  <si>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</si>
  <si>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</si>
  <si>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</si>
  <si>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</si>
  <si>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</si>
  <si>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</si>
  <si>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</si>
  <si>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</si>
  <si>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</si>
  <si>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</si>
  <si>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</si>
  <si>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</si>
  <si>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</si>
  <si>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</si>
  <si>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</si>
  <si>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</si>
  <si>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</si>
  <si>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</si>
  <si>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</si>
  <si>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</si>
  <si>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</si>
  <si>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</si>
  <si>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</si>
  <si>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</si>
  <si>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</si>
  <si>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</si>
  <si>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</si>
  <si>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</si>
  <si>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</si>
  <si>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</si>
  <si>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</si>
  <si>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</si>
  <si>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</si>
  <si>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</si>
  <si>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</si>
  <si>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</si>
  <si>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</si>
  <si>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</si>
  <si>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</si>
  <si>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</si>
  <si>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</si>
  <si>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</si>
  <si>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</si>
  <si>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</si>
  <si>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</si>
  <si>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</si>
  <si>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</si>
  <si>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</si>
  <si>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</si>
  <si>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</si>
  <si>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</si>
  <si>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</si>
  <si>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</si>
  <si>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</si>
  <si>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</si>
  <si>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</si>
  <si>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</si>
  <si>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</si>
  <si>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</si>
  <si>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</si>
  <si>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</si>
  <si>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</si>
  <si>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</si>
  <si>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</si>
  <si>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</si>
  <si>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</si>
  <si>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</si>
  <si>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</si>
  <si>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</si>
  <si>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</si>
  <si>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</si>
  <si>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</si>
  <si>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</si>
  <si>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</si>
  <si>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</si>
  <si>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</si>
  <si>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</si>
  <si>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</si>
  <si>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</si>
  <si>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</si>
  <si>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</si>
  <si>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</si>
  <si>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</si>
  <si>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</si>
  <si>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</si>
  <si>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</si>
  <si>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</si>
  <si>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</si>
  <si>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</si>
  <si>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</si>
  <si>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</si>
  <si>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</si>
  <si>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</si>
  <si>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</si>
  <si>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</si>
  <si>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</si>
  <si>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</si>
  <si>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</si>
  <si>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</si>
  <si>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</si>
  <si>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</si>
  <si>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</si>
  <si>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</si>
  <si>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</si>
  <si>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</si>
  <si>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</si>
  <si>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</si>
  <si>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</si>
  <si>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</si>
  <si>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</si>
  <si>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</si>
  <si>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</si>
  <si>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</si>
  <si>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</si>
  <si>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</si>
  <si>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</si>
  <si>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</si>
  <si>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</si>
  <si>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</si>
  <si>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</si>
  <si>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</si>
  <si>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</si>
  <si>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</si>
  <si>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</si>
  <si>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</si>
  <si>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</si>
  <si>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</si>
  <si>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</si>
  <si>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</si>
  <si>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</si>
  <si>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</si>
  <si>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</si>
  <si>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</si>
  <si>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</si>
  <si>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</si>
  <si>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</si>
  <si>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</si>
  <si>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</si>
  <si>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</si>
  <si>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</si>
  <si>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</si>
  <si>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</si>
  <si>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</si>
  <si>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</si>
  <si>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</si>
  <si>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</si>
  <si>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</si>
  <si>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</si>
  <si>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</si>
  <si>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</si>
  <si>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</si>
  <si>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</si>
  <si>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</si>
  <si>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</si>
  <si>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</si>
  <si>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</si>
  <si>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</si>
  <si>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</si>
  <si>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</si>
  <si>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</si>
  <si>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</si>
  <si>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</si>
  <si>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</si>
  <si>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</si>
  <si>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</si>
  <si>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</si>
  <si>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</si>
  <si>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</si>
  <si>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</si>
  <si>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</si>
  <si>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</si>
  <si>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</si>
  <si>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</si>
  <si>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</si>
  <si>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</si>
  <si>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</si>
  <si>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</si>
  <si>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</si>
  <si>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</si>
  <si>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</si>
  <si>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</si>
  <si>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</si>
  <si>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</si>
  <si>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</si>
  <si>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</si>
  <si>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</si>
  <si>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</si>
  <si>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</si>
  <si>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</si>
  <si>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</si>
  <si>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</si>
  <si>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</si>
  <si>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</si>
  <si>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</si>
  <si>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</si>
  <si>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</si>
  <si>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</si>
  <si>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</si>
  <si>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</si>
  <si>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</si>
  <si>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</si>
  <si>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</si>
  <si>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</si>
  <si>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</si>
  <si>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</si>
  <si>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</si>
  <si>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</si>
  <si>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</si>
  <si>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</si>
  <si>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</si>
  <si>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</si>
  <si>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</si>
  <si>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</si>
  <si>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</si>
  <si>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</si>
  <si>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</si>
  <si>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</si>
  <si>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</si>
  <si>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</si>
  <si>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</si>
  <si>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</si>
  <si>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</si>
  <si>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</si>
  <si>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</si>
  <si>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</si>
  <si>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</si>
  <si>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</si>
  <si>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</si>
  <si>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</si>
  <si>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</si>
  <si>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</si>
  <si>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</si>
  <si>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</si>
  <si>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</si>
  <si>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</si>
  <si>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</si>
  <si>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</si>
  <si>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</si>
  <si>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</si>
  <si>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</si>
  <si>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</si>
  <si>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</si>
  <si>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</si>
  <si>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</si>
  <si>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</si>
  <si>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</si>
  <si>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</si>
  <si>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</si>
  <si>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</si>
  <si>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</si>
  <si>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</si>
  <si>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</si>
  <si>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</si>
  <si>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</si>
  <si>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</si>
  <si>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</si>
  <si>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</si>
  <si>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</si>
  <si>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</si>
  <si>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</si>
  <si>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</si>
  <si>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</si>
  <si>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</si>
  <si>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</si>
  <si>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</si>
  <si>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</si>
  <si>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</si>
  <si>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</si>
  <si>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</si>
  <si>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</si>
  <si>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</si>
  <si>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</si>
  <si>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</si>
  <si>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</si>
  <si>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</si>
  <si>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</si>
  <si>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</si>
  <si>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</si>
  <si>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</si>
  <si>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</si>
  <si>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</si>
  <si>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</si>
  <si>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</si>
  <si>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</si>
  <si>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</si>
  <si>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</si>
  <si>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</si>
  <si>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</si>
  <si>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</si>
  <si>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</si>
  <si>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</si>
  <si>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</si>
  <si>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</si>
  <si>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</si>
  <si>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</si>
  <si>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</si>
  <si>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</si>
  <si>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</si>
  <si>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</si>
  <si>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</si>
  <si>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</si>
  <si>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</si>
  <si>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</si>
  <si>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</si>
  <si>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</si>
  <si>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</si>
  <si>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</si>
  <si>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</si>
  <si>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</si>
  <si>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</si>
  <si>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</si>
  <si>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</si>
  <si>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</si>
  <si>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</si>
  <si>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</si>
  <si>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</si>
  <si>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</si>
  <si>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</si>
  <si>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</si>
  <si>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</si>
  <si>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</si>
  <si>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</si>
  <si>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</si>
  <si>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</si>
  <si>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</si>
  <si>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</si>
  <si>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</si>
  <si>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</si>
  <si>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</si>
  <si>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</si>
  <si>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</si>
  <si>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</si>
  <si>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</si>
  <si>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</si>
  <si>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</si>
  <si>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</si>
  <si>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</si>
  <si>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</si>
  <si>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</si>
  <si>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</si>
  <si>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</si>
  <si>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</si>
  <si>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Dự án đầu tư</t>
  </si>
  <si>
    <t>Tên dự án</t>
  </si>
  <si>
    <t>Công trình: Nâng cấp đường dây trung hạ thế và TBA từ 1 pha lên 3 pha khu vực xã Xuân Hòa, Xuân Phú, Xuân Định huyện Xuân Lộc năm 2019</t>
  </si>
  <si>
    <t>Vốn vay thương mại và vốn khấu hao cơ bản</t>
  </si>
  <si>
    <t>Đấu thầu rộng rãi</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</si>
  <si>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</si>
  <si>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</si>
  <si>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</si>
  <si>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</si>
  <si>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</si>
  <si>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</si>
  <si>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</si>
  <si>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</si>
  <si>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</si>
  <si>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</si>
  <si>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</si>
  <si>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</si>
  <si>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</si>
  <si>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</si>
  <si>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</si>
  <si>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</si>
  <si>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</si>
  <si>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</si>
  <si>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</si>
  <si>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</si>
  <si>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</si>
  <si>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</si>
  <si>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</si>
  <si>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</si>
  <si>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</si>
  <si>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</si>
  <si>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</si>
  <si>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</si>
  <si>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</si>
  <si>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</si>
  <si>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</si>
  <si>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</si>
  <si>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</si>
  <si>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</si>
  <si>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</si>
  <si>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</si>
  <si>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</si>
  <si>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</si>
  <si>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</si>
  <si>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</si>
  <si>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</si>
  <si>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</si>
  <si>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</si>
  <si>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</si>
  <si>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</si>
  <si>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</si>
  <si>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</si>
  <si>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</si>
  <si>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</si>
  <si>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</si>
  <si>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</si>
  <si>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</si>
  <si>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</si>
  <si>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Gói thầu số 2: Thi công xây lắp Công trình: Nâng cấp đường dây trung hạ thế, cấy trạm biến áp khu vực xã Xuân Hiệp, Xuân Thọ, Lang Minh, Suối Cát, Bảo Hòa huyện Xuân Lộc năm 2019</t>
  </si>
  <si>
    <t>Nâng cấp đường dây trung hạ thế, cấy trạm biến áp khu vực xã Xuân Hiệp, Xuân Thọ, Lang Minh, Suối Cát, Bảo Hòa huyện Xuân Lộc năm 2019.</t>
  </si>
  <si>
    <t>2,614,520,178 VND</t>
  </si>
  <si>
    <t>Hai tỷ sáu trăm mười bốn triệu năm trăm hai mươi nghìn một trăm bảy mươi tám đồng chẵn</t>
  </si>
  <si>
    <t>26.500.000 VND</t>
  </si>
  <si>
    <t>Hai mươi sáu triệu năm trăm nghìn đồng chẵn</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</si>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</sst>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4">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166" fontId="0" fillId="0" borderId="0" xfId="1" applyNumberFormat="1" applyFont="1"/>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49" fontId="0" fillId="0" borderId="0" xfId="0" applyNumberFormat="1" applyAlignment="1">
      <alignment wrapText="1"/>
    </xf>
    <xf numFmtId="49" fontId="0" fillId="0" borderId="0" xfId="0" quotePrefix="1" applyNumberFormat="1" applyAlignment="1">
      <alignment wrapText="1"/>
    </xf>
  </cellXfs>
  <cellStyles count="6">
    <cellStyle name="Comma" xfId="1" builtinId="3"/>
    <cellStyle name="Comma 2" xfId="5" xr:uid="{634C2924-3F56-4010-9577-A93595A747F8}"/>
    <cellStyle name="Hyperlink" xfId="3" builtinId="8"/>
    <cellStyle name="Normal" xfId="0" builtinId="0"/>
    <cellStyle name="Normal 2" xfId="2" xr:uid="{00000000-0005-0000-0000-000003000000}"/>
    <cellStyle name="Normal 3" xfId="4" xr:uid="{58E39C18-5244-42A6-B46D-39969BFC58D5}"/>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28" sqref="D28"/>
    </sheetView>
  </sheetViews>
  <sheetFormatPr defaultRowHeight="14.4" x14ac:dyDescent="0.3"/>
  <cols>
    <col min="1" max="2" width="26.6640625" bestFit="1" customWidth="1"/>
    <col min="3" max="3" width="10.44140625" customWidth="1"/>
    <col min="4" max="4" width="42.33203125" customWidth="1"/>
    <col min="5" max="5" width="23" customWidth="1"/>
    <col min="10" max="10" width="15.6640625" bestFit="1" customWidth="1"/>
  </cols>
  <sheetData>
    <row r="1" spans="1:13" x14ac:dyDescent="0.3">
      <c r="A1" t="str">
        <f>LEFT(D1,11)</f>
        <v/>
      </c>
      <c r="B1" s="59" t="s">
        <v>450</v>
      </c>
      <c r="C1" s="48"/>
      <c r="D1" s="48"/>
      <c r="E1" s="60"/>
      <c r="F1" s="48"/>
      <c r="G1" s="48"/>
      <c r="H1" s="48"/>
      <c r="I1" s="48"/>
      <c r="J1" s="60"/>
      <c r="K1" s="48"/>
      <c r="L1" s="48"/>
      <c r="M1" s="48"/>
    </row>
    <row r="2" spans="1:13" x14ac:dyDescent="0.3">
      <c r="A2" s="32" t="str">
        <f>TRIM(B2)</f>
        <v/>
      </c>
      <c r="B2" s="48"/>
      <c r="C2" s="48"/>
      <c r="D2" s="48"/>
      <c r="E2" s="48"/>
      <c r="F2" s="48"/>
      <c r="G2" s="48"/>
      <c r="H2" s="48"/>
      <c r="I2" s="48"/>
      <c r="J2" s="48"/>
      <c r="K2" s="48"/>
      <c r="L2" s="48"/>
      <c r="M2" s="48"/>
    </row>
    <row r="3" spans="1:13" x14ac:dyDescent="0.3">
      <c r="A3" s="32" t="str">
        <f t="shared" ref="A3:A39" si="0">TRIM(B3)</f>
        <v/>
      </c>
      <c r="B3" s="48"/>
      <c r="C3" s="48"/>
      <c r="D3" s="48"/>
      <c r="E3" s="48"/>
      <c r="F3" s="48"/>
      <c r="G3" s="48"/>
      <c r="H3" s="48"/>
      <c r="I3" s="48"/>
      <c r="J3" s="48"/>
      <c r="K3" s="48"/>
      <c r="L3" s="48"/>
      <c r="M3" s="48"/>
    </row>
    <row r="4" spans="1:13" x14ac:dyDescent="0.3">
      <c r="A4" s="32" t="str">
        <f t="shared" si="0"/>
        <v/>
      </c>
      <c r="B4" s="48"/>
      <c r="C4" s="48"/>
      <c r="D4" s="48"/>
      <c r="E4" s="48"/>
      <c r="F4" s="48"/>
      <c r="G4" s="48"/>
      <c r="H4" s="48"/>
      <c r="I4" s="48"/>
      <c r="J4" s="60"/>
      <c r="K4" s="48"/>
      <c r="L4" s="48"/>
      <c r="M4" s="48"/>
    </row>
    <row r="5" spans="1:13" x14ac:dyDescent="0.3">
      <c r="A5" s="32" t="str">
        <f>TRIM(B5)</f>
        <v/>
      </c>
      <c r="B5" s="48"/>
      <c r="C5" s="48"/>
      <c r="D5" s="48"/>
      <c r="E5" s="48"/>
      <c r="F5" s="48"/>
      <c r="G5" s="48"/>
      <c r="H5" s="48"/>
      <c r="I5" s="48"/>
      <c r="J5" s="48"/>
      <c r="K5" s="48"/>
      <c r="L5" s="48"/>
      <c r="M5" s="48"/>
    </row>
    <row r="6" spans="1:13" x14ac:dyDescent="0.3">
      <c r="A6" s="32" t="str">
        <f t="shared" si="0"/>
        <v/>
      </c>
      <c r="B6" s="48"/>
      <c r="C6" s="48"/>
      <c r="D6" s="48"/>
      <c r="E6" s="48"/>
      <c r="F6" s="48"/>
      <c r="G6" s="48"/>
      <c r="H6" s="48"/>
      <c r="I6" s="48"/>
      <c r="J6" s="48"/>
      <c r="K6" s="48"/>
      <c r="L6" s="48"/>
      <c r="M6" s="48"/>
    </row>
    <row r="7" spans="1:13" x14ac:dyDescent="0.3">
      <c r="A7" s="32" t="str">
        <f t="shared" si="0"/>
        <v>Thông tin chung</v>
      </c>
      <c r="B7" s="48" t="s">
        <v>451</v>
      </c>
      <c r="C7" s="48"/>
      <c r="D7" s="48"/>
      <c r="E7" s="48"/>
      <c r="F7" s="48"/>
      <c r="G7" s="48"/>
      <c r="H7" s="48"/>
      <c r="I7" s="48"/>
      <c r="J7" s="48"/>
      <c r="K7" s="48"/>
      <c r="L7" s="48"/>
      <c r="M7" s="48"/>
    </row>
    <row r="8" spans="1:13" x14ac:dyDescent="0.3">
      <c r="A8" s="32" t="str">
        <f t="shared" si="0"/>
        <v>Số TBMT</v>
      </c>
      <c r="B8" s="48" t="s">
        <v>277</v>
      </c>
      <c r="C8" s="48"/>
      <c r="D8" s="48" t="s">
        <v>609</v>
      </c>
      <c r="E8" s="48"/>
      <c r="F8" s="48"/>
      <c r="G8" s="48"/>
      <c r="H8" s="48" t="s">
        <v>278</v>
      </c>
      <c r="I8" s="48"/>
      <c r="J8" s="60">
        <v>43938.606249999997</v>
      </c>
      <c r="K8" s="48"/>
      <c r="L8" s="48"/>
      <c r="M8" s="48"/>
    </row>
    <row r="9" spans="1:13" x14ac:dyDescent="0.3">
      <c r="A9" s="32" t="str">
        <f t="shared" si="0"/>
        <v>Hình thức thông báo</v>
      </c>
      <c r="B9" s="48" t="s">
        <v>279</v>
      </c>
      <c r="C9" s="48"/>
      <c r="D9" s="48" t="s">
        <v>610</v>
      </c>
      <c r="E9" s="48"/>
      <c r="F9" s="48"/>
      <c r="G9" s="48"/>
      <c r="H9" s="48"/>
      <c r="I9" s="48"/>
      <c r="J9" s="48"/>
      <c r="K9" s="48"/>
      <c r="L9" s="48"/>
      <c r="M9" s="48"/>
    </row>
    <row r="10" spans="1:13" x14ac:dyDescent="0.3">
      <c r="A10" s="32" t="str">
        <f t="shared" si="0"/>
        <v>Loại thông báo</v>
      </c>
      <c r="B10" s="48" t="s">
        <v>280</v>
      </c>
      <c r="C10" s="48"/>
      <c r="D10" s="48" t="s">
        <v>281</v>
      </c>
      <c r="E10" s="48"/>
      <c r="F10" s="48"/>
      <c r="G10" s="48"/>
      <c r="H10" s="48" t="s">
        <v>282</v>
      </c>
      <c r="I10" s="48"/>
      <c r="J10" s="48" t="s">
        <v>283</v>
      </c>
      <c r="K10" s="48"/>
      <c r="L10" s="48"/>
      <c r="M10" s="48"/>
    </row>
    <row r="11" spans="1:13" x14ac:dyDescent="0.3">
      <c r="A11" s="32" t="str">
        <f t="shared" si="0"/>
        <v>Bên mời thầu</v>
      </c>
      <c r="B11" s="48" t="s">
        <v>284</v>
      </c>
      <c r="C11" s="48"/>
      <c r="D11" s="48" t="s">
        <v>258</v>
      </c>
      <c r="E11" s="48"/>
      <c r="F11" s="48"/>
      <c r="G11" s="48"/>
      <c r="H11" s="48"/>
      <c r="I11" s="48"/>
      <c r="J11" s="48"/>
      <c r="K11" s="48"/>
      <c r="L11" s="48"/>
      <c r="M11" s="48"/>
    </row>
    <row r="12" spans="1:13" x14ac:dyDescent="0.3">
      <c r="A12" s="32" t="str">
        <f t="shared" si="0"/>
        <v>Chủ đầu tư</v>
      </c>
      <c r="B12" s="48" t="s">
        <v>285</v>
      </c>
      <c r="C12" s="48"/>
      <c r="D12" s="48" t="s">
        <v>258</v>
      </c>
      <c r="E12" s="48"/>
      <c r="F12" s="48"/>
      <c r="G12" s="48"/>
      <c r="H12" s="48"/>
      <c r="I12" s="48"/>
      <c r="J12" s="48"/>
      <c r="K12" s="48"/>
      <c r="L12" s="48"/>
      <c r="M12" s="48"/>
    </row>
    <row r="13" spans="1:13" x14ac:dyDescent="0.3">
      <c r="A13" s="32" t="str">
        <f t="shared" si="0"/>
        <v>Phân loại</v>
      </c>
      <c r="B13" s="48" t="s">
        <v>286</v>
      </c>
      <c r="C13" s="48"/>
      <c r="D13" s="48" t="s">
        <v>553</v>
      </c>
      <c r="E13" s="48"/>
      <c r="F13" s="48"/>
      <c r="G13" s="48"/>
      <c r="H13" s="48"/>
      <c r="I13" s="48"/>
      <c r="J13" s="48"/>
      <c r="K13" s="48"/>
      <c r="L13" s="48"/>
      <c r="M13" s="48"/>
    </row>
    <row r="14" spans="1:13" x14ac:dyDescent="0.3">
      <c r="A14" s="32" t="str">
        <f t="shared" si="0"/>
        <v>Tên gói thầu</v>
      </c>
      <c r="B14" s="48" t="s">
        <v>287</v>
      </c>
      <c r="C14" s="48"/>
      <c r="D14" s="48" t="s">
        <v>611</v>
      </c>
      <c r="E14" s="48"/>
      <c r="F14" s="48"/>
      <c r="G14" s="48"/>
      <c r="H14" s="48"/>
      <c r="I14" s="48"/>
      <c r="J14" s="48"/>
      <c r="K14" s="48"/>
      <c r="L14" s="48"/>
      <c r="M14" s="48"/>
    </row>
    <row r="15" spans="1:13" x14ac:dyDescent="0.3">
      <c r="A15" s="32" t="str">
        <f t="shared" si="0"/>
        <v>Tên dự án</v>
      </c>
      <c r="B15" s="48" t="s">
        <v>554</v>
      </c>
      <c r="C15" s="48"/>
      <c r="D15" s="48" t="s">
        <v>612</v>
      </c>
      <c r="E15" s="48"/>
      <c r="F15" s="48"/>
      <c r="G15" s="48"/>
      <c r="H15" s="48"/>
      <c r="I15" s="48"/>
      <c r="J15" s="48"/>
      <c r="K15" s="48"/>
      <c r="L15" s="48"/>
      <c r="M15" s="48"/>
    </row>
    <row r="16" spans="1:13" x14ac:dyDescent="0.3">
      <c r="A16" s="32" t="str">
        <f t="shared" si="0"/>
        <v>Nguồn vốn</v>
      </c>
      <c r="B16" s="48" t="s">
        <v>289</v>
      </c>
      <c r="C16" s="48"/>
      <c r="D16" s="48" t="s">
        <v>556</v>
      </c>
      <c r="E16" s="48"/>
      <c r="F16" s="48"/>
      <c r="G16" s="48"/>
      <c r="H16" s="48"/>
      <c r="I16" s="48"/>
      <c r="J16" s="48"/>
      <c r="K16" s="48"/>
      <c r="L16" s="48"/>
      <c r="M16" s="48"/>
    </row>
    <row r="17" spans="1:13" x14ac:dyDescent="0.3">
      <c r="A17" s="32" t="str">
        <f t="shared" si="0"/>
        <v>Phương thức</v>
      </c>
      <c r="B17" s="48" t="s">
        <v>290</v>
      </c>
      <c r="C17" s="48"/>
      <c r="D17" s="48" t="s">
        <v>218</v>
      </c>
      <c r="E17" s="48"/>
      <c r="F17" s="48"/>
      <c r="G17" s="48"/>
      <c r="H17" s="48"/>
      <c r="I17" s="48"/>
      <c r="J17" s="48"/>
      <c r="K17" s="48"/>
      <c r="L17" s="48"/>
      <c r="M17" s="48"/>
    </row>
    <row r="18" spans="1:13" x14ac:dyDescent="0.3">
      <c r="A18" s="32" t="str">
        <f t="shared" si="0"/>
        <v>Thời gian thực hiện hợp đồng</v>
      </c>
      <c r="B18" s="48" t="s">
        <v>291</v>
      </c>
      <c r="C18" s="48"/>
      <c r="D18" s="60">
        <v>236</v>
      </c>
      <c r="E18" s="48"/>
      <c r="F18" s="48"/>
      <c r="G18" s="48"/>
      <c r="H18" s="48"/>
      <c r="I18" s="48"/>
      <c r="J18" s="60"/>
      <c r="K18" s="48"/>
      <c r="L18" s="48"/>
      <c r="M18" s="48"/>
    </row>
    <row r="19" spans="1:13" x14ac:dyDescent="0.3">
      <c r="A19" s="32" t="str">
        <f t="shared" si="0"/>
        <v>Nội dung chính gói thầu</v>
      </c>
      <c r="B19" s="48" t="s">
        <v>292</v>
      </c>
      <c r="C19" s="48"/>
      <c r="D19" s="48"/>
      <c r="E19" s="48"/>
      <c r="F19" s="48"/>
      <c r="G19" s="48"/>
      <c r="H19" s="48"/>
      <c r="I19" s="48"/>
      <c r="J19" s="48"/>
      <c r="K19" s="48"/>
      <c r="L19" s="48"/>
      <c r="M19" s="48"/>
    </row>
    <row r="20" spans="1:13" x14ac:dyDescent="0.3">
      <c r="A20" s="32" t="str">
        <f t="shared" si="0"/>
        <v>Loại hợp đồng</v>
      </c>
      <c r="B20" s="48" t="s">
        <v>293</v>
      </c>
      <c r="C20" s="48"/>
      <c r="D20" s="48" t="s">
        <v>217</v>
      </c>
      <c r="E20" s="48"/>
      <c r="F20" s="48"/>
      <c r="G20" s="48"/>
      <c r="H20" s="48"/>
      <c r="I20" s="48"/>
      <c r="J20" s="48"/>
      <c r="K20" s="48"/>
      <c r="L20" s="48"/>
      <c r="M20" s="48"/>
    </row>
    <row r="21" spans="1:13" x14ac:dyDescent="0.3">
      <c r="A21" s="32" t="str">
        <f t="shared" si="0"/>
        <v>Hình thức đấu thầu</v>
      </c>
      <c r="B21" s="48" t="s">
        <v>294</v>
      </c>
      <c r="C21" s="48"/>
      <c r="D21" s="60" t="s">
        <v>557</v>
      </c>
      <c r="E21" s="48"/>
      <c r="F21" s="48"/>
      <c r="G21" s="48"/>
      <c r="H21" s="48" t="s">
        <v>295</v>
      </c>
      <c r="I21" s="48"/>
      <c r="J21" s="60"/>
      <c r="K21" s="48"/>
      <c r="L21" s="48"/>
      <c r="M21" s="48"/>
    </row>
    <row r="22" spans="1:13" x14ac:dyDescent="0.3">
      <c r="A22" s="32" t="str">
        <f t="shared" si="0"/>
        <v/>
      </c>
      <c r="B22" s="48"/>
      <c r="C22" s="48"/>
      <c r="D22" s="48"/>
      <c r="E22" s="48"/>
      <c r="F22" s="48"/>
      <c r="G22" s="48"/>
      <c r="H22" s="48"/>
      <c r="I22" s="48"/>
      <c r="J22" s="48"/>
      <c r="K22" s="48"/>
      <c r="L22" s="48"/>
      <c r="M22" s="48"/>
    </row>
    <row r="23" spans="1:13" x14ac:dyDescent="0.3">
      <c r="A23" s="32" t="str">
        <f t="shared" si="0"/>
        <v>Tham dự thầu</v>
      </c>
      <c r="B23" s="48" t="s">
        <v>296</v>
      </c>
      <c r="C23" s="48"/>
      <c r="D23" s="60"/>
      <c r="E23" s="48"/>
      <c r="F23" s="48"/>
      <c r="G23" s="48"/>
      <c r="H23" s="48"/>
      <c r="I23" s="48"/>
      <c r="J23" s="48"/>
      <c r="K23" s="48"/>
      <c r="L23" s="48"/>
      <c r="M23" s="48"/>
    </row>
    <row r="24" spans="1:13" x14ac:dyDescent="0.3">
      <c r="A24" s="32" t="str">
        <f t="shared" si="0"/>
        <v>Hình thức nhận HSDT</v>
      </c>
      <c r="B24" s="48" t="s">
        <v>297</v>
      </c>
      <c r="C24" s="48"/>
      <c r="D24" s="48" t="s">
        <v>219</v>
      </c>
      <c r="E24" s="48"/>
      <c r="F24" s="48"/>
      <c r="G24" s="48"/>
      <c r="H24" s="48"/>
      <c r="I24" s="48"/>
      <c r="J24" s="48"/>
      <c r="K24" s="48"/>
      <c r="L24" s="48"/>
      <c r="M24" s="48"/>
    </row>
    <row r="25" spans="1:13" x14ac:dyDescent="0.3">
      <c r="A25" s="32" t="str">
        <f t="shared" si="0"/>
        <v>Thời gian nhận HSDT từ ngày</v>
      </c>
      <c r="B25" s="48" t="s">
        <v>298</v>
      </c>
      <c r="C25" s="48"/>
      <c r="D25" s="60">
        <v>43938.606249999997</v>
      </c>
      <c r="E25" s="48"/>
      <c r="F25" s="48"/>
      <c r="G25" s="48"/>
      <c r="H25" s="48" t="s">
        <v>299</v>
      </c>
      <c r="I25" s="48"/>
      <c r="J25" s="60">
        <v>43957.631944444445</v>
      </c>
      <c r="K25" s="48"/>
      <c r="L25" s="48"/>
      <c r="M25" s="48"/>
    </row>
    <row r="26" spans="1:13" x14ac:dyDescent="0.3">
      <c r="A26" s="32" t="str">
        <f t="shared" si="0"/>
        <v>Mua HSMT</v>
      </c>
      <c r="B26" s="48" t="s">
        <v>300</v>
      </c>
      <c r="C26" s="48"/>
      <c r="D26" s="60" t="s">
        <v>221</v>
      </c>
      <c r="E26" s="48"/>
      <c r="F26" s="48"/>
      <c r="G26" s="48"/>
      <c r="H26" s="48"/>
      <c r="I26" s="48"/>
      <c r="J26" s="48"/>
      <c r="K26" s="48"/>
      <c r="L26" s="48"/>
      <c r="M26" s="48"/>
    </row>
    <row r="27" spans="1:13" x14ac:dyDescent="0.3">
      <c r="A27" s="32" t="str">
        <f t="shared" si="0"/>
        <v>Địa điểm nhận HSDT</v>
      </c>
      <c r="B27" s="48" t="s">
        <v>301</v>
      </c>
      <c r="C27" s="48"/>
      <c r="D27" s="48" t="s">
        <v>302</v>
      </c>
      <c r="E27" s="48"/>
      <c r="F27" s="48"/>
      <c r="G27" s="48"/>
      <c r="H27" s="48"/>
      <c r="I27" s="48"/>
      <c r="J27" s="48"/>
      <c r="K27" s="48"/>
      <c r="L27" s="48"/>
      <c r="M27" s="48"/>
    </row>
    <row r="28" spans="1:13" x14ac:dyDescent="0.3">
      <c r="A28" s="32" t="str">
        <f t="shared" si="0"/>
        <v/>
      </c>
      <c r="B28" s="48"/>
      <c r="C28" s="48"/>
      <c r="D28" s="48"/>
      <c r="E28" s="48"/>
      <c r="F28" s="48"/>
      <c r="G28" s="48"/>
      <c r="H28" s="48"/>
      <c r="I28" s="48"/>
      <c r="J28" s="48"/>
      <c r="K28" s="48"/>
      <c r="L28" s="48"/>
      <c r="M28" s="48"/>
    </row>
    <row r="29" spans="1:13" x14ac:dyDescent="0.3">
      <c r="A29" s="32" t="str">
        <f t="shared" si="0"/>
        <v>Mở thầu</v>
      </c>
      <c r="B29" s="48" t="s">
        <v>303</v>
      </c>
      <c r="C29" s="48"/>
      <c r="D29" s="48"/>
      <c r="E29" s="48"/>
      <c r="F29" s="48"/>
      <c r="G29" s="48"/>
      <c r="H29" s="48"/>
      <c r="I29" s="48"/>
      <c r="J29" s="48"/>
      <c r="K29" s="48"/>
      <c r="L29" s="48"/>
      <c r="M29" s="48"/>
    </row>
    <row r="30" spans="1:13" x14ac:dyDescent="0.3">
      <c r="A30" s="32" t="str">
        <f t="shared" si="0"/>
        <v>Thời điểm mở thầu</v>
      </c>
      <c r="B30" s="48" t="s">
        <v>304</v>
      </c>
      <c r="C30" s="48"/>
      <c r="D30" s="60">
        <v>43957.631944444445</v>
      </c>
      <c r="E30" s="48"/>
      <c r="F30" s="48"/>
      <c r="G30" s="48"/>
      <c r="H30" s="48"/>
      <c r="I30" s="48"/>
      <c r="J30" s="48"/>
      <c r="K30" s="48"/>
      <c r="L30" s="48"/>
      <c r="M30" s="48"/>
    </row>
    <row r="31" spans="1:13" x14ac:dyDescent="0.3">
      <c r="A31" s="32" t="str">
        <f t="shared" si="0"/>
        <v>Địa điểm mở thầu</v>
      </c>
      <c r="B31" s="48" t="s">
        <v>305</v>
      </c>
      <c r="C31" s="48"/>
      <c r="D31" s="48" t="s">
        <v>222</v>
      </c>
      <c r="E31" s="48"/>
      <c r="F31" s="48"/>
      <c r="G31" s="48"/>
      <c r="H31" s="48"/>
      <c r="I31" s="48"/>
      <c r="J31" s="48"/>
      <c r="K31" s="48"/>
      <c r="L31" s="48"/>
      <c r="M31" s="48"/>
    </row>
    <row r="32" spans="1:13" x14ac:dyDescent="0.3">
      <c r="A32" s="32" t="str">
        <f t="shared" si="0"/>
        <v>Giá gói thầu</v>
      </c>
      <c r="B32" s="48" t="s">
        <v>306</v>
      </c>
      <c r="C32" s="48"/>
      <c r="D32" s="48" t="s">
        <v>613</v>
      </c>
      <c r="E32" s="48"/>
      <c r="F32" s="48"/>
      <c r="G32" s="48"/>
      <c r="H32" s="48"/>
      <c r="I32" s="48"/>
      <c r="J32" s="48"/>
      <c r="K32" s="48"/>
      <c r="L32" s="48"/>
      <c r="M32" s="48"/>
    </row>
    <row r="33" spans="1:5" ht="28.8" x14ac:dyDescent="0.3">
      <c r="A33" s="32" t="str">
        <f t="shared" si="0"/>
        <v>Số tiền bằng chữ</v>
      </c>
      <c r="B33" s="1" t="s">
        <v>307</v>
      </c>
      <c r="C33" s="1"/>
      <c r="D33" s="1" t="s">
        <v>614</v>
      </c>
      <c r="E33" s="1"/>
    </row>
    <row r="34" spans="1:5" x14ac:dyDescent="0.3">
      <c r="A34" s="32" t="str">
        <f t="shared" si="0"/>
        <v/>
      </c>
      <c r="B34" s="1"/>
      <c r="C34" s="1"/>
      <c r="D34" s="1"/>
      <c r="E34" s="1"/>
    </row>
    <row r="35" spans="1:5" x14ac:dyDescent="0.3">
      <c r="A35" s="32" t="str">
        <f t="shared" si="0"/>
        <v>Bảo đảm dự thầu</v>
      </c>
      <c r="B35" s="1" t="s">
        <v>558</v>
      </c>
      <c r="C35" s="1"/>
      <c r="D35" s="1"/>
      <c r="E35" s="1"/>
    </row>
    <row r="36" spans="1:5" x14ac:dyDescent="0.3">
      <c r="A36" s="32" t="str">
        <f t="shared" si="0"/>
        <v>Hình thức đảm bảo</v>
      </c>
      <c r="B36" s="1" t="s">
        <v>559</v>
      </c>
      <c r="C36" s="1"/>
      <c r="D36" s="1" t="s">
        <v>224</v>
      </c>
      <c r="E36" s="1"/>
    </row>
    <row r="37" spans="1:5" x14ac:dyDescent="0.3">
      <c r="A37" s="32" t="str">
        <f t="shared" si="0"/>
        <v>Số tiền đảm bảo</v>
      </c>
      <c r="B37" s="1" t="s">
        <v>308</v>
      </c>
      <c r="C37" s="1"/>
      <c r="D37" s="1" t="s">
        <v>615</v>
      </c>
      <c r="E37" s="1"/>
    </row>
    <row r="38" spans="1:5" x14ac:dyDescent="0.3">
      <c r="A38" s="32" t="str">
        <f t="shared" si="0"/>
        <v>Số tiền bằng chữ</v>
      </c>
      <c r="B38" s="1" t="s">
        <v>307</v>
      </c>
      <c r="C38" s="1"/>
      <c r="D38" s="1" t="s">
        <v>616</v>
      </c>
      <c r="E38" s="1"/>
    </row>
    <row r="39" spans="1:5" x14ac:dyDescent="0.3">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
  <sheetViews>
    <sheetView topLeftCell="C1" workbookViewId="0">
      <pane ySplit="1" topLeftCell="A14" activePane="bottomLeft" state="frozen"/>
      <selection activeCell="D1" sqref="D1"/>
      <selection pane="bottomLeft" activeCell="E18" sqref="E18"/>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8"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643</v>
      </c>
      <c r="L1" s="15" t="s">
        <v>163</v>
      </c>
      <c r="M1" s="15" t="s">
        <v>203</v>
      </c>
      <c r="N1" s="78" t="s">
        <v>204</v>
      </c>
      <c r="O1" s="15" t="s">
        <v>260</v>
      </c>
      <c r="P1" s="15" t="s">
        <v>262</v>
      </c>
      <c r="Q1" s="15" t="s">
        <v>261</v>
      </c>
      <c r="R1" s="15" t="s">
        <v>263</v>
      </c>
      <c r="T1" s="78"/>
    </row>
    <row r="2" spans="1:20" ht="43.2" x14ac:dyDescent="0.3">
      <c r="A2" s="21" t="str">
        <f t="shared" ref="A2:A3" si="0">VLOOKUP("Số TBMT",tbmt,4,0)</f>
        <v>20200441452-00</v>
      </c>
      <c r="B2" s="19" t="str">
        <f t="shared" ref="B2:B3" si="1">IFERROR(VLOOKUP("Tên dự án",tbmt,4,0),VLOOKUP("Tên gói thầu",tbmt,4,0))</f>
        <v>Nâng cấp đường dây trung hạ thế, cấy trạm biến áp khu vực xã Xuân Hiệp, Xuân Thọ, Lang Minh, Suối Cát, Bảo Hòa huyện Xuân Lộc năm 2019.</v>
      </c>
      <c r="C2" s="19" t="str">
        <f t="shared" ref="C2:C3" si="2">VLOOKUP("Chủ đầu tư",tbmt,4,0)</f>
        <v>Điện lực Xuân Lộc - Công ty TNHH một thành viên Điện lực Đồng Nai</v>
      </c>
      <c r="D2" s="19" t="str">
        <f t="shared" ref="D2:D3" si="3">VLOOKUP("Bên mời thầu",tbmt,4,0)</f>
        <v>Điện lực Xuân Lộc - Công ty TNHH một thành viên Điện lực Đồng Nai</v>
      </c>
      <c r="E2" s="19"/>
      <c r="F2" s="19" t="str">
        <f t="shared" ref="F2:F3" si="4">VLOOKUP("Số tiền đảm bảo",tbmt,4,0)</f>
        <v>26.500.000 VND</v>
      </c>
      <c r="G2" s="19"/>
      <c r="H2" s="61">
        <f t="shared" ref="H2:H3" si="5">VLOOKUP("Thời gian nhận HSDT từ ngày",tbmt,10,0)</f>
        <v>43957.631944444445</v>
      </c>
      <c r="I2" s="16"/>
      <c r="J2" s="19">
        <f>VLOOKUP("Thời gian thực hiện hợp đồng",tbmt,4,0)</f>
        <v>236</v>
      </c>
      <c r="K2" s="16"/>
      <c r="L2" s="49">
        <f t="shared" ref="L2:L17" si="6">DATEVALUE(LEFT(TEXT(VLOOKUP("Số TBMT",tbmt,10,0),"dd/MM/yyyy"),10))+5</f>
        <v>43943</v>
      </c>
      <c r="M2" s="50" t="str">
        <f>" ngày "&amp;TEXT(L2,"dd")&amp;" tháng "&amp;TEXT(L2,"MM")&amp;" năm "&amp;TEXT(L2,"yyyy")</f>
        <v xml:space="preserve"> ngày 22 tháng 04 năm 2020</v>
      </c>
      <c r="N2" s="49" t="str">
        <f>TEXT(L2+365,"dd/MM/yyyy")</f>
        <v>22/04/2021</v>
      </c>
    </row>
    <row r="3" spans="1:20" ht="43.2" x14ac:dyDescent="0.3">
      <c r="A3" s="21" t="str">
        <f t="shared" si="0"/>
        <v>20200441452-00</v>
      </c>
      <c r="B3" s="19" t="str">
        <f t="shared" si="1"/>
        <v>Nâng cấp đường dây trung hạ thế, cấy trạm biến áp khu vực xã Xuân Hiệp, Xuân Thọ, Lang Minh, Suối Cát, Bảo Hòa huyện Xuân Lộc năm 2019.</v>
      </c>
      <c r="C3" s="19" t="str">
        <f t="shared" si="2"/>
        <v>Điện lực Xuân Lộc - Công ty TNHH một thành viên Điện lực Đồng Nai</v>
      </c>
      <c r="D3" s="19" t="str">
        <f t="shared" si="3"/>
        <v>Điện lực Xuân Lộc - Công ty TNHH một thành viên Điện lực Đồng Nai</v>
      </c>
      <c r="E3" s="19"/>
      <c r="F3" s="19" t="str">
        <f t="shared" si="4"/>
        <v>26.500.000 VND</v>
      </c>
      <c r="G3" s="19"/>
      <c r="H3" s="61">
        <f t="shared" si="5"/>
        <v>43957.631944444445</v>
      </c>
      <c r="I3" s="16"/>
      <c r="J3" s="19">
        <f>VLOOKUP("Thời gian thực hiện hợp đồng",tbmt,4,0)</f>
        <v>236</v>
      </c>
      <c r="K3" s="16"/>
      <c r="L3" s="49">
        <f t="shared" si="6"/>
        <v>43943</v>
      </c>
      <c r="M3" s="50" t="str">
        <f>" ngày "&amp;TEXT(L3,"dd")&amp;" tháng "&amp;TEXT(L3,"MM")&amp;" năm "&amp;TEXT(L3,"yyyy")</f>
        <v xml:space="preserve"> ngày 22 tháng 04 năm 2020</v>
      </c>
      <c r="N3" s="49" t="str">
        <f>TEXT(L3+365,"dd/MM/yyyy")</f>
        <v>22/04/2021</v>
      </c>
    </row>
    <row r="4" spans="1:20" ht="43.2" x14ac:dyDescent="0.3">
      <c r="A4" s="22">
        <v>20191257175</v>
      </c>
      <c r="B4" s="16" t="s">
        <v>7</v>
      </c>
      <c r="C4" s="16" t="s">
        <v>15</v>
      </c>
      <c r="D4" s="16" t="s">
        <v>8</v>
      </c>
      <c r="E4" s="16" t="s">
        <v>14</v>
      </c>
      <c r="F4" s="16" t="s">
        <v>12</v>
      </c>
      <c r="G4" s="16" t="s">
        <v>11</v>
      </c>
      <c r="H4" s="18" t="s">
        <v>10</v>
      </c>
      <c r="I4" s="16" t="s">
        <v>16</v>
      </c>
      <c r="J4" s="16" t="str">
        <f>E4</f>
        <v>120 ngày</v>
      </c>
      <c r="K4" s="15" t="s">
        <v>17</v>
      </c>
      <c r="L4" s="57">
        <f>DATEVALUE(LEFT(H4,10))-2</f>
        <v>43835</v>
      </c>
      <c r="M4" s="17" t="str">
        <f>" ngày "&amp;TEXT(L4,"dd")&amp;" tháng "&amp;TEXT(L4,"MM")&amp;" năm "&amp;TEXT(L4,"yyyy")</f>
        <v xml:space="preserve"> ngày 05 tháng 01 năm 2020</v>
      </c>
      <c r="N4" s="79" t="s">
        <v>485</v>
      </c>
    </row>
    <row r="5" spans="1:20" s="17" customFormat="1" ht="43.2" x14ac:dyDescent="0.3">
      <c r="A5" s="22" t="s">
        <v>97</v>
      </c>
      <c r="B5" s="18" t="s">
        <v>18</v>
      </c>
      <c r="C5" s="18" t="s">
        <v>15</v>
      </c>
      <c r="D5" s="16" t="s">
        <v>8</v>
      </c>
      <c r="E5" s="18" t="s">
        <v>9</v>
      </c>
      <c r="F5" s="18" t="s">
        <v>19</v>
      </c>
      <c r="G5" s="18" t="s">
        <v>11</v>
      </c>
      <c r="H5" s="18" t="s">
        <v>10</v>
      </c>
      <c r="I5" s="18" t="s">
        <v>206</v>
      </c>
      <c r="J5" s="16" t="str">
        <f t="shared" ref="J5:J6" si="7">E5</f>
        <v>120 Ngày</v>
      </c>
      <c r="K5" s="18"/>
      <c r="L5" s="57">
        <f t="shared" ref="L5:L6" si="8">DATEVALUE(LEFT(H5,10))-2</f>
        <v>43835</v>
      </c>
      <c r="M5" s="17" t="str">
        <f t="shared" ref="M5:M6" si="9">" ngày "&amp;TEXT(L5,"dd")&amp;" tháng "&amp;TEXT(L5,"MM")&amp;" năm "&amp;TEXT(L5,"yyyy")</f>
        <v xml:space="preserve"> ngày 05 tháng 01 năm 2020</v>
      </c>
      <c r="N5" s="79">
        <f t="shared" ref="N5:N6" si="10">L5+366</f>
        <v>44201</v>
      </c>
    </row>
    <row r="6" spans="1:20" s="17" customFormat="1" ht="43.2" x14ac:dyDescent="0.3">
      <c r="A6" s="22" t="s">
        <v>102</v>
      </c>
      <c r="B6" s="18" t="s">
        <v>98</v>
      </c>
      <c r="C6" s="18" t="s">
        <v>15</v>
      </c>
      <c r="D6" s="16" t="s">
        <v>8</v>
      </c>
      <c r="E6" s="18" t="s">
        <v>99</v>
      </c>
      <c r="F6" s="18" t="s">
        <v>101</v>
      </c>
      <c r="G6" s="18" t="s">
        <v>11</v>
      </c>
      <c r="H6" s="18" t="s">
        <v>100</v>
      </c>
      <c r="I6" s="18"/>
      <c r="J6" s="16" t="str">
        <f t="shared" si="7"/>
        <v>90 Ngày</v>
      </c>
      <c r="K6" s="18"/>
      <c r="L6" s="57">
        <f t="shared" si="8"/>
        <v>43835</v>
      </c>
      <c r="M6" s="17" t="str">
        <f t="shared" si="9"/>
        <v xml:space="preserve"> ngày 05 tháng 01 năm 2020</v>
      </c>
      <c r="N6" s="79">
        <f t="shared" si="10"/>
        <v>44201</v>
      </c>
    </row>
    <row r="7" spans="1:20" s="17" customFormat="1" ht="43.2" x14ac:dyDescent="0.3">
      <c r="A7" s="22" t="s">
        <v>225</v>
      </c>
      <c r="B7" s="18" t="s">
        <v>216</v>
      </c>
      <c r="C7" s="18" t="s">
        <v>15</v>
      </c>
      <c r="D7" s="16" t="s">
        <v>8</v>
      </c>
      <c r="E7" s="18" t="s">
        <v>9</v>
      </c>
      <c r="F7" s="18" t="s">
        <v>223</v>
      </c>
      <c r="G7" s="18" t="s">
        <v>11</v>
      </c>
      <c r="H7" s="18" t="s">
        <v>220</v>
      </c>
      <c r="I7" s="18"/>
      <c r="J7" s="18"/>
      <c r="K7" s="18"/>
      <c r="L7" s="57">
        <v>43843</v>
      </c>
      <c r="M7" s="17" t="s">
        <v>226</v>
      </c>
      <c r="N7" s="79"/>
      <c r="O7" s="17" t="s">
        <v>146</v>
      </c>
      <c r="P7" s="17" t="str">
        <f>TEXT(VLOOKUP(O7,NhanSu!F:M,8,0),"dd/MM/yyyy")</f>
        <v>31/01/1975</v>
      </c>
      <c r="Q7" s="17" t="s">
        <v>148</v>
      </c>
      <c r="R7" s="17" t="str">
        <f>TEXT(VLOOKUP(Q7,NhanSu!F:M,8,0),"dd/MM/yyyy")</f>
        <v>16/04/1981</v>
      </c>
    </row>
    <row r="8" spans="1:20" s="17" customFormat="1" ht="86.4" x14ac:dyDescent="0.3">
      <c r="A8" s="22" t="s">
        <v>243</v>
      </c>
      <c r="B8" s="18" t="s">
        <v>248</v>
      </c>
      <c r="C8" s="18" t="s">
        <v>245</v>
      </c>
      <c r="D8" s="18" t="s">
        <v>239</v>
      </c>
      <c r="E8" s="18" t="s">
        <v>9</v>
      </c>
      <c r="F8" s="18" t="s">
        <v>242</v>
      </c>
      <c r="G8" s="18" t="s">
        <v>241</v>
      </c>
      <c r="H8" s="18" t="s">
        <v>240</v>
      </c>
      <c r="I8" s="18">
        <v>1</v>
      </c>
      <c r="J8" s="18" t="s">
        <v>246</v>
      </c>
      <c r="K8" s="18" t="s">
        <v>247</v>
      </c>
      <c r="L8" s="57">
        <v>43869</v>
      </c>
      <c r="M8" s="17" t="s">
        <v>244</v>
      </c>
      <c r="N8" s="79"/>
    </row>
    <row r="9" spans="1:20" s="17" customFormat="1" ht="43.2" x14ac:dyDescent="0.3">
      <c r="A9" s="22" t="s">
        <v>253</v>
      </c>
      <c r="B9" s="18" t="s">
        <v>249</v>
      </c>
      <c r="C9" s="18" t="s">
        <v>15</v>
      </c>
      <c r="D9" s="16" t="s">
        <v>8</v>
      </c>
      <c r="E9" s="18" t="s">
        <v>250</v>
      </c>
      <c r="F9" s="18" t="s">
        <v>252</v>
      </c>
      <c r="G9" s="18" t="s">
        <v>11</v>
      </c>
      <c r="H9" s="18" t="s">
        <v>251</v>
      </c>
      <c r="I9" s="18"/>
      <c r="J9" s="18"/>
      <c r="K9" s="18"/>
      <c r="L9" s="57">
        <v>43877</v>
      </c>
      <c r="M9" s="17" t="s">
        <v>254</v>
      </c>
      <c r="N9" s="79">
        <v>44242</v>
      </c>
      <c r="O9" s="17" t="s">
        <v>146</v>
      </c>
      <c r="P9" s="17" t="str">
        <f>TEXT(VLOOKUP(O9,NhanSu!F:M,8,0),"dd/MM/yyyy")</f>
        <v>31/01/1975</v>
      </c>
      <c r="Q9" s="17" t="s">
        <v>148</v>
      </c>
      <c r="R9" s="17" t="str">
        <f>TEXT(VLOOKUP(Q9,NhanSu!F:M,8,0),"dd/MM/yyyy")</f>
        <v>16/04/1981</v>
      </c>
    </row>
    <row r="10" spans="1:20" s="17" customFormat="1" ht="43.2" x14ac:dyDescent="0.3">
      <c r="A10" s="22" t="s">
        <v>264</v>
      </c>
      <c r="B10" s="18" t="s">
        <v>259</v>
      </c>
      <c r="C10" s="18" t="s">
        <v>245</v>
      </c>
      <c r="D10" s="18" t="s">
        <v>258</v>
      </c>
      <c r="E10" s="18" t="s">
        <v>255</v>
      </c>
      <c r="F10" s="18" t="s">
        <v>252</v>
      </c>
      <c r="G10" s="18" t="s">
        <v>257</v>
      </c>
      <c r="H10" s="18" t="s">
        <v>256</v>
      </c>
      <c r="I10" s="18"/>
      <c r="J10" s="18"/>
      <c r="K10" s="18"/>
      <c r="L10" s="57">
        <v>43908.345138888886</v>
      </c>
      <c r="M10" s="17" t="s">
        <v>265</v>
      </c>
      <c r="N10" s="79">
        <v>44273.345138888886</v>
      </c>
    </row>
    <row r="11" spans="1:20" s="17" customFormat="1" ht="43.2" x14ac:dyDescent="0.3">
      <c r="A11" s="22" t="s">
        <v>275</v>
      </c>
      <c r="B11" s="18" t="s">
        <v>269</v>
      </c>
      <c r="C11" s="18" t="s">
        <v>274</v>
      </c>
      <c r="D11" s="18" t="s">
        <v>273</v>
      </c>
      <c r="E11" s="82" t="s">
        <v>270</v>
      </c>
      <c r="F11" s="18" t="s">
        <v>272</v>
      </c>
      <c r="G11" s="18" t="s">
        <v>241</v>
      </c>
      <c r="H11" s="18" t="s">
        <v>271</v>
      </c>
      <c r="I11" s="18"/>
      <c r="J11" s="18"/>
      <c r="K11" s="18"/>
      <c r="L11" s="57">
        <v>43914.342361111114</v>
      </c>
      <c r="M11" s="17" t="s">
        <v>276</v>
      </c>
      <c r="N11" s="79">
        <v>44279.342361111114</v>
      </c>
    </row>
    <row r="12" spans="1:20" s="17" customFormat="1" ht="43.2" x14ac:dyDescent="0.3">
      <c r="A12" s="22" t="s">
        <v>309</v>
      </c>
      <c r="B12" s="18" t="s">
        <v>288</v>
      </c>
      <c r="C12" s="18" t="s">
        <v>274</v>
      </c>
      <c r="D12" s="18" t="s">
        <v>273</v>
      </c>
      <c r="E12" s="18">
        <v>150</v>
      </c>
      <c r="F12" s="18">
        <v>0</v>
      </c>
      <c r="G12" s="18" t="e">
        <v>#N/A</v>
      </c>
      <c r="H12" s="77">
        <v>43917.375</v>
      </c>
      <c r="I12" s="18"/>
      <c r="J12" s="18"/>
      <c r="K12" s="18"/>
      <c r="L12" s="57">
        <v>43912</v>
      </c>
      <c r="M12" s="17" t="s">
        <v>310</v>
      </c>
      <c r="N12" s="80">
        <f>L12+365</f>
        <v>44277</v>
      </c>
    </row>
    <row r="13" spans="1:20" s="17" customFormat="1" ht="57.6" x14ac:dyDescent="0.3">
      <c r="A13" s="22" t="s">
        <v>452</v>
      </c>
      <c r="B13" s="18" t="s">
        <v>454</v>
      </c>
      <c r="C13" s="18" t="s">
        <v>274</v>
      </c>
      <c r="D13" s="18" t="s">
        <v>453</v>
      </c>
      <c r="E13" s="18">
        <v>150</v>
      </c>
      <c r="F13" s="18">
        <v>0</v>
      </c>
      <c r="G13" s="18" t="e">
        <v>#N/A</v>
      </c>
      <c r="H13" s="77">
        <v>43920.4375</v>
      </c>
      <c r="I13" s="18"/>
      <c r="J13" s="18"/>
      <c r="K13" s="18"/>
      <c r="L13" s="57">
        <v>43909.34375</v>
      </c>
      <c r="M13" s="17" t="s">
        <v>481</v>
      </c>
      <c r="N13" s="81">
        <v>44274.34375</v>
      </c>
    </row>
    <row r="14" spans="1:20" s="17" customFormat="1" ht="43.2" x14ac:dyDescent="0.3">
      <c r="A14" s="22" t="s">
        <v>482</v>
      </c>
      <c r="B14" s="18" t="s">
        <v>483</v>
      </c>
      <c r="C14" s="18" t="s">
        <v>274</v>
      </c>
      <c r="D14" s="18" t="s">
        <v>273</v>
      </c>
      <c r="E14" s="18">
        <v>150</v>
      </c>
      <c r="F14" s="18">
        <v>0</v>
      </c>
      <c r="G14" s="18" t="e">
        <v>#N/A</v>
      </c>
      <c r="H14" s="77">
        <v>43920.583333333336</v>
      </c>
      <c r="I14" s="18"/>
      <c r="J14" s="18"/>
      <c r="K14" s="18"/>
      <c r="L14" s="57">
        <v>43914.334027777775</v>
      </c>
      <c r="M14" s="17" t="s">
        <v>276</v>
      </c>
      <c r="N14" s="81">
        <v>44279.334027777775</v>
      </c>
    </row>
    <row r="15" spans="1:20" s="17" customFormat="1" ht="28.8" x14ac:dyDescent="0.3">
      <c r="A15" s="22" t="s">
        <v>487</v>
      </c>
      <c r="B15" s="18" t="s">
        <v>488</v>
      </c>
      <c r="C15" s="18" t="s">
        <v>274</v>
      </c>
      <c r="D15" s="18" t="s">
        <v>453</v>
      </c>
      <c r="E15" s="18">
        <v>12</v>
      </c>
      <c r="F15" s="18" t="s">
        <v>484</v>
      </c>
      <c r="G15" s="18" t="e">
        <v>#N/A</v>
      </c>
      <c r="H15" s="77">
        <v>43921.583333333336</v>
      </c>
      <c r="I15" s="18"/>
      <c r="J15" s="18"/>
      <c r="K15" s="18"/>
      <c r="L15" s="57">
        <v>43914.601388888892</v>
      </c>
      <c r="M15" s="17" t="s">
        <v>276</v>
      </c>
      <c r="N15" s="83" t="s">
        <v>489</v>
      </c>
    </row>
    <row r="16" spans="1:20" s="17" customFormat="1" ht="43.2" x14ac:dyDescent="0.3">
      <c r="A16" s="22" t="s">
        <v>490</v>
      </c>
      <c r="B16" s="18" t="s">
        <v>492</v>
      </c>
      <c r="C16" s="18" t="s">
        <v>491</v>
      </c>
      <c r="D16" s="18" t="s">
        <v>258</v>
      </c>
      <c r="E16" s="18">
        <v>260</v>
      </c>
      <c r="F16" s="18">
        <v>0</v>
      </c>
      <c r="G16" s="18" t="e">
        <v>#N/A</v>
      </c>
      <c r="H16" s="77">
        <v>43935.583333333336</v>
      </c>
      <c r="I16" s="18"/>
      <c r="J16" s="18"/>
      <c r="K16" s="18"/>
      <c r="L16" s="57">
        <v>43926</v>
      </c>
      <c r="M16" s="17" t="s">
        <v>499</v>
      </c>
      <c r="N16" s="57">
        <v>44291</v>
      </c>
    </row>
    <row r="17" spans="1:14" s="17" customFormat="1" ht="28.8" x14ac:dyDescent="0.3">
      <c r="A17" s="22" t="s">
        <v>500</v>
      </c>
      <c r="B17" s="18" t="s">
        <v>501</v>
      </c>
      <c r="C17" s="18" t="s">
        <v>273</v>
      </c>
      <c r="D17" s="18" t="s">
        <v>273</v>
      </c>
      <c r="E17" s="18">
        <v>12</v>
      </c>
      <c r="F17" s="18">
        <v>0</v>
      </c>
      <c r="G17" s="18" t="e">
        <v>#N/A</v>
      </c>
      <c r="H17" s="77">
        <v>43934.375</v>
      </c>
      <c r="I17" s="18"/>
      <c r="J17" s="18"/>
      <c r="K17" s="18"/>
      <c r="L17" s="49">
        <f t="shared" si="6"/>
        <v>43943</v>
      </c>
      <c r="M17" s="17" t="s">
        <v>502</v>
      </c>
      <c r="N17" s="49" t="str">
        <f>TEXT(L17+365,"dd/MM/yyyy")</f>
        <v>22/04/2021</v>
      </c>
    </row>
    <row r="18" spans="1:14" s="17" customFormat="1" ht="43.2" x14ac:dyDescent="0.3">
      <c r="A18" s="22" t="s">
        <v>551</v>
      </c>
      <c r="B18" s="18" t="s">
        <v>555</v>
      </c>
      <c r="C18" s="18" t="s">
        <v>561</v>
      </c>
      <c r="D18" s="18" t="s">
        <v>552</v>
      </c>
      <c r="E18" s="18">
        <v>100</v>
      </c>
      <c r="F18" s="18" t="s">
        <v>560</v>
      </c>
      <c r="G18" s="18" t="s">
        <v>14</v>
      </c>
      <c r="H18" s="77">
        <v>43956.604166666664</v>
      </c>
      <c r="I18" s="18">
        <v>12</v>
      </c>
      <c r="J18" s="18">
        <v>236</v>
      </c>
      <c r="K18" s="18">
        <v>12</v>
      </c>
      <c r="L18" s="57">
        <v>43948</v>
      </c>
      <c r="M18" s="17" t="s">
        <v>562</v>
      </c>
      <c r="N18" s="57" t="s">
        <v>563</v>
      </c>
    </row>
    <row r="19" spans="1:14" s="17" customFormat="1" ht="43.2" x14ac:dyDescent="0.3">
      <c r="A19" s="22" t="s">
        <v>609</v>
      </c>
      <c r="B19" s="18" t="s">
        <v>612</v>
      </c>
      <c r="C19" s="18" t="s">
        <v>258</v>
      </c>
      <c r="D19" s="18" t="s">
        <v>258</v>
      </c>
      <c r="E19" s="18">
        <v>100</v>
      </c>
      <c r="F19" s="18" t="s">
        <v>615</v>
      </c>
      <c r="G19" s="18" t="s">
        <v>14</v>
      </c>
      <c r="H19" s="77">
        <v>43957.631944444445</v>
      </c>
      <c r="I19" s="18">
        <v>15</v>
      </c>
      <c r="J19" s="18">
        <v>236</v>
      </c>
      <c r="K19" s="18">
        <v>12</v>
      </c>
      <c r="L19" s="57">
        <v>43943</v>
      </c>
      <c r="M19" s="17" t="s">
        <v>617</v>
      </c>
      <c r="N19" s="57" t="s">
        <v>618</v>
      </c>
    </row>
  </sheetData>
  <conditionalFormatting sqref="A20:A1048576 A4:A10 A1">
    <cfRule type="duplicateValues" dxfId="17" priority="8"/>
  </conditionalFormatting>
  <conditionalFormatting sqref="A11">
    <cfRule type="duplicateValues" dxfId="16" priority="7"/>
  </conditionalFormatting>
  <conditionalFormatting sqref="A12">
    <cfRule type="duplicateValues" dxfId="15" priority="6"/>
  </conditionalFormatting>
  <conditionalFormatting sqref="A1:XFD1">
    <cfRule type="duplicateValues" dxfId="14" priority="2"/>
    <cfRule type="duplicateValues" dxfId="13" priority="3"/>
  </conditionalFormatting>
  <conditionalFormatting sqref="A13:A19 A3">
    <cfRule type="duplicateValues" dxfId="12" priority="11"/>
  </conditionalFormatting>
  <conditionalFormatting sqref="A2">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E34" sqref="E3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9">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8"/>
  <sheetViews>
    <sheetView topLeftCell="A13" workbookViewId="0">
      <selection activeCell="J34" sqref="J34"/>
    </sheetView>
  </sheetViews>
  <sheetFormatPr defaultColWidth="8.88671875" defaultRowHeight="15.6" x14ac:dyDescent="0.3"/>
  <cols>
    <col min="1" max="3" width="8.88671875" style="122"/>
    <col min="4" max="4" width="26" style="123" customWidth="1"/>
    <col min="5" max="5" width="8.88671875" style="122"/>
    <col min="6" max="6" width="27" style="122" customWidth="1"/>
    <col min="7" max="7" width="7.109375" style="122" hidden="1" customWidth="1"/>
    <col min="8" max="8" width="31.109375" style="122" customWidth="1"/>
    <col min="9" max="16384" width="8.88671875" style="122"/>
  </cols>
  <sheetData>
    <row r="1" spans="1:10" s="120" customFormat="1" ht="27" customHeight="1" x14ac:dyDescent="0.3">
      <c r="A1" s="120" t="s">
        <v>127</v>
      </c>
      <c r="B1" s="120" t="s">
        <v>127</v>
      </c>
      <c r="C1" s="120" t="s">
        <v>127</v>
      </c>
      <c r="D1" s="121" t="s">
        <v>438</v>
      </c>
      <c r="E1" s="120" t="s">
        <v>153</v>
      </c>
      <c r="F1" s="120" t="s">
        <v>435</v>
      </c>
      <c r="G1" s="120" t="s">
        <v>436</v>
      </c>
      <c r="H1" s="120" t="s">
        <v>437</v>
      </c>
    </row>
    <row r="2" spans="1:10" x14ac:dyDescent="0.3">
      <c r="D2" s="123" t="s">
        <v>458</v>
      </c>
      <c r="F2" s="122" t="s">
        <v>74</v>
      </c>
      <c r="H2" s="129" t="s">
        <v>268</v>
      </c>
    </row>
    <row r="3" spans="1:10" x14ac:dyDescent="0.3">
      <c r="D3" s="123" t="s">
        <v>458</v>
      </c>
      <c r="F3" s="122" t="s">
        <v>440</v>
      </c>
      <c r="H3" s="129" t="s">
        <v>444</v>
      </c>
    </row>
    <row r="4" spans="1:10" x14ac:dyDescent="0.3">
      <c r="D4" s="123" t="s">
        <v>458</v>
      </c>
      <c r="F4" s="122" t="s">
        <v>442</v>
      </c>
      <c r="H4" s="129" t="s">
        <v>443</v>
      </c>
      <c r="J4" s="124"/>
    </row>
    <row r="5" spans="1:10" ht="16.2" thickBot="1" x14ac:dyDescent="0.35">
      <c r="D5" s="123" t="s">
        <v>457</v>
      </c>
      <c r="E5" s="125"/>
      <c r="F5" s="126" t="s">
        <v>445</v>
      </c>
      <c r="H5" s="126" t="s">
        <v>439</v>
      </c>
    </row>
    <row r="6" spans="1:10" ht="16.2" thickBot="1" x14ac:dyDescent="0.35">
      <c r="D6" s="123" t="s">
        <v>457</v>
      </c>
      <c r="E6" s="125"/>
      <c r="F6" s="126" t="s">
        <v>446</v>
      </c>
      <c r="H6" s="126" t="s">
        <v>441</v>
      </c>
    </row>
    <row r="7" spans="1:10" ht="16.2" thickBot="1" x14ac:dyDescent="0.35">
      <c r="D7" s="123" t="s">
        <v>457</v>
      </c>
      <c r="E7" s="125"/>
      <c r="F7" s="126" t="s">
        <v>447</v>
      </c>
      <c r="H7" s="127" t="s">
        <v>448</v>
      </c>
    </row>
    <row r="8" spans="1:10" x14ac:dyDescent="0.3">
      <c r="D8" s="123" t="s">
        <v>337</v>
      </c>
      <c r="F8" s="122" t="s">
        <v>74</v>
      </c>
      <c r="H8" s="122" t="s">
        <v>84</v>
      </c>
    </row>
    <row r="9" spans="1:10" x14ac:dyDescent="0.3">
      <c r="D9" s="123" t="s">
        <v>337</v>
      </c>
      <c r="F9" s="122" t="s">
        <v>440</v>
      </c>
      <c r="H9" s="122" t="s">
        <v>455</v>
      </c>
    </row>
    <row r="10" spans="1:10" x14ac:dyDescent="0.3">
      <c r="D10" s="123" t="s">
        <v>337</v>
      </c>
      <c r="F10" s="122" t="s">
        <v>442</v>
      </c>
      <c r="H10" s="122" t="s">
        <v>456</v>
      </c>
    </row>
    <row r="11" spans="1:10" ht="16.2" thickBot="1" x14ac:dyDescent="0.35">
      <c r="D11" s="128" t="s">
        <v>461</v>
      </c>
      <c r="F11" s="126" t="s">
        <v>445</v>
      </c>
      <c r="H11" s="122" t="s">
        <v>459</v>
      </c>
    </row>
    <row r="12" spans="1:10" ht="16.2" thickBot="1" x14ac:dyDescent="0.35">
      <c r="D12" s="128" t="s">
        <v>461</v>
      </c>
      <c r="F12" s="126" t="s">
        <v>446</v>
      </c>
      <c r="H12" s="122" t="s">
        <v>441</v>
      </c>
    </row>
    <row r="13" spans="1:10" ht="16.2" thickBot="1" x14ac:dyDescent="0.35">
      <c r="D13" s="128" t="s">
        <v>461</v>
      </c>
      <c r="F13" s="126" t="s">
        <v>447</v>
      </c>
      <c r="H13" s="122" t="s">
        <v>460</v>
      </c>
    </row>
    <row r="14" spans="1:10" x14ac:dyDescent="0.3">
      <c r="D14" s="123" t="s">
        <v>462</v>
      </c>
      <c r="F14" s="122" t="s">
        <v>445</v>
      </c>
      <c r="H14" s="129" t="s">
        <v>439</v>
      </c>
    </row>
    <row r="15" spans="1:10" x14ac:dyDescent="0.3">
      <c r="D15" s="123" t="s">
        <v>462</v>
      </c>
      <c r="F15" s="122" t="s">
        <v>446</v>
      </c>
      <c r="H15" s="129" t="s">
        <v>463</v>
      </c>
    </row>
    <row r="16" spans="1:10" x14ac:dyDescent="0.3">
      <c r="D16" s="123" t="s">
        <v>462</v>
      </c>
      <c r="F16" s="122" t="s">
        <v>447</v>
      </c>
      <c r="H16" s="130" t="s">
        <v>448</v>
      </c>
    </row>
    <row r="17" spans="4:8" x14ac:dyDescent="0.3">
      <c r="D17" s="123" t="s">
        <v>464</v>
      </c>
      <c r="F17" s="122" t="s">
        <v>445</v>
      </c>
      <c r="H17" s="129" t="s">
        <v>439</v>
      </c>
    </row>
    <row r="18" spans="4:8" x14ac:dyDescent="0.3">
      <c r="D18" s="123" t="s">
        <v>464</v>
      </c>
      <c r="F18" s="122" t="s">
        <v>446</v>
      </c>
      <c r="H18" s="129" t="s">
        <v>463</v>
      </c>
    </row>
    <row r="19" spans="4:8" x14ac:dyDescent="0.3">
      <c r="D19" s="123" t="s">
        <v>464</v>
      </c>
      <c r="F19" s="122" t="s">
        <v>447</v>
      </c>
      <c r="H19" s="130" t="s">
        <v>448</v>
      </c>
    </row>
    <row r="20" spans="4:8" x14ac:dyDescent="0.3">
      <c r="D20" s="123" t="s">
        <v>465</v>
      </c>
      <c r="F20" s="122" t="s">
        <v>445</v>
      </c>
      <c r="H20" s="129" t="s">
        <v>439</v>
      </c>
    </row>
    <row r="21" spans="4:8" x14ac:dyDescent="0.3">
      <c r="D21" s="123" t="s">
        <v>465</v>
      </c>
      <c r="F21" s="122" t="s">
        <v>446</v>
      </c>
      <c r="H21" s="129" t="s">
        <v>463</v>
      </c>
    </row>
    <row r="22" spans="4:8" x14ac:dyDescent="0.3">
      <c r="D22" s="123" t="s">
        <v>465</v>
      </c>
      <c r="F22" s="122" t="s">
        <v>447</v>
      </c>
      <c r="H22" s="130" t="s">
        <v>448</v>
      </c>
    </row>
    <row r="23" spans="4:8" x14ac:dyDescent="0.3">
      <c r="D23" s="123" t="s">
        <v>466</v>
      </c>
      <c r="F23" s="122" t="s">
        <v>470</v>
      </c>
      <c r="H23" s="122" t="s">
        <v>471</v>
      </c>
    </row>
    <row r="24" spans="4:8" x14ac:dyDescent="0.3">
      <c r="D24" s="123" t="s">
        <v>469</v>
      </c>
      <c r="F24" s="122" t="s">
        <v>445</v>
      </c>
      <c r="H24" s="122" t="s">
        <v>467</v>
      </c>
    </row>
    <row r="25" spans="4:8" x14ac:dyDescent="0.3">
      <c r="D25" s="123" t="s">
        <v>469</v>
      </c>
      <c r="F25" s="122" t="s">
        <v>446</v>
      </c>
      <c r="H25" s="122" t="s">
        <v>441</v>
      </c>
    </row>
    <row r="26" spans="4:8" x14ac:dyDescent="0.3">
      <c r="D26" s="123" t="s">
        <v>469</v>
      </c>
      <c r="F26" s="122" t="s">
        <v>447</v>
      </c>
      <c r="H26" s="122" t="s">
        <v>468</v>
      </c>
    </row>
    <row r="27" spans="4:8" x14ac:dyDescent="0.3">
      <c r="D27" s="123" t="s">
        <v>477</v>
      </c>
      <c r="F27" s="122" t="s">
        <v>445</v>
      </c>
      <c r="H27" s="129" t="s">
        <v>439</v>
      </c>
    </row>
    <row r="28" spans="4:8" x14ac:dyDescent="0.3">
      <c r="D28" s="123" t="s">
        <v>477</v>
      </c>
      <c r="F28" s="122" t="s">
        <v>446</v>
      </c>
      <c r="H28" s="129" t="s">
        <v>463</v>
      </c>
    </row>
    <row r="29" spans="4:8" x14ac:dyDescent="0.3">
      <c r="D29" s="123" t="s">
        <v>477</v>
      </c>
      <c r="F29" s="122" t="s">
        <v>447</v>
      </c>
      <c r="H29" s="130" t="s">
        <v>448</v>
      </c>
    </row>
    <row r="30" spans="4:8" x14ac:dyDescent="0.3">
      <c r="D30" s="131" t="s">
        <v>478</v>
      </c>
      <c r="F30" s="122" t="s">
        <v>445</v>
      </c>
      <c r="H30" s="129" t="s">
        <v>439</v>
      </c>
    </row>
    <row r="31" spans="4:8" x14ac:dyDescent="0.3">
      <c r="D31" s="131" t="s">
        <v>478</v>
      </c>
      <c r="F31" s="122" t="s">
        <v>446</v>
      </c>
      <c r="H31" s="129" t="s">
        <v>463</v>
      </c>
    </row>
    <row r="32" spans="4:8" x14ac:dyDescent="0.3">
      <c r="D32" s="131" t="s">
        <v>478</v>
      </c>
      <c r="F32" s="122" t="s">
        <v>447</v>
      </c>
      <c r="H32" s="130" t="s">
        <v>448</v>
      </c>
    </row>
    <row r="33" spans="4:8" x14ac:dyDescent="0.3">
      <c r="D33" s="123" t="s">
        <v>267</v>
      </c>
      <c r="F33" s="122" t="s">
        <v>445</v>
      </c>
      <c r="H33" s="122" t="s">
        <v>479</v>
      </c>
    </row>
    <row r="34" spans="4:8" x14ac:dyDescent="0.3">
      <c r="D34" s="123" t="s">
        <v>267</v>
      </c>
      <c r="F34" s="122" t="s">
        <v>446</v>
      </c>
      <c r="H34" s="122" t="s">
        <v>441</v>
      </c>
    </row>
    <row r="35" spans="4:8" x14ac:dyDescent="0.3">
      <c r="D35" s="123" t="s">
        <v>267</v>
      </c>
      <c r="F35" s="122" t="s">
        <v>442</v>
      </c>
      <c r="H35" s="122" t="s">
        <v>480</v>
      </c>
    </row>
    <row r="36" spans="4:8" x14ac:dyDescent="0.3">
      <c r="D36" s="123" t="s">
        <v>569</v>
      </c>
      <c r="F36" s="122" t="s">
        <v>74</v>
      </c>
      <c r="H36" s="122" t="s">
        <v>69</v>
      </c>
    </row>
    <row r="37" spans="4:8" x14ac:dyDescent="0.3">
      <c r="D37" s="123" t="s">
        <v>569</v>
      </c>
      <c r="F37" s="122" t="s">
        <v>440</v>
      </c>
      <c r="H37" s="122" t="s">
        <v>570</v>
      </c>
    </row>
    <row r="38" spans="4:8" x14ac:dyDescent="0.3">
      <c r="D38" s="123" t="s">
        <v>569</v>
      </c>
      <c r="F38" s="122" t="s">
        <v>442</v>
      </c>
      <c r="H38" s="122" t="s">
        <v>569</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38"/>
  <sheetViews>
    <sheetView workbookViewId="0">
      <selection activeCell="F17" sqref="F17"/>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3" customFormat="1" ht="31.95" customHeight="1" x14ac:dyDescent="0.3">
      <c r="C1" s="54" t="s">
        <v>169</v>
      </c>
      <c r="D1" s="54" t="s">
        <v>170</v>
      </c>
      <c r="E1" s="55" t="s">
        <v>171</v>
      </c>
      <c r="F1" s="55" t="s">
        <v>21</v>
      </c>
      <c r="G1" s="53" t="s">
        <v>181</v>
      </c>
      <c r="H1" s="53" t="s">
        <v>182</v>
      </c>
      <c r="I1" s="53" t="s">
        <v>183</v>
      </c>
    </row>
    <row r="2" spans="3:11" ht="24" customHeight="1" x14ac:dyDescent="0.3">
      <c r="C2" s="45">
        <f>SUM($G$1:G2)</f>
        <v>1</v>
      </c>
      <c r="D2" s="56" t="s">
        <v>231</v>
      </c>
      <c r="E2" s="47" t="s">
        <v>179</v>
      </c>
      <c r="F2" s="47" t="s">
        <v>179</v>
      </c>
      <c r="G2" s="20">
        <v>1</v>
      </c>
      <c r="H2" s="20">
        <v>1</v>
      </c>
      <c r="I2" s="20">
        <v>1</v>
      </c>
    </row>
    <row r="3" spans="3:11" ht="24" customHeight="1" x14ac:dyDescent="0.3">
      <c r="C3" s="45">
        <f>SUM($G$1:G3)</f>
        <v>2</v>
      </c>
      <c r="D3" s="56" t="s">
        <v>232</v>
      </c>
      <c r="E3" s="47" t="s">
        <v>179</v>
      </c>
      <c r="F3" s="47" t="s">
        <v>179</v>
      </c>
      <c r="G3" s="20">
        <v>1</v>
      </c>
      <c r="H3" s="20">
        <v>1</v>
      </c>
      <c r="I3" s="20">
        <v>1</v>
      </c>
    </row>
    <row r="4" spans="3:11" ht="24" customHeight="1" x14ac:dyDescent="0.3">
      <c r="C4" s="45">
        <f>SUM($G$1:G4)</f>
        <v>3</v>
      </c>
      <c r="D4" s="56"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8" t="s">
        <v>268</v>
      </c>
      <c r="F14" s="58"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8" t="s">
        <v>268</v>
      </c>
      <c r="F17" s="58"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6"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6000000}"/>
  <conditionalFormatting sqref="D11:D1048576 D1:D2 D7 D9">
    <cfRule type="duplicateValues" dxfId="11" priority="7"/>
  </conditionalFormatting>
  <conditionalFormatting sqref="D10">
    <cfRule type="duplicateValues" dxfId="10" priority="6"/>
  </conditionalFormatting>
  <conditionalFormatting sqref="D3">
    <cfRule type="duplicateValues" dxfId="9" priority="5"/>
  </conditionalFormatting>
  <conditionalFormatting sqref="D4">
    <cfRule type="duplicateValues" dxfId="8" priority="4"/>
  </conditionalFormatting>
  <conditionalFormatting sqref="D5">
    <cfRule type="duplicateValues" dxfId="7" priority="3"/>
  </conditionalFormatting>
  <conditionalFormatting sqref="D6">
    <cfRule type="duplicateValues" dxfId="6" priority="2"/>
  </conditionalFormatting>
  <conditionalFormatting sqref="D8">
    <cfRule type="duplicateValues" dxfId="5"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2"/>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8" customFormat="1" ht="43.2" x14ac:dyDescent="0.3">
      <c r="A1" s="88" t="s">
        <v>127</v>
      </c>
      <c r="B1" s="91" t="s">
        <v>516</v>
      </c>
      <c r="C1" s="88" t="s">
        <v>515</v>
      </c>
      <c r="D1" s="88" t="s">
        <v>503</v>
      </c>
      <c r="E1" s="89" t="s">
        <v>508</v>
      </c>
      <c r="F1" s="90" t="s">
        <v>509</v>
      </c>
      <c r="G1" s="90" t="s">
        <v>510</v>
      </c>
      <c r="H1" s="90" t="s">
        <v>511</v>
      </c>
      <c r="I1" s="90" t="s">
        <v>512</v>
      </c>
      <c r="J1" s="90" t="s">
        <v>513</v>
      </c>
      <c r="K1" s="90" t="s">
        <v>127</v>
      </c>
      <c r="L1" s="90" t="s">
        <v>127</v>
      </c>
      <c r="M1" s="90" t="s">
        <v>127</v>
      </c>
    </row>
    <row r="2" spans="1:13" hidden="1" x14ac:dyDescent="0.3">
      <c r="D2" t="s">
        <v>108</v>
      </c>
      <c r="E2" s="40" t="s">
        <v>384</v>
      </c>
      <c r="F2" t="s">
        <v>109</v>
      </c>
      <c r="G2" s="80">
        <v>28956</v>
      </c>
      <c r="J2">
        <f t="shared" ref="J2:J30" ca="1" si="0">YEAR(TODAY())-C2</f>
        <v>2020</v>
      </c>
    </row>
    <row r="3" spans="1:13" hidden="1" x14ac:dyDescent="0.3">
      <c r="D3" t="s">
        <v>383</v>
      </c>
      <c r="E3" s="40" t="s">
        <v>144</v>
      </c>
      <c r="F3" t="s">
        <v>109</v>
      </c>
      <c r="G3" s="80" t="s">
        <v>145</v>
      </c>
      <c r="J3">
        <f t="shared" ca="1" si="0"/>
        <v>2020</v>
      </c>
    </row>
    <row r="4" spans="1:13" x14ac:dyDescent="0.3">
      <c r="A4" t="s">
        <v>127</v>
      </c>
      <c r="B4" s="93" t="s">
        <v>517</v>
      </c>
      <c r="C4">
        <v>2016</v>
      </c>
      <c r="D4" t="s">
        <v>318</v>
      </c>
      <c r="E4" s="40">
        <v>272396568</v>
      </c>
      <c r="F4" t="s">
        <v>109</v>
      </c>
      <c r="G4" s="80">
        <v>34970</v>
      </c>
      <c r="J4">
        <f t="shared" ca="1" si="0"/>
        <v>4</v>
      </c>
    </row>
    <row r="5" spans="1:13" hidden="1" x14ac:dyDescent="0.3">
      <c r="D5" t="s">
        <v>317</v>
      </c>
      <c r="E5" s="40">
        <v>271294536</v>
      </c>
      <c r="F5" t="s">
        <v>109</v>
      </c>
      <c r="G5" s="80">
        <v>29587</v>
      </c>
      <c r="J5">
        <f t="shared" ca="1" si="0"/>
        <v>2020</v>
      </c>
    </row>
    <row r="6" spans="1:13" x14ac:dyDescent="0.3">
      <c r="A6" t="s">
        <v>127</v>
      </c>
      <c r="B6" s="93" t="s">
        <v>517</v>
      </c>
      <c r="C6">
        <v>2019</v>
      </c>
      <c r="D6" t="s">
        <v>124</v>
      </c>
      <c r="E6" s="40">
        <v>271586657</v>
      </c>
      <c r="F6" t="s">
        <v>109</v>
      </c>
      <c r="G6" s="80">
        <v>29221</v>
      </c>
      <c r="J6">
        <f t="shared" ca="1" si="0"/>
        <v>1</v>
      </c>
    </row>
    <row r="7" spans="1:13" x14ac:dyDescent="0.3">
      <c r="A7" t="s">
        <v>127</v>
      </c>
      <c r="B7" s="92" t="s">
        <v>522</v>
      </c>
      <c r="C7">
        <v>2019</v>
      </c>
      <c r="D7" t="s">
        <v>316</v>
      </c>
      <c r="E7" s="40">
        <v>271449542</v>
      </c>
      <c r="F7" t="s">
        <v>109</v>
      </c>
      <c r="G7" s="80">
        <v>30027</v>
      </c>
      <c r="J7">
        <f t="shared" ca="1" si="0"/>
        <v>1</v>
      </c>
    </row>
    <row r="8" spans="1:13" hidden="1" x14ac:dyDescent="0.3">
      <c r="D8" t="s">
        <v>314</v>
      </c>
      <c r="E8" s="40">
        <v>271380486</v>
      </c>
      <c r="F8" t="s">
        <v>109</v>
      </c>
      <c r="G8" s="80">
        <v>30730</v>
      </c>
      <c r="J8">
        <f t="shared" ca="1" si="0"/>
        <v>2020</v>
      </c>
    </row>
    <row r="9" spans="1:13" hidden="1" x14ac:dyDescent="0.3">
      <c r="D9" t="s">
        <v>504</v>
      </c>
      <c r="F9" t="s">
        <v>109</v>
      </c>
      <c r="G9" s="80"/>
      <c r="J9">
        <f t="shared" ca="1" si="0"/>
        <v>2020</v>
      </c>
    </row>
    <row r="10" spans="1:13" hidden="1" x14ac:dyDescent="0.3">
      <c r="D10" t="s">
        <v>322</v>
      </c>
      <c r="F10" t="s">
        <v>518</v>
      </c>
      <c r="G10" s="80"/>
      <c r="J10">
        <f t="shared" ca="1" si="0"/>
        <v>2020</v>
      </c>
    </row>
    <row r="11" spans="1:13" hidden="1" x14ac:dyDescent="0.3">
      <c r="D11" t="s">
        <v>116</v>
      </c>
      <c r="E11" s="40" t="s">
        <v>135</v>
      </c>
      <c r="F11" t="s">
        <v>109</v>
      </c>
      <c r="G11" s="80" t="s">
        <v>143</v>
      </c>
      <c r="J11">
        <f t="shared" ca="1" si="0"/>
        <v>2020</v>
      </c>
    </row>
    <row r="12" spans="1:13" hidden="1" x14ac:dyDescent="0.3">
      <c r="D12" t="s">
        <v>115</v>
      </c>
      <c r="E12" s="40" t="s">
        <v>134</v>
      </c>
      <c r="F12" t="s">
        <v>109</v>
      </c>
      <c r="G12" s="80" t="s">
        <v>142</v>
      </c>
      <c r="J12">
        <f t="shared" ca="1" si="0"/>
        <v>2020</v>
      </c>
    </row>
    <row r="13" spans="1:13" hidden="1" x14ac:dyDescent="0.3">
      <c r="D13" t="s">
        <v>114</v>
      </c>
      <c r="E13" s="40" t="s">
        <v>133</v>
      </c>
      <c r="F13" t="s">
        <v>109</v>
      </c>
      <c r="G13" s="80" t="s">
        <v>141</v>
      </c>
      <c r="J13">
        <f t="shared" ca="1" si="0"/>
        <v>2020</v>
      </c>
    </row>
    <row r="14" spans="1:13" hidden="1" x14ac:dyDescent="0.3">
      <c r="D14" t="s">
        <v>113</v>
      </c>
      <c r="E14" s="40" t="s">
        <v>132</v>
      </c>
      <c r="F14" t="s">
        <v>109</v>
      </c>
      <c r="G14" s="80" t="s">
        <v>140</v>
      </c>
      <c r="J14">
        <f t="shared" ca="1" si="0"/>
        <v>2020</v>
      </c>
    </row>
    <row r="15" spans="1:13" hidden="1" x14ac:dyDescent="0.3">
      <c r="D15" t="s">
        <v>112</v>
      </c>
      <c r="E15" s="40">
        <v>271235673</v>
      </c>
      <c r="F15" t="s">
        <v>109</v>
      </c>
      <c r="G15" s="80">
        <v>26845</v>
      </c>
      <c r="J15">
        <f t="shared" ca="1" si="0"/>
        <v>2020</v>
      </c>
    </row>
    <row r="16" spans="1:13" hidden="1" x14ac:dyDescent="0.3">
      <c r="D16" t="s">
        <v>111</v>
      </c>
      <c r="E16" s="40" t="s">
        <v>131</v>
      </c>
      <c r="F16" t="s">
        <v>109</v>
      </c>
      <c r="G16" s="80" t="s">
        <v>139</v>
      </c>
      <c r="J16">
        <f t="shared" ca="1" si="0"/>
        <v>2020</v>
      </c>
    </row>
    <row r="17" spans="1:10" hidden="1" x14ac:dyDescent="0.3">
      <c r="D17" t="s">
        <v>110</v>
      </c>
      <c r="E17" s="40" t="s">
        <v>130</v>
      </c>
      <c r="F17" t="s">
        <v>109</v>
      </c>
      <c r="G17" s="80" t="s">
        <v>138</v>
      </c>
      <c r="J17">
        <f t="shared" ca="1" si="0"/>
        <v>2020</v>
      </c>
    </row>
    <row r="18" spans="1:10" hidden="1" x14ac:dyDescent="0.3">
      <c r="D18" t="s">
        <v>108</v>
      </c>
      <c r="E18" s="40" t="s">
        <v>384</v>
      </c>
      <c r="F18" t="s">
        <v>109</v>
      </c>
      <c r="G18" s="80">
        <v>28956</v>
      </c>
      <c r="J18">
        <f t="shared" ca="1" si="0"/>
        <v>2020</v>
      </c>
    </row>
    <row r="19" spans="1:10" hidden="1" x14ac:dyDescent="0.3">
      <c r="D19" t="s">
        <v>495</v>
      </c>
      <c r="F19" t="s">
        <v>109</v>
      </c>
      <c r="G19" s="80">
        <v>0</v>
      </c>
      <c r="J19">
        <f t="shared" ca="1" si="0"/>
        <v>2020</v>
      </c>
    </row>
    <row r="20" spans="1:10" hidden="1" x14ac:dyDescent="0.3">
      <c r="D20" t="s">
        <v>497</v>
      </c>
      <c r="F20" t="s">
        <v>109</v>
      </c>
      <c r="G20" s="80">
        <v>0</v>
      </c>
      <c r="J20">
        <f t="shared" ca="1" si="0"/>
        <v>2020</v>
      </c>
    </row>
    <row r="21" spans="1:10" hidden="1" x14ac:dyDescent="0.3">
      <c r="D21" t="s">
        <v>498</v>
      </c>
      <c r="F21" t="s">
        <v>109</v>
      </c>
      <c r="G21" s="80">
        <v>0</v>
      </c>
      <c r="J21">
        <f t="shared" ca="1" si="0"/>
        <v>2020</v>
      </c>
    </row>
    <row r="22" spans="1:10" hidden="1" x14ac:dyDescent="0.3">
      <c r="D22" t="s">
        <v>136</v>
      </c>
      <c r="E22" s="40">
        <v>271285313</v>
      </c>
      <c r="F22" t="s">
        <v>109</v>
      </c>
      <c r="G22" s="80">
        <v>28333</v>
      </c>
      <c r="J22">
        <f t="shared" ca="1" si="0"/>
        <v>2020</v>
      </c>
    </row>
    <row r="23" spans="1:10" hidden="1" x14ac:dyDescent="0.3">
      <c r="D23" t="s">
        <v>505</v>
      </c>
      <c r="F23" t="s">
        <v>109</v>
      </c>
      <c r="G23" s="80">
        <v>0</v>
      </c>
      <c r="J23">
        <f t="shared" ca="1" si="0"/>
        <v>2020</v>
      </c>
    </row>
    <row r="24" spans="1:10" hidden="1" x14ac:dyDescent="0.3">
      <c r="D24" t="s">
        <v>129</v>
      </c>
      <c r="E24" s="40">
        <v>271298968</v>
      </c>
      <c r="F24" t="s">
        <v>109</v>
      </c>
      <c r="G24" s="80">
        <v>28235</v>
      </c>
      <c r="J24">
        <f t="shared" ca="1" si="0"/>
        <v>2020</v>
      </c>
    </row>
    <row r="25" spans="1:10" hidden="1" x14ac:dyDescent="0.3">
      <c r="D25" t="s">
        <v>506</v>
      </c>
      <c r="F25" t="s">
        <v>109</v>
      </c>
      <c r="G25" s="80"/>
      <c r="J25">
        <f t="shared" ca="1" si="0"/>
        <v>2020</v>
      </c>
    </row>
    <row r="26" spans="1:10" hidden="1" x14ac:dyDescent="0.3">
      <c r="D26" t="s">
        <v>493</v>
      </c>
      <c r="F26" t="s">
        <v>109</v>
      </c>
      <c r="G26" s="80">
        <v>0</v>
      </c>
      <c r="J26">
        <f t="shared" ca="1" si="0"/>
        <v>2020</v>
      </c>
    </row>
    <row r="27" spans="1:10" hidden="1" x14ac:dyDescent="0.3">
      <c r="D27" t="s">
        <v>152</v>
      </c>
      <c r="F27" t="s">
        <v>109</v>
      </c>
      <c r="G27" s="80">
        <v>0</v>
      </c>
      <c r="J27">
        <f t="shared" ca="1" si="0"/>
        <v>2020</v>
      </c>
    </row>
    <row r="28" spans="1:10" hidden="1" x14ac:dyDescent="0.3">
      <c r="D28" t="s">
        <v>494</v>
      </c>
      <c r="F28" t="s">
        <v>109</v>
      </c>
      <c r="G28" s="80">
        <v>0</v>
      </c>
      <c r="J28">
        <f t="shared" ca="1" si="0"/>
        <v>2020</v>
      </c>
    </row>
    <row r="29" spans="1:10" hidden="1" x14ac:dyDescent="0.3">
      <c r="D29" t="s">
        <v>148</v>
      </c>
      <c r="F29" t="s">
        <v>507</v>
      </c>
      <c r="G29" s="80">
        <v>29692</v>
      </c>
      <c r="J29">
        <f t="shared" ca="1" si="0"/>
        <v>2020</v>
      </c>
    </row>
    <row r="30" spans="1:10" hidden="1" x14ac:dyDescent="0.3">
      <c r="D30" t="s">
        <v>146</v>
      </c>
      <c r="E30" s="40">
        <v>271871229</v>
      </c>
      <c r="F30" t="s">
        <v>149</v>
      </c>
      <c r="G30" s="80">
        <v>27425</v>
      </c>
      <c r="J30">
        <f t="shared" ca="1" si="0"/>
        <v>2020</v>
      </c>
    </row>
    <row r="31" spans="1:10" x14ac:dyDescent="0.3">
      <c r="A31" t="s">
        <v>127</v>
      </c>
      <c r="B31" s="93" t="s">
        <v>517</v>
      </c>
      <c r="C31">
        <v>2019</v>
      </c>
      <c r="D31" t="s">
        <v>118</v>
      </c>
      <c r="E31" s="40">
        <v>271728653</v>
      </c>
      <c r="F31" t="s">
        <v>109</v>
      </c>
      <c r="G31" s="80">
        <v>31088</v>
      </c>
      <c r="H31" t="s">
        <v>109</v>
      </c>
      <c r="I31" t="s">
        <v>527</v>
      </c>
      <c r="J31">
        <f t="shared" ref="J31:J47" ca="1" si="1">YEAR(TODAY())-C31</f>
        <v>1</v>
      </c>
    </row>
    <row r="32" spans="1:10" x14ac:dyDescent="0.3">
      <c r="A32" t="s">
        <v>127</v>
      </c>
      <c r="B32" s="93" t="s">
        <v>517</v>
      </c>
      <c r="C32">
        <v>2019</v>
      </c>
      <c r="D32" t="s">
        <v>514</v>
      </c>
      <c r="E32" s="40">
        <v>272556764</v>
      </c>
      <c r="F32" t="s">
        <v>109</v>
      </c>
      <c r="G32" s="80">
        <v>34976</v>
      </c>
      <c r="H32" t="s">
        <v>109</v>
      </c>
      <c r="I32" t="s">
        <v>527</v>
      </c>
      <c r="J32">
        <f t="shared" ca="1" si="1"/>
        <v>1</v>
      </c>
    </row>
    <row r="33" spans="1:10" x14ac:dyDescent="0.3">
      <c r="A33" t="s">
        <v>127</v>
      </c>
      <c r="B33" s="93" t="s">
        <v>517</v>
      </c>
      <c r="C33">
        <v>2019</v>
      </c>
      <c r="D33" t="s">
        <v>519</v>
      </c>
      <c r="E33" s="40">
        <v>272352958</v>
      </c>
      <c r="F33" t="s">
        <v>109</v>
      </c>
      <c r="G33" s="80">
        <v>34281</v>
      </c>
      <c r="H33" t="s">
        <v>109</v>
      </c>
      <c r="I33" t="s">
        <v>527</v>
      </c>
      <c r="J33">
        <f t="shared" ca="1" si="1"/>
        <v>1</v>
      </c>
    </row>
    <row r="34" spans="1:10" x14ac:dyDescent="0.3">
      <c r="A34" t="s">
        <v>127</v>
      </c>
      <c r="B34" s="93" t="s">
        <v>517</v>
      </c>
      <c r="C34">
        <v>2019</v>
      </c>
      <c r="D34" t="s">
        <v>520</v>
      </c>
      <c r="E34" s="40">
        <v>272556713</v>
      </c>
      <c r="F34" t="s">
        <v>109</v>
      </c>
      <c r="G34" s="80">
        <v>35884</v>
      </c>
      <c r="H34" t="s">
        <v>109</v>
      </c>
      <c r="I34" t="s">
        <v>527</v>
      </c>
      <c r="J34">
        <f t="shared" ca="1" si="1"/>
        <v>1</v>
      </c>
    </row>
    <row r="35" spans="1:10" x14ac:dyDescent="0.3">
      <c r="A35" t="s">
        <v>127</v>
      </c>
      <c r="B35" s="93" t="s">
        <v>522</v>
      </c>
      <c r="C35">
        <v>2019</v>
      </c>
      <c r="D35" t="s">
        <v>521</v>
      </c>
      <c r="E35" s="40">
        <v>271315765</v>
      </c>
      <c r="F35" t="s">
        <v>109</v>
      </c>
      <c r="G35" s="80">
        <v>29205</v>
      </c>
      <c r="H35" t="s">
        <v>109</v>
      </c>
      <c r="I35" t="s">
        <v>527</v>
      </c>
      <c r="J35">
        <f t="shared" ca="1" si="1"/>
        <v>1</v>
      </c>
    </row>
    <row r="36" spans="1:10" x14ac:dyDescent="0.3">
      <c r="A36" t="s">
        <v>127</v>
      </c>
      <c r="B36" s="92" t="s">
        <v>517</v>
      </c>
      <c r="C36">
        <v>2019</v>
      </c>
      <c r="D36" t="s">
        <v>524</v>
      </c>
      <c r="E36" s="40">
        <v>272732396</v>
      </c>
      <c r="F36" t="s">
        <v>109</v>
      </c>
      <c r="G36" s="80">
        <v>36804</v>
      </c>
      <c r="H36" t="s">
        <v>109</v>
      </c>
      <c r="I36" t="s">
        <v>527</v>
      </c>
      <c r="J36">
        <f t="shared" ca="1" si="1"/>
        <v>1</v>
      </c>
    </row>
    <row r="37" spans="1:10" x14ac:dyDescent="0.3">
      <c r="A37" t="s">
        <v>127</v>
      </c>
      <c r="B37" s="92" t="s">
        <v>523</v>
      </c>
      <c r="C37">
        <v>2019</v>
      </c>
      <c r="D37" t="s">
        <v>525</v>
      </c>
      <c r="E37" s="40">
        <v>75200000515</v>
      </c>
      <c r="F37" t="s">
        <v>109</v>
      </c>
      <c r="G37" s="80">
        <v>36767</v>
      </c>
      <c r="H37" t="s">
        <v>109</v>
      </c>
      <c r="I37" t="s">
        <v>527</v>
      </c>
      <c r="J37">
        <f t="shared" ca="1" si="1"/>
        <v>1</v>
      </c>
    </row>
    <row r="38" spans="1:10" x14ac:dyDescent="0.3">
      <c r="A38" t="s">
        <v>127</v>
      </c>
      <c r="B38" s="92" t="s">
        <v>517</v>
      </c>
      <c r="C38">
        <v>2019</v>
      </c>
      <c r="D38" t="s">
        <v>536</v>
      </c>
      <c r="E38" s="40">
        <v>272653927</v>
      </c>
      <c r="F38" t="s">
        <v>109</v>
      </c>
      <c r="G38" s="80">
        <v>35555</v>
      </c>
      <c r="H38" t="s">
        <v>109</v>
      </c>
      <c r="I38" t="s">
        <v>527</v>
      </c>
      <c r="J38">
        <f t="shared" ca="1" si="1"/>
        <v>1</v>
      </c>
    </row>
    <row r="39" spans="1:10" x14ac:dyDescent="0.3">
      <c r="A39" t="s">
        <v>127</v>
      </c>
      <c r="B39" s="92" t="s">
        <v>517</v>
      </c>
      <c r="C39">
        <v>2019</v>
      </c>
      <c r="D39" t="s">
        <v>526</v>
      </c>
      <c r="E39" s="40">
        <v>272696072</v>
      </c>
      <c r="F39" t="s">
        <v>109</v>
      </c>
      <c r="G39" s="80">
        <v>36242</v>
      </c>
      <c r="H39" t="s">
        <v>109</v>
      </c>
      <c r="I39" t="s">
        <v>527</v>
      </c>
      <c r="J39">
        <f t="shared" ca="1" si="1"/>
        <v>1</v>
      </c>
    </row>
    <row r="40" spans="1:10" x14ac:dyDescent="0.3">
      <c r="A40" t="s">
        <v>127</v>
      </c>
      <c r="B40" s="92" t="s">
        <v>517</v>
      </c>
      <c r="C40">
        <v>2019</v>
      </c>
      <c r="D40" t="s">
        <v>528</v>
      </c>
      <c r="E40" s="40">
        <v>272397442</v>
      </c>
      <c r="F40" t="s">
        <v>109</v>
      </c>
      <c r="G40" s="80">
        <v>34041</v>
      </c>
      <c r="H40" t="s">
        <v>109</v>
      </c>
      <c r="I40" t="s">
        <v>527</v>
      </c>
      <c r="J40">
        <f t="shared" ca="1" si="1"/>
        <v>1</v>
      </c>
    </row>
    <row r="41" spans="1:10" x14ac:dyDescent="0.3">
      <c r="A41" t="s">
        <v>127</v>
      </c>
      <c r="B41" s="92" t="s">
        <v>517</v>
      </c>
      <c r="C41">
        <v>2019</v>
      </c>
      <c r="D41" t="s">
        <v>529</v>
      </c>
      <c r="E41" s="40">
        <v>272423855</v>
      </c>
      <c r="F41" t="s">
        <v>109</v>
      </c>
      <c r="G41" s="80">
        <v>34974</v>
      </c>
      <c r="H41" t="s">
        <v>109</v>
      </c>
      <c r="I41" t="s">
        <v>527</v>
      </c>
      <c r="J41">
        <f t="shared" ca="1" si="1"/>
        <v>1</v>
      </c>
    </row>
    <row r="42" spans="1:10" x14ac:dyDescent="0.3">
      <c r="A42" t="s">
        <v>127</v>
      </c>
      <c r="B42" s="92" t="s">
        <v>517</v>
      </c>
      <c r="C42">
        <v>2019</v>
      </c>
      <c r="D42" t="s">
        <v>530</v>
      </c>
      <c r="E42" s="40">
        <v>272556665</v>
      </c>
      <c r="F42" t="s">
        <v>109</v>
      </c>
      <c r="G42" s="80">
        <v>35580</v>
      </c>
      <c r="H42" t="s">
        <v>109</v>
      </c>
      <c r="I42" t="s">
        <v>527</v>
      </c>
      <c r="J42">
        <f t="shared" ca="1" si="1"/>
        <v>1</v>
      </c>
    </row>
    <row r="43" spans="1:10" x14ac:dyDescent="0.3">
      <c r="A43" t="s">
        <v>127</v>
      </c>
      <c r="B43" s="92" t="s">
        <v>517</v>
      </c>
      <c r="C43">
        <v>2019</v>
      </c>
      <c r="D43" t="s">
        <v>531</v>
      </c>
      <c r="E43" s="40">
        <v>271285473</v>
      </c>
      <c r="F43" t="s">
        <v>109</v>
      </c>
      <c r="G43" s="80">
        <v>27567</v>
      </c>
      <c r="H43" t="s">
        <v>109</v>
      </c>
      <c r="I43" t="s">
        <v>527</v>
      </c>
      <c r="J43">
        <f t="shared" ca="1" si="1"/>
        <v>1</v>
      </c>
    </row>
    <row r="44" spans="1:10" x14ac:dyDescent="0.3">
      <c r="A44" t="s">
        <v>127</v>
      </c>
      <c r="B44" s="92" t="s">
        <v>522</v>
      </c>
      <c r="C44">
        <v>2019</v>
      </c>
      <c r="D44" t="s">
        <v>532</v>
      </c>
      <c r="E44" s="40">
        <v>212143221</v>
      </c>
      <c r="F44" t="s">
        <v>109</v>
      </c>
      <c r="G44" s="80">
        <v>29696</v>
      </c>
      <c r="H44" t="s">
        <v>109</v>
      </c>
      <c r="I44" t="s">
        <v>527</v>
      </c>
      <c r="J44">
        <f t="shared" ca="1" si="1"/>
        <v>1</v>
      </c>
    </row>
    <row r="45" spans="1:10" x14ac:dyDescent="0.3">
      <c r="A45" t="s">
        <v>127</v>
      </c>
      <c r="B45" s="92" t="s">
        <v>517</v>
      </c>
      <c r="C45">
        <v>2019</v>
      </c>
      <c r="D45" t="s">
        <v>533</v>
      </c>
      <c r="E45" s="40">
        <v>271688082</v>
      </c>
      <c r="F45" t="s">
        <v>109</v>
      </c>
      <c r="G45" s="80">
        <v>31416</v>
      </c>
      <c r="H45" t="s">
        <v>109</v>
      </c>
      <c r="I45" t="s">
        <v>527</v>
      </c>
      <c r="J45">
        <f t="shared" ca="1" si="1"/>
        <v>1</v>
      </c>
    </row>
    <row r="46" spans="1:10" x14ac:dyDescent="0.3">
      <c r="A46" t="s">
        <v>127</v>
      </c>
      <c r="B46" s="92" t="s">
        <v>517</v>
      </c>
      <c r="C46">
        <v>2019</v>
      </c>
      <c r="D46" t="s">
        <v>534</v>
      </c>
      <c r="E46" s="40">
        <v>272960603</v>
      </c>
      <c r="F46" t="s">
        <v>109</v>
      </c>
      <c r="G46" s="80">
        <v>37008</v>
      </c>
      <c r="H46" t="s">
        <v>109</v>
      </c>
      <c r="I46" t="s">
        <v>527</v>
      </c>
      <c r="J46">
        <f t="shared" ca="1" si="1"/>
        <v>1</v>
      </c>
    </row>
    <row r="47" spans="1:10" x14ac:dyDescent="0.3">
      <c r="A47" t="s">
        <v>127</v>
      </c>
      <c r="B47" s="92" t="s">
        <v>517</v>
      </c>
      <c r="C47">
        <v>2019</v>
      </c>
      <c r="D47" t="s">
        <v>535</v>
      </c>
      <c r="E47" s="40">
        <v>272282903</v>
      </c>
      <c r="F47" t="s">
        <v>109</v>
      </c>
      <c r="G47" s="80">
        <v>33816</v>
      </c>
      <c r="H47" t="s">
        <v>109</v>
      </c>
      <c r="I47" t="s">
        <v>527</v>
      </c>
      <c r="J47">
        <f t="shared" ca="1" si="1"/>
        <v>1</v>
      </c>
    </row>
  </sheetData>
  <autoFilter ref="A1:M47" xr:uid="{00000000-0009-0000-0000-00000A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Q8"/>
  <sheetViews>
    <sheetView topLeftCell="B1" workbookViewId="0">
      <selection activeCell="C1" sqref="C1:E8"/>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SUM(G2:G10)</f>
        <v>120</v>
      </c>
      <c r="H1" s="29">
        <f>SUM(H2:H10)</f>
        <v>100</v>
      </c>
      <c r="I1" s="29">
        <f>SUM(I2:I10)</f>
        <v>90</v>
      </c>
      <c r="J1" s="29">
        <f>SUM(J2:J10)</f>
        <v>60</v>
      </c>
      <c r="M1" s="41">
        <f>VLOOKUP("x",$K:$Q,COLUMN()-COLUMN($K$1)+1,0)</f>
        <v>20</v>
      </c>
      <c r="N1" s="41">
        <f t="shared" ref="N1:Q1" si="0">VLOOKUP("x",$K:$Q,COLUMN()-COLUMN($K$1)+1,0)</f>
        <v>40</v>
      </c>
      <c r="O1" s="41">
        <f t="shared" si="0"/>
        <v>60</v>
      </c>
      <c r="P1" s="41">
        <f t="shared" si="0"/>
        <v>75</v>
      </c>
      <c r="Q1" s="41">
        <f t="shared" si="0"/>
        <v>90</v>
      </c>
    </row>
    <row r="2" spans="3:17" ht="30" customHeight="1" thickBot="1" x14ac:dyDescent="0.35">
      <c r="C2" s="111">
        <v>1</v>
      </c>
      <c r="D2" s="30" t="s">
        <v>156</v>
      </c>
      <c r="E2" s="39" t="str">
        <f>TEXT(INDEX($G:$J,ROW(),$F$1),"00")&amp;" ngày"</f>
        <v>02 ngày</v>
      </c>
      <c r="G2" s="32">
        <v>2</v>
      </c>
      <c r="H2" s="32">
        <v>2</v>
      </c>
      <c r="I2" s="32">
        <v>2</v>
      </c>
      <c r="J2" s="32">
        <v>2</v>
      </c>
      <c r="L2" s="112"/>
      <c r="M2" s="113" t="str">
        <f>"Ngày "&amp;CHAR(10)&amp;L1+1&amp;" - "&amp;M1</f>
        <v>Ngày 
1 - 20</v>
      </c>
      <c r="N2" s="113" t="str">
        <f t="shared" ref="N2:Q2" si="1">"Ngày "&amp;CHAR(10)&amp;M1+1&amp;" - "&amp;N1</f>
        <v>Ngày 
21 - 40</v>
      </c>
      <c r="O2" s="113" t="str">
        <f t="shared" si="1"/>
        <v>Ngày 
41 - 60</v>
      </c>
      <c r="P2" s="113" t="str">
        <f t="shared" si="1"/>
        <v>Ngày 
61 - 75</v>
      </c>
      <c r="Q2" s="113" t="str">
        <f t="shared" si="1"/>
        <v>Ngày 
76 - 90</v>
      </c>
    </row>
    <row r="3" spans="3:17" ht="34.200000000000003" thickBot="1" x14ac:dyDescent="0.35">
      <c r="C3" s="111">
        <v>2</v>
      </c>
      <c r="D3" s="30" t="s">
        <v>157</v>
      </c>
      <c r="E3" s="39" t="str">
        <f t="shared" ref="E3:E8" si="2">TEXT(INDEX($G:$J,ROW(),$F$1),"00")&amp;" ngày"</f>
        <v>20 ngày</v>
      </c>
      <c r="G3" s="32">
        <v>20</v>
      </c>
      <c r="H3" s="32">
        <v>20</v>
      </c>
      <c r="I3" s="32">
        <v>15</v>
      </c>
      <c r="J3" s="32">
        <v>10</v>
      </c>
      <c r="L3" s="32">
        <v>120</v>
      </c>
    </row>
    <row r="4" spans="3:17" ht="34.200000000000003" thickBot="1" x14ac:dyDescent="0.35">
      <c r="C4" s="111">
        <v>3</v>
      </c>
      <c r="D4" s="30" t="s">
        <v>158</v>
      </c>
      <c r="E4" s="39" t="str">
        <f t="shared" si="2"/>
        <v>03 ngày</v>
      </c>
      <c r="G4" s="32">
        <v>3</v>
      </c>
      <c r="H4" s="32">
        <v>3</v>
      </c>
      <c r="I4" s="32">
        <v>3</v>
      </c>
      <c r="J4" s="32">
        <v>3</v>
      </c>
      <c r="L4" s="32">
        <v>100</v>
      </c>
      <c r="M4" s="41">
        <v>20</v>
      </c>
      <c r="N4" s="41">
        <v>40</v>
      </c>
      <c r="O4" s="41">
        <v>60</v>
      </c>
      <c r="P4" s="41">
        <v>80</v>
      </c>
      <c r="Q4" s="41">
        <v>100</v>
      </c>
    </row>
    <row r="5" spans="3:17" ht="34.200000000000003" thickBot="1" x14ac:dyDescent="0.35">
      <c r="C5" s="111">
        <v>4</v>
      </c>
      <c r="D5" s="30" t="s">
        <v>159</v>
      </c>
      <c r="E5" s="39" t="str">
        <f t="shared" si="2"/>
        <v>20 ngày</v>
      </c>
      <c r="G5" s="32">
        <v>30</v>
      </c>
      <c r="H5" s="32">
        <v>20</v>
      </c>
      <c r="I5" s="32">
        <v>15</v>
      </c>
      <c r="J5" s="32">
        <v>10</v>
      </c>
      <c r="K5" s="32" t="s">
        <v>127</v>
      </c>
      <c r="L5" s="32">
        <v>90</v>
      </c>
      <c r="M5" s="32">
        <v>20</v>
      </c>
      <c r="N5" s="32">
        <v>40</v>
      </c>
      <c r="O5" s="32">
        <v>60</v>
      </c>
      <c r="P5" s="32">
        <v>75</v>
      </c>
      <c r="Q5" s="32">
        <v>90</v>
      </c>
    </row>
    <row r="6" spans="3:17" ht="17.399999999999999" thickBot="1" x14ac:dyDescent="0.35">
      <c r="C6" s="111">
        <v>5</v>
      </c>
      <c r="D6" s="30" t="s">
        <v>160</v>
      </c>
      <c r="E6" s="39" t="str">
        <f t="shared" si="2"/>
        <v>18 ngày</v>
      </c>
      <c r="G6" s="32">
        <v>28</v>
      </c>
      <c r="H6" s="32">
        <v>18</v>
      </c>
      <c r="I6" s="32">
        <v>20</v>
      </c>
      <c r="J6" s="32">
        <v>10</v>
      </c>
      <c r="K6" s="32" t="s">
        <v>127</v>
      </c>
      <c r="L6" s="32">
        <v>60</v>
      </c>
      <c r="M6" s="32">
        <v>10</v>
      </c>
      <c r="N6" s="32">
        <v>20</v>
      </c>
      <c r="O6" s="32">
        <v>30</v>
      </c>
      <c r="P6" s="32">
        <v>50</v>
      </c>
      <c r="Q6" s="32">
        <v>60</v>
      </c>
    </row>
    <row r="7" spans="3:17" ht="118.2" thickBot="1" x14ac:dyDescent="0.35">
      <c r="C7" s="111">
        <v>6</v>
      </c>
      <c r="D7" s="44" t="s">
        <v>161</v>
      </c>
      <c r="E7" s="39" t="str">
        <f t="shared" si="2"/>
        <v>30 ngày</v>
      </c>
      <c r="G7" s="32">
        <v>23</v>
      </c>
      <c r="H7" s="32">
        <v>30</v>
      </c>
      <c r="I7" s="32">
        <v>30</v>
      </c>
      <c r="J7" s="32">
        <v>20</v>
      </c>
    </row>
    <row r="8" spans="3:17" ht="34.200000000000003" thickBot="1" x14ac:dyDescent="0.35">
      <c r="C8" s="111">
        <v>7</v>
      </c>
      <c r="D8" s="30" t="s">
        <v>162</v>
      </c>
      <c r="E8" s="39" t="str">
        <f t="shared" si="2"/>
        <v>07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D1:K27"/>
  <sheetViews>
    <sheetView topLeftCell="A13"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37" t="s">
        <v>153</v>
      </c>
      <c r="E1" s="140" t="s">
        <v>154</v>
      </c>
      <c r="F1" s="143" t="s">
        <v>155</v>
      </c>
      <c r="G1" s="144"/>
      <c r="H1" s="144"/>
      <c r="I1" s="144"/>
      <c r="J1" s="145"/>
    </row>
    <row r="2" spans="4:10" ht="16.8" x14ac:dyDescent="0.3">
      <c r="D2" s="138"/>
      <c r="E2" s="141"/>
      <c r="F2" s="34" t="s">
        <v>163</v>
      </c>
      <c r="G2" s="35" t="s">
        <v>163</v>
      </c>
      <c r="H2" s="35" t="s">
        <v>163</v>
      </c>
      <c r="I2" s="35" t="s">
        <v>163</v>
      </c>
      <c r="J2" s="35" t="s">
        <v>163</v>
      </c>
    </row>
    <row r="3" spans="4:10" ht="17.399999999999999" thickBot="1" x14ac:dyDescent="0.35">
      <c r="D3" s="139"/>
      <c r="E3" s="142"/>
      <c r="F3" s="36" t="s">
        <v>168</v>
      </c>
      <c r="G3" s="37" t="s">
        <v>164</v>
      </c>
      <c r="H3" s="37" t="s">
        <v>165</v>
      </c>
      <c r="I3" s="37" t="s">
        <v>166</v>
      </c>
      <c r="J3" s="37" t="s">
        <v>167</v>
      </c>
    </row>
    <row r="4" spans="4:10" ht="17.399999999999999" thickBot="1" x14ac:dyDescent="0.35">
      <c r="D4" s="33">
        <v>1</v>
      </c>
      <c r="E4" s="30" t="s">
        <v>156</v>
      </c>
      <c r="F4" s="99"/>
      <c r="G4" s="100"/>
      <c r="H4" s="39"/>
      <c r="I4" s="39"/>
      <c r="J4" s="39"/>
    </row>
    <row r="5" spans="4:10" ht="34.200000000000003" thickBot="1" x14ac:dyDescent="0.35">
      <c r="D5" s="33">
        <v>2</v>
      </c>
      <c r="E5" s="30" t="s">
        <v>158</v>
      </c>
      <c r="F5" s="99"/>
      <c r="G5" s="100"/>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6" t="s">
        <v>153</v>
      </c>
      <c r="E18" s="146" t="s">
        <v>154</v>
      </c>
      <c r="F18" s="149" t="s">
        <v>155</v>
      </c>
      <c r="G18" s="150"/>
      <c r="H18" s="150"/>
      <c r="I18" s="150"/>
      <c r="J18" s="151"/>
      <c r="K18">
        <v>90</v>
      </c>
    </row>
    <row r="19" spans="4:11" ht="16.8" x14ac:dyDescent="0.3">
      <c r="D19" s="147"/>
      <c r="E19" s="147"/>
      <c r="F19" s="102" t="s">
        <v>163</v>
      </c>
      <c r="G19" s="101" t="s">
        <v>163</v>
      </c>
      <c r="H19" s="101" t="s">
        <v>163</v>
      </c>
      <c r="I19" s="101" t="s">
        <v>163</v>
      </c>
      <c r="J19" s="101" t="s">
        <v>163</v>
      </c>
    </row>
    <row r="20" spans="4:11" ht="34.200000000000003" thickBot="1" x14ac:dyDescent="0.35">
      <c r="D20" s="148"/>
      <c r="E20" s="148"/>
      <c r="F20" s="110" t="s">
        <v>548</v>
      </c>
      <c r="G20" s="103" t="s">
        <v>549</v>
      </c>
      <c r="H20" s="103" t="s">
        <v>550</v>
      </c>
      <c r="I20" s="103" t="s">
        <v>540</v>
      </c>
      <c r="J20" s="103" t="s">
        <v>167</v>
      </c>
    </row>
    <row r="21" spans="4:11" ht="17.399999999999999" thickBot="1" x14ac:dyDescent="0.35">
      <c r="D21" s="104" t="s">
        <v>541</v>
      </c>
      <c r="E21" s="105" t="s">
        <v>156</v>
      </c>
      <c r="F21" s="106"/>
      <c r="G21" s="107"/>
      <c r="H21" s="107"/>
      <c r="I21" s="107"/>
      <c r="J21" s="107"/>
    </row>
    <row r="22" spans="4:11" ht="34.200000000000003" thickBot="1" x14ac:dyDescent="0.35">
      <c r="D22" s="104" t="s">
        <v>542</v>
      </c>
      <c r="E22" s="105" t="s">
        <v>157</v>
      </c>
      <c r="F22" s="106"/>
      <c r="G22" s="107"/>
      <c r="H22" s="107"/>
      <c r="I22" s="107"/>
      <c r="J22" s="107"/>
    </row>
    <row r="23" spans="4:11" ht="34.200000000000003" thickBot="1" x14ac:dyDescent="0.35">
      <c r="D23" s="104" t="s">
        <v>543</v>
      </c>
      <c r="E23" s="105" t="s">
        <v>158</v>
      </c>
      <c r="F23" s="106"/>
      <c r="G23" s="107"/>
      <c r="H23" s="107"/>
      <c r="I23" s="107"/>
      <c r="J23" s="107"/>
    </row>
    <row r="24" spans="4:11" ht="17.399999999999999" thickBot="1" x14ac:dyDescent="0.35">
      <c r="D24" s="104" t="s">
        <v>544</v>
      </c>
      <c r="E24" s="105" t="s">
        <v>159</v>
      </c>
      <c r="F24" s="107"/>
      <c r="G24" s="106"/>
      <c r="H24" s="107"/>
      <c r="I24" s="107"/>
      <c r="J24" s="107"/>
    </row>
    <row r="25" spans="4:11" ht="17.399999999999999" thickBot="1" x14ac:dyDescent="0.35">
      <c r="D25" s="104" t="s">
        <v>545</v>
      </c>
      <c r="E25" s="105" t="s">
        <v>160</v>
      </c>
      <c r="F25" s="107"/>
      <c r="G25" s="107"/>
      <c r="H25" s="106"/>
      <c r="I25" s="107"/>
      <c r="J25" s="107"/>
    </row>
    <row r="26" spans="4:11" ht="94.2" thickBot="1" x14ac:dyDescent="0.35">
      <c r="D26" s="104" t="s">
        <v>546</v>
      </c>
      <c r="E26" s="108" t="s">
        <v>161</v>
      </c>
      <c r="F26" s="107"/>
      <c r="G26" s="107"/>
      <c r="H26" s="106"/>
      <c r="I26" s="107"/>
      <c r="J26" s="107"/>
    </row>
    <row r="27" spans="4:11" ht="17.399999999999999" thickBot="1" x14ac:dyDescent="0.35">
      <c r="D27" s="104" t="s">
        <v>547</v>
      </c>
      <c r="E27" s="105" t="s">
        <v>162</v>
      </c>
      <c r="F27" s="107"/>
      <c r="G27" s="107"/>
      <c r="H27" s="107"/>
      <c r="I27" s="107"/>
      <c r="J27" s="109"/>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9"/>
  <sheetViews>
    <sheetView workbookViewId="0">
      <pane ySplit="1" topLeftCell="A5" activePane="bottomLeft" state="frozen"/>
      <selection pane="bottomLeft" activeCell="A22" sqref="A22:A26"/>
    </sheetView>
  </sheetViews>
  <sheetFormatPr defaultRowHeight="14.4" x14ac:dyDescent="0.3"/>
  <cols>
    <col min="1" max="1" width="78.109375" style="152" customWidth="1"/>
    <col min="2" max="2" width="7.44140625" customWidth="1"/>
    <col min="3" max="3" width="13.33203125" style="1" customWidth="1"/>
    <col min="5" max="5" width="79.21875" bestFit="1" customWidth="1"/>
    <col min="6" max="6" width="16" customWidth="1"/>
  </cols>
  <sheetData>
    <row r="1" spans="1:7" s="29" customFormat="1" ht="30" customHeight="1" x14ac:dyDescent="0.3">
      <c r="A1" s="20" t="str">
        <f>"Nội dung công tác "&amp;MAX(B:B)</f>
        <v>Nội dung công tác 15</v>
      </c>
      <c r="B1" s="29" t="s">
        <v>583</v>
      </c>
      <c r="C1" s="29" t="s">
        <v>582</v>
      </c>
      <c r="F1" s="29" t="s">
        <v>564</v>
      </c>
      <c r="G1" s="29" t="s">
        <v>565</v>
      </c>
    </row>
    <row r="2" spans="1:7" x14ac:dyDescent="0.3">
      <c r="A2" s="152" t="s">
        <v>585</v>
      </c>
      <c r="B2" s="1">
        <v>1</v>
      </c>
      <c r="C2" s="1">
        <f>COUNTIF(B:B,B2)</f>
        <v>2</v>
      </c>
      <c r="F2">
        <v>477</v>
      </c>
      <c r="G2">
        <v>3</v>
      </c>
    </row>
    <row r="3" spans="1:7" ht="28.8" x14ac:dyDescent="0.3">
      <c r="A3" s="152" t="s">
        <v>586</v>
      </c>
      <c r="B3" s="1">
        <v>1</v>
      </c>
      <c r="C3" s="1">
        <f>COUNTIF(B:B,B3)</f>
        <v>2</v>
      </c>
      <c r="F3">
        <v>478</v>
      </c>
      <c r="G3">
        <v>3</v>
      </c>
    </row>
    <row r="4" spans="1:7" ht="28.8" x14ac:dyDescent="0.3">
      <c r="A4" s="152" t="s">
        <v>587</v>
      </c>
      <c r="B4" s="1">
        <v>2</v>
      </c>
      <c r="C4" s="1">
        <f>COUNTIF(B:B,B4)</f>
        <v>1</v>
      </c>
      <c r="F4">
        <v>476</v>
      </c>
      <c r="G4">
        <v>3</v>
      </c>
    </row>
    <row r="5" spans="1:7" ht="28.8" x14ac:dyDescent="0.3">
      <c r="A5" s="152" t="s">
        <v>588</v>
      </c>
      <c r="B5" s="1">
        <v>3</v>
      </c>
      <c r="C5" s="1">
        <f>COUNTIF(B:B,B5)</f>
        <v>1</v>
      </c>
      <c r="F5">
        <v>477</v>
      </c>
      <c r="G5">
        <v>2</v>
      </c>
    </row>
    <row r="6" spans="1:7" x14ac:dyDescent="0.3">
      <c r="A6" s="152" t="s">
        <v>600</v>
      </c>
      <c r="B6">
        <v>4</v>
      </c>
      <c r="C6" s="1">
        <f>COUNTIF(B:B,B6)</f>
        <v>3</v>
      </c>
      <c r="E6" t="str">
        <f>"Xây dựng mới "&amp;A6</f>
        <v>Xây dựng mới Xây dựng mới TBA 1 pha 2x37,5kVA: 1 trạm (Thọ Hòa 1C).</v>
      </c>
      <c r="G6">
        <v>4</v>
      </c>
    </row>
    <row r="7" spans="1:7" x14ac:dyDescent="0.3">
      <c r="A7" s="153" t="s">
        <v>603</v>
      </c>
      <c r="B7">
        <v>4</v>
      </c>
      <c r="C7" s="1">
        <f>COUNTIF(B:B,B7)</f>
        <v>3</v>
      </c>
      <c r="E7" t="str">
        <f>"Xây dựng mới "&amp;A7</f>
        <v>Xây dựng mới Xây dựng mới TBA 3 pha 3x37,5kVA ( Bảo Chánh 4D, Bảo Chánh 4E).</v>
      </c>
      <c r="G7">
        <v>4</v>
      </c>
    </row>
    <row r="8" spans="1:7" x14ac:dyDescent="0.3">
      <c r="A8" s="153" t="s">
        <v>604</v>
      </c>
      <c r="B8">
        <v>4</v>
      </c>
      <c r="C8" s="1">
        <f>COUNTIF(B:B,B8)</f>
        <v>3</v>
      </c>
      <c r="E8" t="str">
        <f>"Xây dựng mới "&amp;A8</f>
        <v>Xây dựng mới Xây dựng mới TBA 3 pha 250kVA Bảo Chánh 4C</v>
      </c>
      <c r="G8">
        <v>1</v>
      </c>
    </row>
    <row r="9" spans="1:7" x14ac:dyDescent="0.3">
      <c r="A9" s="152" t="s">
        <v>601</v>
      </c>
      <c r="B9">
        <v>5</v>
      </c>
      <c r="C9" s="1">
        <f>COUNTIF(B:B,B9)</f>
        <v>3</v>
      </c>
      <c r="E9" t="str">
        <f>"Xây dựng mới "&amp;A9</f>
        <v>Xây dựng mới Xây dựng mới TBA 1 pha 1x100kVA: 1 trạm (Đông Minh 7A).</v>
      </c>
      <c r="G9">
        <v>4</v>
      </c>
    </row>
    <row r="10" spans="1:7" x14ac:dyDescent="0.3">
      <c r="A10" s="153" t="s">
        <v>602</v>
      </c>
      <c r="B10">
        <v>5</v>
      </c>
      <c r="C10" s="1">
        <f>COUNTIF(B:B,B10)</f>
        <v>3</v>
      </c>
      <c r="E10" t="str">
        <f>"Xây dựng mới "&amp;A10</f>
        <v>Xây dựng mới Xây dựng mới TBA 3 pha 3x37,5kVA trạm Đông Minh 5C</v>
      </c>
      <c r="G10">
        <v>4</v>
      </c>
    </row>
    <row r="11" spans="1:7" x14ac:dyDescent="0.3">
      <c r="A11" s="153" t="s">
        <v>605</v>
      </c>
      <c r="B11">
        <v>5</v>
      </c>
      <c r="C11" s="1">
        <f>COUNTIF(B:B,B11)</f>
        <v>3</v>
      </c>
      <c r="E11" t="str">
        <f>"Xây dựng mới "&amp;A11</f>
        <v>Xây dựng mới Xây dựng mới TBA 3 pha 3x50kVA: trạm Đông Minh 5B</v>
      </c>
      <c r="G11">
        <v>4</v>
      </c>
    </row>
    <row r="12" spans="1:7" x14ac:dyDescent="0.3">
      <c r="A12" s="152" t="s">
        <v>590</v>
      </c>
      <c r="B12">
        <v>6</v>
      </c>
      <c r="C12" s="1">
        <f>COUNTIF(B:B,B12)</f>
        <v>3</v>
      </c>
      <c r="G12">
        <v>1</v>
      </c>
    </row>
    <row r="13" spans="1:7" x14ac:dyDescent="0.3">
      <c r="A13" s="152" t="s">
        <v>591</v>
      </c>
      <c r="B13">
        <v>6</v>
      </c>
      <c r="C13" s="1">
        <f>COUNTIF(B:B,B13)</f>
        <v>3</v>
      </c>
      <c r="G13">
        <v>3</v>
      </c>
    </row>
    <row r="14" spans="1:7" x14ac:dyDescent="0.3">
      <c r="A14" s="152" t="s">
        <v>594</v>
      </c>
      <c r="B14">
        <v>6</v>
      </c>
      <c r="C14" s="1">
        <f>COUNTIF(B:B,B14)</f>
        <v>3</v>
      </c>
      <c r="G14">
        <v>3</v>
      </c>
    </row>
    <row r="15" spans="1:7" x14ac:dyDescent="0.3">
      <c r="A15" s="152" t="s">
        <v>589</v>
      </c>
      <c r="B15">
        <v>7</v>
      </c>
      <c r="C15" s="1">
        <f>COUNTIF(B:B,B15)</f>
        <v>3</v>
      </c>
      <c r="G15">
        <v>3</v>
      </c>
    </row>
    <row r="16" spans="1:7" ht="28.8" x14ac:dyDescent="0.3">
      <c r="A16" s="152" t="s">
        <v>592</v>
      </c>
      <c r="B16">
        <v>7</v>
      </c>
      <c r="C16" s="1">
        <f>COUNTIF(B:B,B16)</f>
        <v>3</v>
      </c>
      <c r="G16">
        <v>3</v>
      </c>
    </row>
    <row r="17" spans="1:7" x14ac:dyDescent="0.3">
      <c r="A17" s="152" t="s">
        <v>593</v>
      </c>
      <c r="B17">
        <v>7</v>
      </c>
      <c r="C17" s="1">
        <f>COUNTIF(B:B,B17)</f>
        <v>3</v>
      </c>
      <c r="G17">
        <v>3</v>
      </c>
    </row>
    <row r="18" spans="1:7" x14ac:dyDescent="0.3">
      <c r="A18" s="152" t="s">
        <v>595</v>
      </c>
      <c r="B18">
        <v>8</v>
      </c>
      <c r="C18" s="1">
        <f>COUNTIF(B:B,B18)</f>
        <v>2</v>
      </c>
      <c r="G18">
        <v>2</v>
      </c>
    </row>
    <row r="19" spans="1:7" x14ac:dyDescent="0.3">
      <c r="A19" s="152" t="s">
        <v>596</v>
      </c>
      <c r="B19">
        <v>8</v>
      </c>
      <c r="C19" s="1">
        <f>COUNTIF(B:B,B19)</f>
        <v>2</v>
      </c>
      <c r="G19">
        <v>2</v>
      </c>
    </row>
    <row r="20" spans="1:7" ht="28.8" x14ac:dyDescent="0.3">
      <c r="A20" s="152" t="s">
        <v>597</v>
      </c>
      <c r="B20">
        <v>9</v>
      </c>
      <c r="C20" s="1">
        <f>COUNTIF(B:B,B20)</f>
        <v>1</v>
      </c>
      <c r="G20">
        <v>2</v>
      </c>
    </row>
    <row r="21" spans="1:7" ht="28.8" x14ac:dyDescent="0.3">
      <c r="A21" s="152" t="s">
        <v>598</v>
      </c>
      <c r="B21">
        <v>10</v>
      </c>
      <c r="C21" s="1">
        <f>COUNTIF(B:B,B21)</f>
        <v>1</v>
      </c>
      <c r="G21">
        <v>2</v>
      </c>
    </row>
    <row r="22" spans="1:7" x14ac:dyDescent="0.3">
      <c r="A22" s="152" t="s">
        <v>608</v>
      </c>
      <c r="B22">
        <v>11</v>
      </c>
      <c r="C22" s="1">
        <f>COUNTIF(B:B,B22)</f>
        <v>1</v>
      </c>
      <c r="E22" t="str">
        <f>"Xây dựng mới "&amp;A22</f>
        <v>Xây dựng mới Xây dựng mới TBA 3 pha 250kVA: 3 trạm (Lang Minh E, Lang Minh F).</v>
      </c>
      <c r="G22">
        <v>1</v>
      </c>
    </row>
    <row r="23" spans="1:7" x14ac:dyDescent="0.3">
      <c r="A23" s="152" t="s">
        <v>599</v>
      </c>
      <c r="B23" s="1">
        <v>12</v>
      </c>
      <c r="C23" s="1">
        <f>COUNTIF(B:B,B23)</f>
        <v>1</v>
      </c>
      <c r="E23" t="str">
        <f>"Xây dựng mới "&amp;A23</f>
        <v xml:space="preserve">Xây dựng mới Xây dựng mới TBA 3 pha 1x75kVA: 3 trạm (Việt Kiều 141A, Việt Kiều 141B, Tây Minh 1A). </v>
      </c>
      <c r="G23">
        <v>4</v>
      </c>
    </row>
    <row r="24" spans="1:7" x14ac:dyDescent="0.3">
      <c r="A24" s="153" t="s">
        <v>606</v>
      </c>
      <c r="B24">
        <v>13</v>
      </c>
      <c r="C24" s="1">
        <f>COUNTIF(B:B,B24)</f>
        <v>1</v>
      </c>
      <c r="E24" t="str">
        <f>"Xây dựng mới "&amp;A24</f>
        <v>Xây dựng mới Xây dựng mới TBA 3 pha 3x50kVA: trạm Tam Hiệp 2B, Tam Hiệp 2C, Tam Hiệp 2D</v>
      </c>
      <c r="G24">
        <v>4</v>
      </c>
    </row>
    <row r="25" spans="1:7" ht="28.8" x14ac:dyDescent="0.3">
      <c r="A25" s="153" t="s">
        <v>607</v>
      </c>
      <c r="B25">
        <v>14</v>
      </c>
      <c r="C25" s="1">
        <f>COUNTIF(B:B,B25)</f>
        <v>1</v>
      </c>
      <c r="E25" t="str">
        <f>"Xây dựng mới "&amp;A25</f>
        <v>Xây dựng mới Xây dựng mới TBA 3 pha 3x50kVA:  trạm Tam Hiệp 3B, Tam Hiệp 3C, Tam Hiệp 3D, Tam Hiệp 3E</v>
      </c>
      <c r="G25">
        <v>4</v>
      </c>
    </row>
    <row r="26" spans="1:7" x14ac:dyDescent="0.3">
      <c r="A26" s="152" t="s">
        <v>584</v>
      </c>
      <c r="B26" s="1">
        <v>15</v>
      </c>
      <c r="C26" s="1">
        <f>COUNTIF(B:B,B26)</f>
        <v>1</v>
      </c>
      <c r="F26">
        <v>477</v>
      </c>
      <c r="G26">
        <v>3</v>
      </c>
    </row>
    <row r="27" spans="1:7" x14ac:dyDescent="0.3">
      <c r="A27" s="152" t="s">
        <v>579</v>
      </c>
      <c r="B27" s="1"/>
      <c r="F27">
        <v>477</v>
      </c>
      <c r="G27">
        <v>1</v>
      </c>
    </row>
    <row r="28" spans="1:7" x14ac:dyDescent="0.3">
      <c r="A28" s="152" t="s">
        <v>580</v>
      </c>
      <c r="C28" s="1">
        <f>COUNTIF(B:B,B28)</f>
        <v>0</v>
      </c>
      <c r="G28">
        <v>3</v>
      </c>
    </row>
    <row r="29" spans="1:7" x14ac:dyDescent="0.3">
      <c r="A29" s="152" t="s">
        <v>581</v>
      </c>
      <c r="C29" s="1">
        <f>COUNTIF(B:B,B29)</f>
        <v>0</v>
      </c>
      <c r="G29">
        <v>3</v>
      </c>
    </row>
    <row r="30" spans="1:7" x14ac:dyDescent="0.3">
      <c r="C30" s="1">
        <f>COUNTIF(B:B,B30)</f>
        <v>0</v>
      </c>
      <c r="G30">
        <v>2</v>
      </c>
    </row>
    <row r="31" spans="1:7" x14ac:dyDescent="0.3">
      <c r="C31" s="1">
        <f>COUNTIF(B:B,B31)</f>
        <v>0</v>
      </c>
      <c r="G31">
        <v>5</v>
      </c>
    </row>
    <row r="32" spans="1:7" x14ac:dyDescent="0.3">
      <c r="C32" s="1">
        <f>COUNTIF(B:B,B32)</f>
        <v>0</v>
      </c>
      <c r="G32">
        <v>5</v>
      </c>
    </row>
    <row r="33" spans="3:7" x14ac:dyDescent="0.3">
      <c r="C33" s="1">
        <f>COUNTIF(B:B,B33)</f>
        <v>0</v>
      </c>
      <c r="G33">
        <v>5</v>
      </c>
    </row>
    <row r="34" spans="3:7" x14ac:dyDescent="0.3">
      <c r="C34" s="1">
        <f>COUNTIF(B:B,B34)</f>
        <v>0</v>
      </c>
      <c r="G34">
        <v>6</v>
      </c>
    </row>
    <row r="35" spans="3:7" x14ac:dyDescent="0.3">
      <c r="C35" s="1">
        <f>COUNTIF(B:B,B35)</f>
        <v>0</v>
      </c>
      <c r="G35">
        <v>6</v>
      </c>
    </row>
    <row r="36" spans="3:7" x14ac:dyDescent="0.3">
      <c r="C36" s="1">
        <f>COUNTIF(B:B,B36)</f>
        <v>0</v>
      </c>
      <c r="G36">
        <v>6</v>
      </c>
    </row>
    <row r="37" spans="3:7" x14ac:dyDescent="0.3">
      <c r="C37" s="1">
        <f>COUNTIF(B:B,B37)</f>
        <v>0</v>
      </c>
      <c r="G37">
        <v>7</v>
      </c>
    </row>
    <row r="38" spans="3:7" x14ac:dyDescent="0.3">
      <c r="C38" s="1">
        <f>COUNTIF(B:B,B38)</f>
        <v>0</v>
      </c>
      <c r="G38">
        <v>7</v>
      </c>
    </row>
    <row r="39" spans="3:7" x14ac:dyDescent="0.3">
      <c r="C39" s="1">
        <f>COUNTIF(B:B,B39)</f>
        <v>0</v>
      </c>
      <c r="G39">
        <v>7</v>
      </c>
    </row>
  </sheetData>
  <autoFilter ref="A1:G39" xr:uid="{6FF6E6B7-B9B4-492E-A78C-B8F700206856}">
    <sortState xmlns:xlrd2="http://schemas.microsoft.com/office/spreadsheetml/2017/richdata2"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B71B-3DE2-4E75-A763-5A6E3186635F}">
  <dimension ref="B1:J16"/>
  <sheetViews>
    <sheetView tabSelected="1" workbookViewId="0">
      <selection activeCell="D16" sqref="B1:D16"/>
    </sheetView>
  </sheetViews>
  <sheetFormatPr defaultRowHeight="14.4" x14ac:dyDescent="0.3"/>
  <cols>
    <col min="3" max="3" width="21.44140625" customWidth="1"/>
    <col min="4" max="4" width="71.77734375" style="48" customWidth="1"/>
    <col min="5" max="9" width="32.44140625" style="116" customWidth="1"/>
    <col min="10" max="10" width="21.77734375" customWidth="1"/>
  </cols>
  <sheetData>
    <row r="1" spans="2:10" s="53" customFormat="1" ht="37.799999999999997" customHeight="1" x14ac:dyDescent="0.3">
      <c r="B1" s="117" t="s">
        <v>103</v>
      </c>
      <c r="C1" s="117" t="s">
        <v>566</v>
      </c>
      <c r="D1" s="117" t="s">
        <v>567</v>
      </c>
      <c r="E1" s="114" t="s">
        <v>127</v>
      </c>
      <c r="F1" s="114" t="s">
        <v>127</v>
      </c>
      <c r="G1" s="114" t="s">
        <v>127</v>
      </c>
      <c r="H1" s="114" t="s">
        <v>127</v>
      </c>
      <c r="I1" s="114" t="s">
        <v>127</v>
      </c>
    </row>
    <row r="2" spans="2:10" ht="62.4" x14ac:dyDescent="0.3">
      <c r="B2" s="118">
        <v>1</v>
      </c>
      <c r="C2" s="118" t="str">
        <f>$C$1&amp;" thứ "&amp;B2</f>
        <v>Lần cắt điện thứ 1</v>
      </c>
      <c r="D2" s="119" t="str">
        <f t="array" ref="D2">" - "&amp;_xlfn.TEXTJOIN(CHAR(10)&amp;" - ",TRUE,IF(E2:I2&lt;&gt;0,E2:I2,""))</f>
        <v xml:space="preserve"> - Xây dựng mới đường dây trung thế 3 pha cáp 3ACX95mm2+AC70mm2 dài  526,2 mét.
 - Xây dựng mới đường dây trung thế 3 pha ngầm cáp CXV/SE/ DSTA-3x70mm2 + CV35mm2 dài 40 mét.</v>
      </c>
      <c r="E2" s="152" t="s">
        <v>585</v>
      </c>
      <c r="F2" s="152" t="s">
        <v>586</v>
      </c>
      <c r="G2" s="115"/>
      <c r="H2" s="115"/>
      <c r="I2" s="115"/>
    </row>
    <row r="3" spans="2:10" ht="57.6" x14ac:dyDescent="0.3">
      <c r="B3" s="118">
        <v>2</v>
      </c>
      <c r="C3" s="118" t="str">
        <f t="shared" ref="C3:C13" si="0">$C$1&amp;" thứ "&amp;B3</f>
        <v>Lần cắt điện thứ 2</v>
      </c>
      <c r="D3" s="119" t="str">
        <f t="array" ref="D3">" - "&amp;_xlfn.TEXTJOIN(CHAR(10)&amp;" - ",TRUE,IF(E3:I3&lt;&gt;0,E3:I3,""))</f>
        <v xml:space="preserve"> - Nâng cấp đường dây trung thế từ 1 pha lên 3 pha cáp từ 2AC50mm2 thành 3ACX50mm2+AC50mm2 dài 2.580,2 mét.</v>
      </c>
      <c r="E3" s="115" t="s">
        <v>587</v>
      </c>
      <c r="F3" s="115"/>
      <c r="G3" s="115"/>
      <c r="H3" s="115"/>
      <c r="I3" s="115"/>
    </row>
    <row r="4" spans="2:10" ht="57.6" x14ac:dyDescent="0.3">
      <c r="B4" s="118">
        <v>3</v>
      </c>
      <c r="C4" s="118" t="str">
        <f t="shared" si="0"/>
        <v>Lần cắt điện thứ 3</v>
      </c>
      <c r="D4" s="119" t="str">
        <f t="array" ref="D4">" - "&amp;_xlfn.TEXTJOIN(CHAR(10)&amp;" - ",TRUE,IF(E4:I4&lt;&gt;0,E4:I4,""))</f>
        <v xml:space="preserve"> - Nâng cấp đường dây trung thế từ 1 pha lên 3 pha cáp từ 2AC50mm2 thành 3ACX50mm2+AC50mm2 dài 1.935,9 mét. </v>
      </c>
      <c r="E4" s="115" t="s">
        <v>588</v>
      </c>
      <c r="F4" s="115"/>
      <c r="G4" s="115"/>
      <c r="H4" s="115"/>
      <c r="I4" s="115"/>
    </row>
    <row r="5" spans="2:10" ht="28.8" x14ac:dyDescent="0.3">
      <c r="B5" s="118">
        <v>4</v>
      </c>
      <c r="C5" s="118" t="str">
        <f t="shared" si="0"/>
        <v>Lần cắt điện thứ 4</v>
      </c>
      <c r="D5" s="119" t="str">
        <f t="array" ref="D5">" - "&amp;_xlfn.TEXTJOIN(CHAR(10)&amp;" - ",TRUE,IF(E5:I5&lt;&gt;0,E5:I5,""))</f>
        <v xml:space="preserve"> - Xây dựng mới TBA 1 pha 2x37,5kVA: 1 trạm (Thọ Hòa 1C).
 - Xây dựng mới TBA 3 pha 3x37,5kVA ( Bảo Chánh 4D, Bảo Chánh 4E).
 - Xây dựng mới TBA 3 pha 250kVA Bảo Chánh 4C</v>
      </c>
      <c r="E5" s="152" t="s">
        <v>600</v>
      </c>
      <c r="F5" s="153" t="s">
        <v>603</v>
      </c>
      <c r="G5" s="153" t="s">
        <v>604</v>
      </c>
      <c r="H5" s="115"/>
      <c r="I5" s="115"/>
    </row>
    <row r="6" spans="2:10" ht="46.8" x14ac:dyDescent="0.3">
      <c r="B6" s="118">
        <v>5</v>
      </c>
      <c r="C6" s="118" t="str">
        <f t="shared" si="0"/>
        <v>Lần cắt điện thứ 5</v>
      </c>
      <c r="D6" s="119" t="str">
        <f t="array" ref="D6">" - "&amp;_xlfn.TEXTJOIN(CHAR(10)&amp;" - ",TRUE,IF(E6:I6&lt;&gt;0,E6:I6,""))</f>
        <v xml:space="preserve"> - Xây dựng mới TBA 1 pha 1x100kVA: 1 trạm (Đông Minh 7A).
 - Xây dựng mới TBA 3 pha 3x37,5kVA trạm Đông Minh 5C
 - Xây dựng mới TBA 3 pha 3x50kVA: trạm Đông Minh 5B</v>
      </c>
      <c r="E6" s="152" t="s">
        <v>601</v>
      </c>
      <c r="F6" s="153" t="s">
        <v>602</v>
      </c>
      <c r="G6" s="153" t="s">
        <v>605</v>
      </c>
      <c r="H6" s="115"/>
      <c r="I6" s="115"/>
    </row>
    <row r="7" spans="2:10" ht="43.2" x14ac:dyDescent="0.3">
      <c r="B7" s="118">
        <v>6</v>
      </c>
      <c r="C7" s="118" t="str">
        <f t="shared" si="0"/>
        <v>Lần cắt điện thứ 6</v>
      </c>
      <c r="D7" s="119" t="str">
        <f t="array" ref="D7">" - "&amp;_xlfn.TEXTJOIN(CHAR(10)&amp;" - ",TRUE,IF(E7:I7&lt;&gt;0,E7:I7,""))</f>
        <v xml:space="preserve"> - Nâng cấp  và di dời trạm 1 pha 2x100kVA thành 250kVA: 1 trạm (Đông Minh 8).
 - Nâng cấp trạm 1 pha 1x100kVA thành 250kVA: 1 trạm (Đông Minh 8A).
 - Di dời trạm: Đông Minh 7 2x37,5kVA  về tâm phụ tải.</v>
      </c>
      <c r="E7" s="152" t="s">
        <v>590</v>
      </c>
      <c r="F7" s="152" t="s">
        <v>591</v>
      </c>
      <c r="G7" s="152" t="s">
        <v>594</v>
      </c>
      <c r="H7" s="115"/>
      <c r="I7" s="115"/>
    </row>
    <row r="8" spans="2:10" ht="57.6" x14ac:dyDescent="0.3">
      <c r="B8" s="118">
        <v>7</v>
      </c>
      <c r="C8" s="118" t="str">
        <f t="shared" si="0"/>
        <v>Lần cắt điện thứ 7</v>
      </c>
      <c r="D8" s="119" t="str">
        <f t="array" ref="D8">" - "&amp;_xlfn.TEXTJOIN(CHAR(10)&amp;" - ",TRUE,IF(E8:I8&lt;&gt;0,E8:I8,""))</f>
        <v xml:space="preserve"> - Nâng cấp trạm 1 pha 2x50kVA thành 3x50kVA: 1 trạm (Hòa Bình).
 - Nâng cấp trạm 1 pha 2x75kVA thành 250kVA: 1 trạm (Bình Tiến 1). Phần máy biến áp: tận dụng máy thu hồi tại kho Điện lực Xuân Lộc.
 - Di dời trạm: Hòa Bình – 2x50kVA; Việt Kiều 141 – 2x75kVA về tâm phụ tải.</v>
      </c>
      <c r="E8" s="152" t="s">
        <v>589</v>
      </c>
      <c r="F8" s="152" t="s">
        <v>592</v>
      </c>
      <c r="G8" s="152" t="s">
        <v>593</v>
      </c>
      <c r="H8" s="115"/>
      <c r="I8" s="115"/>
    </row>
    <row r="9" spans="2:10" ht="43.2" x14ac:dyDescent="0.3">
      <c r="B9" s="118">
        <v>8</v>
      </c>
      <c r="C9" s="118" t="str">
        <f t="shared" si="0"/>
        <v>Lần cắt điện thứ 8</v>
      </c>
      <c r="D9" s="119" t="str">
        <f t="array" ref="D9">" - "&amp;_xlfn.TEXTJOIN(CHAR(10)&amp;" - ",TRUE,IF(E9:I9&lt;&gt;0,E9:I9,""))</f>
        <v xml:space="preserve"> - Xây dựng mới đường dây hạ thế 1 pha cáp ABC 3x95mm2 dài  515,7 mét.
 - Xây dựng mới đường dây hạ thế 3 pha cáp ABC 4x95mm2 dài  1.490,2 mét.</v>
      </c>
      <c r="E9" s="152" t="s">
        <v>595</v>
      </c>
      <c r="F9" s="152" t="s">
        <v>596</v>
      </c>
      <c r="H9" s="115"/>
      <c r="I9" s="115"/>
    </row>
    <row r="10" spans="2:10" ht="43.2" x14ac:dyDescent="0.3">
      <c r="B10" s="118">
        <v>9</v>
      </c>
      <c r="C10" s="118" t="str">
        <f t="shared" si="0"/>
        <v>Lần cắt điện thứ 9</v>
      </c>
      <c r="D10" s="119" t="str">
        <f t="array" ref="D10">" - "&amp;_xlfn.TEXTJOIN(CHAR(10)&amp;" - ",TRUE,IF(E10:I10&lt;&gt;0,E10:I10,""))</f>
        <v xml:space="preserve"> - Nâng cấp đường dây hạ thế cáp 2AV50+A50mm2, ABC 3x50mm2 thành ABC 4x120mm2 dài  806,3 mét.</v>
      </c>
      <c r="E10" s="1" t="s">
        <v>597</v>
      </c>
      <c r="F10" s="1"/>
      <c r="G10" s="1"/>
      <c r="H10" s="115"/>
      <c r="I10" s="115"/>
    </row>
    <row r="11" spans="2:10" ht="57.6" x14ac:dyDescent="0.3">
      <c r="B11" s="118">
        <v>10</v>
      </c>
      <c r="C11" s="118" t="str">
        <f t="shared" si="0"/>
        <v>Lần cắt điện thứ 10</v>
      </c>
      <c r="D11" s="119" t="str">
        <f t="array" ref="D11">" - "&amp;_xlfn.TEXTJOIN(CHAR(10)&amp;" - ",TRUE,IF(E11:I11&lt;&gt;0,E11:I11,""))</f>
        <v xml:space="preserve"> - Nâng cấp đường dây hạ thế cáp ABC 3x70mm2 thành ABC 3x70mm2 + AV70 mm2 dài  2.588,1 mét (kéo thêm dây AV70mm2).</v>
      </c>
      <c r="E11" s="152" t="s">
        <v>598</v>
      </c>
      <c r="F11" s="1"/>
      <c r="G11" s="1"/>
      <c r="H11" s="1"/>
      <c r="I11" s="115"/>
    </row>
    <row r="12" spans="2:10" ht="28.8" x14ac:dyDescent="0.3">
      <c r="B12" s="118">
        <v>11</v>
      </c>
      <c r="C12" s="118" t="str">
        <f t="shared" si="0"/>
        <v>Lần cắt điện thứ 11</v>
      </c>
      <c r="D12" s="119" t="str">
        <f t="array" ref="D12">" - "&amp;_xlfn.TEXTJOIN(CHAR(10)&amp;" - ",TRUE,IF(E12:I12&lt;&gt;0,E12:I12,""))</f>
        <v xml:space="preserve"> - Xây dựng mới TBA 3 pha 250kVA: 3 trạm (Lang Minh E, Lang Minh F).</v>
      </c>
      <c r="E12" s="1" t="s">
        <v>608</v>
      </c>
      <c r="F12" s="1"/>
      <c r="G12" s="1"/>
      <c r="H12" s="1"/>
      <c r="I12" s="1"/>
      <c r="J12" s="1"/>
    </row>
    <row r="13" spans="2:10" ht="43.2" x14ac:dyDescent="0.3">
      <c r="B13" s="118">
        <v>12</v>
      </c>
      <c r="C13" s="118" t="str">
        <f t="shared" si="0"/>
        <v>Lần cắt điện thứ 12</v>
      </c>
      <c r="D13" s="119" t="str">
        <f t="array" ref="D13">" - "&amp;_xlfn.TEXTJOIN(CHAR(10)&amp;" - ",TRUE,IF(E13:I13&lt;&gt;0,E13:I13,""))</f>
        <v xml:space="preserve"> - Xây dựng mới TBA 3 pha 1x75kVA: 3 trạm (Việt Kiều 141A, Việt Kiều 141B, Tây Minh 1A). </v>
      </c>
      <c r="E13" s="1" t="s">
        <v>599</v>
      </c>
      <c r="F13" s="1"/>
      <c r="G13" s="1"/>
      <c r="H13" s="115"/>
      <c r="I13" s="115"/>
    </row>
    <row r="14" spans="2:10" ht="43.2" x14ac:dyDescent="0.3">
      <c r="B14" s="118">
        <v>13</v>
      </c>
      <c r="C14" s="118" t="str">
        <f t="shared" ref="C14:C16" si="1">$C$1&amp;" thứ "&amp;B14</f>
        <v>Lần cắt điện thứ 13</v>
      </c>
      <c r="D14" s="119" t="str">
        <f t="array" ref="D14">" - "&amp;_xlfn.TEXTJOIN(CHAR(10)&amp;" - ",TRUE,IF(E14:I14&lt;&gt;0,E14:I14,""))</f>
        <v xml:space="preserve"> - Xây dựng mới TBA 3 pha 3x50kVA: trạm Tam Hiệp 2B, Tam Hiệp 2C, Tam Hiệp 2D</v>
      </c>
      <c r="E14" s="116" t="s">
        <v>606</v>
      </c>
    </row>
    <row r="15" spans="2:10" ht="43.2" x14ac:dyDescent="0.3">
      <c r="B15" s="118">
        <v>14</v>
      </c>
      <c r="C15" s="118" t="str">
        <f t="shared" si="1"/>
        <v>Lần cắt điện thứ 14</v>
      </c>
      <c r="D15" s="119" t="str">
        <f t="array" ref="D15">" - "&amp;_xlfn.TEXTJOIN(CHAR(10)&amp;" - ",TRUE,IF(E15:I15&lt;&gt;0,E15:I15,""))</f>
        <v xml:space="preserve"> - Xây dựng mới TBA 3 pha 3x50kVA:  trạm Tam Hiệp 3B, Tam Hiệp 3C, Tam Hiệp 3D, Tam Hiệp 3E</v>
      </c>
      <c r="E15" s="116" t="s">
        <v>607</v>
      </c>
    </row>
    <row r="16" spans="2:10" ht="43.2" x14ac:dyDescent="0.3">
      <c r="B16" s="118">
        <v>15</v>
      </c>
      <c r="C16" s="118" t="str">
        <f t="shared" si="1"/>
        <v>Lần cắt điện thứ 15</v>
      </c>
      <c r="D16" s="119" t="str">
        <f t="array" ref="D16">" - "&amp;_xlfn.TEXTJOIN(CHAR(10)&amp;" - ",TRUE,IF(E16:I16&lt;&gt;0,E16:I16,""))</f>
        <v xml:space="preserve"> - Xây dựng mới đường dây trung thế 3 pha cáp 3ACX50mm2+AC50mm2 dài 6.055,6 mét.</v>
      </c>
      <c r="E16" s="116" t="s">
        <v>584</v>
      </c>
    </row>
  </sheetData>
  <autoFilter ref="B1:I15" xr:uid="{B2AFF2EA-2527-4B54-9555-4DA9A987AB42}"/>
  <conditionalFormatting sqref="E1:I11 E13:I1048576 E12:G12 I12">
    <cfRule type="cellIs" dxfId="4"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79"/>
  <sheetViews>
    <sheetView workbookViewId="0">
      <pane ySplit="1" topLeftCell="A2" activePane="bottomLeft" state="frozen"/>
      <selection activeCell="I33" sqref="I33"/>
      <selection pane="bottomLeft" activeCell="I26" sqref="I26"/>
    </sheetView>
  </sheetViews>
  <sheetFormatPr defaultColWidth="8.88671875" defaultRowHeight="16.8" x14ac:dyDescent="0.3"/>
  <cols>
    <col min="1" max="2" width="8.88671875" style="24"/>
    <col min="3" max="3" width="23.21875"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5.44140625" style="27" customWidth="1"/>
    <col min="14" max="14" width="50.5546875" style="27" bestFit="1" customWidth="1"/>
    <col min="15" max="15" width="17.33203125" style="24" customWidth="1"/>
    <col min="16" max="16384" width="8.88671875" style="24"/>
  </cols>
  <sheetData>
    <row r="1" spans="1:22" ht="30" customHeight="1" x14ac:dyDescent="0.3">
      <c r="A1" s="24" t="s">
        <v>127</v>
      </c>
      <c r="B1" s="24" t="s">
        <v>127</v>
      </c>
      <c r="C1" s="24" t="s">
        <v>568</v>
      </c>
      <c r="D1" s="27">
        <f>MAX(D2:D1048576)</f>
        <v>22</v>
      </c>
      <c r="E1" s="84" t="s">
        <v>103</v>
      </c>
      <c r="F1" s="84" t="s">
        <v>104</v>
      </c>
      <c r="G1" s="84" t="s">
        <v>105</v>
      </c>
      <c r="H1" s="84" t="s">
        <v>106</v>
      </c>
      <c r="I1" s="84" t="s">
        <v>107</v>
      </c>
      <c r="J1" s="23" t="s">
        <v>311</v>
      </c>
      <c r="K1" s="23">
        <f>COUNTIF(K2:K50,"x")</f>
        <v>0</v>
      </c>
      <c r="L1" s="23" t="s">
        <v>128</v>
      </c>
      <c r="M1" s="27" t="s">
        <v>137</v>
      </c>
      <c r="N1" s="27" t="s">
        <v>227</v>
      </c>
      <c r="O1" s="24" t="s">
        <v>147</v>
      </c>
    </row>
    <row r="2" spans="1:22" s="63" customFormat="1" x14ac:dyDescent="0.3">
      <c r="B2" s="63" t="e">
        <f>VLOOKUP(F2,NhanSuMoi!#REF!,1,0)</f>
        <v>#REF!</v>
      </c>
      <c r="C2" s="63">
        <v>2012</v>
      </c>
      <c r="D2" s="27">
        <v>1</v>
      </c>
      <c r="E2" s="85">
        <f t="shared" ref="E2:E33" si="0">D2</f>
        <v>1</v>
      </c>
      <c r="F2" s="86" t="s">
        <v>146</v>
      </c>
      <c r="G2" s="87"/>
      <c r="H2" s="85" t="s">
        <v>149</v>
      </c>
      <c r="I2" s="85"/>
      <c r="J2" s="25"/>
      <c r="K2" s="63">
        <f>D2</f>
        <v>1</v>
      </c>
      <c r="L2" s="27">
        <v>271871229</v>
      </c>
      <c r="M2" s="28">
        <v>27425</v>
      </c>
      <c r="N2" s="27" t="s">
        <v>228</v>
      </c>
      <c r="O2" s="64">
        <v>40360</v>
      </c>
      <c r="P2" s="24"/>
      <c r="Q2" s="24"/>
      <c r="R2" s="24"/>
      <c r="S2" s="24"/>
      <c r="T2" s="24"/>
      <c r="U2" s="24"/>
      <c r="V2" s="24"/>
    </row>
    <row r="3" spans="1:22" x14ac:dyDescent="0.3">
      <c r="A3" s="24" t="s">
        <v>486</v>
      </c>
      <c r="B3" s="63" t="e">
        <f>VLOOKUP(F3,NhanSuMoi!#REF!,1,0)</f>
        <v>#REF!</v>
      </c>
      <c r="C3" s="24">
        <v>2012</v>
      </c>
      <c r="D3" s="27">
        <v>2</v>
      </c>
      <c r="E3" s="85">
        <f t="shared" si="0"/>
        <v>2</v>
      </c>
      <c r="F3" s="86" t="s">
        <v>148</v>
      </c>
      <c r="G3" s="87"/>
      <c r="H3" s="85" t="s">
        <v>150</v>
      </c>
      <c r="I3" s="85"/>
      <c r="K3" s="63">
        <f t="shared" ref="K3:K52" si="1">D3</f>
        <v>2</v>
      </c>
      <c r="M3" s="28">
        <v>29692</v>
      </c>
      <c r="N3" s="27" t="s">
        <v>228</v>
      </c>
      <c r="O3" s="26">
        <v>41396</v>
      </c>
    </row>
    <row r="4" spans="1:22" x14ac:dyDescent="0.3">
      <c r="C4" s="24">
        <v>2016</v>
      </c>
      <c r="D4" s="27">
        <v>3</v>
      </c>
      <c r="E4" s="85">
        <f t="shared" si="0"/>
        <v>3</v>
      </c>
      <c r="F4" s="86" t="s">
        <v>318</v>
      </c>
      <c r="G4" s="87" t="s">
        <v>517</v>
      </c>
      <c r="H4" s="85" t="s">
        <v>109</v>
      </c>
      <c r="I4" s="85"/>
      <c r="K4" s="63">
        <f t="shared" si="1"/>
        <v>3</v>
      </c>
      <c r="L4" s="27">
        <v>272396568</v>
      </c>
      <c r="M4" s="28">
        <v>34970</v>
      </c>
    </row>
    <row r="5" spans="1:22" x14ac:dyDescent="0.3">
      <c r="C5" s="24">
        <v>2019</v>
      </c>
      <c r="D5" s="27">
        <f t="shared" ref="D5:D23" si="2">D4+1</f>
        <v>4</v>
      </c>
      <c r="E5" s="85">
        <f t="shared" si="0"/>
        <v>4</v>
      </c>
      <c r="F5" s="86" t="s">
        <v>124</v>
      </c>
      <c r="G5" s="87" t="s">
        <v>517</v>
      </c>
      <c r="H5" s="85" t="s">
        <v>109</v>
      </c>
      <c r="I5" s="85"/>
      <c r="K5" s="63">
        <f t="shared" si="1"/>
        <v>4</v>
      </c>
      <c r="L5" s="27">
        <v>271586657</v>
      </c>
      <c r="M5" s="28">
        <v>29221</v>
      </c>
    </row>
    <row r="6" spans="1:22" x14ac:dyDescent="0.3">
      <c r="C6" s="24">
        <v>2019</v>
      </c>
      <c r="D6" s="27">
        <f t="shared" si="2"/>
        <v>5</v>
      </c>
      <c r="E6" s="85">
        <f t="shared" si="0"/>
        <v>5</v>
      </c>
      <c r="F6" s="86" t="s">
        <v>316</v>
      </c>
      <c r="G6" s="87" t="s">
        <v>522</v>
      </c>
      <c r="H6" s="85" t="s">
        <v>109</v>
      </c>
      <c r="I6" s="85"/>
      <c r="K6" s="63">
        <f t="shared" si="1"/>
        <v>5</v>
      </c>
      <c r="L6" s="27">
        <v>271449542</v>
      </c>
      <c r="M6" s="28">
        <v>30027</v>
      </c>
    </row>
    <row r="7" spans="1:22" x14ac:dyDescent="0.3">
      <c r="C7" s="24">
        <v>2019</v>
      </c>
      <c r="D7" s="27">
        <f t="shared" si="2"/>
        <v>6</v>
      </c>
      <c r="E7" s="85">
        <f t="shared" si="0"/>
        <v>6</v>
      </c>
      <c r="F7" s="86" t="s">
        <v>118</v>
      </c>
      <c r="G7" s="87" t="s">
        <v>517</v>
      </c>
      <c r="H7" s="85" t="s">
        <v>109</v>
      </c>
      <c r="I7" s="85"/>
      <c r="K7" s="63">
        <f t="shared" si="1"/>
        <v>6</v>
      </c>
      <c r="L7" s="27">
        <v>271728653</v>
      </c>
      <c r="M7" s="28">
        <v>31088</v>
      </c>
    </row>
    <row r="8" spans="1:22" x14ac:dyDescent="0.3">
      <c r="C8" s="24">
        <v>2019</v>
      </c>
      <c r="D8" s="27">
        <f t="shared" si="2"/>
        <v>7</v>
      </c>
      <c r="E8" s="85">
        <f t="shared" si="0"/>
        <v>7</v>
      </c>
      <c r="F8" s="86" t="s">
        <v>514</v>
      </c>
      <c r="G8" s="87" t="s">
        <v>517</v>
      </c>
      <c r="H8" s="85" t="s">
        <v>109</v>
      </c>
      <c r="I8" s="85"/>
      <c r="K8" s="63">
        <f t="shared" si="1"/>
        <v>7</v>
      </c>
      <c r="L8" s="27">
        <v>272556764</v>
      </c>
      <c r="M8" s="28">
        <v>34976</v>
      </c>
    </row>
    <row r="9" spans="1:22" x14ac:dyDescent="0.3">
      <c r="C9" s="24">
        <v>2019</v>
      </c>
      <c r="D9" s="27">
        <f t="shared" si="2"/>
        <v>8</v>
      </c>
      <c r="E9" s="85">
        <f t="shared" si="0"/>
        <v>8</v>
      </c>
      <c r="F9" s="86" t="s">
        <v>519</v>
      </c>
      <c r="G9" s="87" t="s">
        <v>517</v>
      </c>
      <c r="H9" s="85" t="s">
        <v>109</v>
      </c>
      <c r="I9" s="85"/>
      <c r="K9" s="63">
        <f t="shared" si="1"/>
        <v>8</v>
      </c>
      <c r="L9" s="27">
        <v>272352958</v>
      </c>
      <c r="M9" s="28">
        <v>34281</v>
      </c>
    </row>
    <row r="10" spans="1:22" x14ac:dyDescent="0.3">
      <c r="C10" s="24">
        <v>2019</v>
      </c>
      <c r="D10" s="27">
        <f t="shared" si="2"/>
        <v>9</v>
      </c>
      <c r="E10" s="85">
        <f t="shared" si="0"/>
        <v>9</v>
      </c>
      <c r="F10" s="86" t="s">
        <v>520</v>
      </c>
      <c r="G10" s="87" t="s">
        <v>517</v>
      </c>
      <c r="H10" s="85" t="s">
        <v>109</v>
      </c>
      <c r="I10" s="85"/>
      <c r="K10" s="63">
        <f t="shared" si="1"/>
        <v>9</v>
      </c>
      <c r="L10" s="27">
        <v>272556713</v>
      </c>
      <c r="M10" s="28">
        <v>35884</v>
      </c>
    </row>
    <row r="11" spans="1:22" x14ac:dyDescent="0.3">
      <c r="C11" s="24">
        <v>2019</v>
      </c>
      <c r="D11" s="27">
        <f t="shared" si="2"/>
        <v>10</v>
      </c>
      <c r="E11" s="85">
        <f t="shared" si="0"/>
        <v>10</v>
      </c>
      <c r="F11" s="86" t="s">
        <v>521</v>
      </c>
      <c r="G11" s="87" t="s">
        <v>522</v>
      </c>
      <c r="H11" s="85" t="s">
        <v>109</v>
      </c>
      <c r="I11" s="85"/>
      <c r="K11" s="63">
        <f t="shared" si="1"/>
        <v>10</v>
      </c>
      <c r="L11" s="27">
        <v>271315765</v>
      </c>
      <c r="M11" s="28">
        <v>29205</v>
      </c>
    </row>
    <row r="12" spans="1:22" x14ac:dyDescent="0.3">
      <c r="C12" s="24">
        <v>2019</v>
      </c>
      <c r="D12" s="27">
        <f t="shared" si="2"/>
        <v>11</v>
      </c>
      <c r="E12" s="85">
        <f t="shared" si="0"/>
        <v>11</v>
      </c>
      <c r="F12" s="86" t="s">
        <v>524</v>
      </c>
      <c r="G12" s="87" t="s">
        <v>517</v>
      </c>
      <c r="H12" s="85" t="s">
        <v>109</v>
      </c>
      <c r="I12" s="85"/>
      <c r="K12" s="63">
        <f t="shared" si="1"/>
        <v>11</v>
      </c>
      <c r="L12" s="27">
        <v>272732396</v>
      </c>
      <c r="M12" s="28">
        <v>36804</v>
      </c>
    </row>
    <row r="13" spans="1:22" x14ac:dyDescent="0.3">
      <c r="C13" s="24">
        <v>2019</v>
      </c>
      <c r="D13" s="27">
        <f t="shared" si="2"/>
        <v>12</v>
      </c>
      <c r="E13" s="85">
        <f t="shared" si="0"/>
        <v>12</v>
      </c>
      <c r="F13" s="86" t="s">
        <v>525</v>
      </c>
      <c r="G13" s="87" t="s">
        <v>523</v>
      </c>
      <c r="H13" s="85" t="s">
        <v>109</v>
      </c>
      <c r="I13" s="85"/>
      <c r="K13" s="63">
        <f t="shared" si="1"/>
        <v>12</v>
      </c>
      <c r="L13" s="27">
        <v>75200000515</v>
      </c>
      <c r="M13" s="28">
        <v>36767</v>
      </c>
    </row>
    <row r="14" spans="1:22" x14ac:dyDescent="0.3">
      <c r="C14" s="24">
        <v>2019</v>
      </c>
      <c r="D14" s="27">
        <f t="shared" si="2"/>
        <v>13</v>
      </c>
      <c r="E14" s="85">
        <f t="shared" si="0"/>
        <v>13</v>
      </c>
      <c r="F14" s="86" t="s">
        <v>536</v>
      </c>
      <c r="G14" s="87" t="s">
        <v>517</v>
      </c>
      <c r="H14" s="85" t="s">
        <v>109</v>
      </c>
      <c r="I14" s="85"/>
      <c r="K14" s="63">
        <f t="shared" si="1"/>
        <v>13</v>
      </c>
      <c r="L14" s="27">
        <v>272653927</v>
      </c>
      <c r="M14" s="28">
        <v>35555</v>
      </c>
    </row>
    <row r="15" spans="1:22" x14ac:dyDescent="0.3">
      <c r="C15" s="24">
        <v>2019</v>
      </c>
      <c r="D15" s="27">
        <f t="shared" si="2"/>
        <v>14</v>
      </c>
      <c r="E15" s="85">
        <f t="shared" si="0"/>
        <v>14</v>
      </c>
      <c r="F15" s="86" t="s">
        <v>526</v>
      </c>
      <c r="G15" s="87" t="s">
        <v>517</v>
      </c>
      <c r="H15" s="85" t="s">
        <v>109</v>
      </c>
      <c r="I15" s="85"/>
      <c r="K15" s="63">
        <f t="shared" si="1"/>
        <v>14</v>
      </c>
      <c r="L15" s="27">
        <v>272696072</v>
      </c>
      <c r="M15" s="28">
        <v>36242</v>
      </c>
    </row>
    <row r="16" spans="1:22" x14ac:dyDescent="0.3">
      <c r="C16" s="24">
        <v>2019</v>
      </c>
      <c r="D16" s="27">
        <f t="shared" si="2"/>
        <v>15</v>
      </c>
      <c r="E16" s="85">
        <f t="shared" si="0"/>
        <v>15</v>
      </c>
      <c r="F16" s="86" t="s">
        <v>528</v>
      </c>
      <c r="G16" s="87" t="s">
        <v>517</v>
      </c>
      <c r="H16" s="85" t="s">
        <v>109</v>
      </c>
      <c r="I16" s="85"/>
      <c r="K16" s="63">
        <f t="shared" si="1"/>
        <v>15</v>
      </c>
      <c r="L16" s="27">
        <v>272397442</v>
      </c>
      <c r="M16" s="28">
        <v>34041</v>
      </c>
    </row>
    <row r="17" spans="2:22" x14ac:dyDescent="0.3">
      <c r="C17" s="24">
        <v>2019</v>
      </c>
      <c r="D17" s="27">
        <f t="shared" si="2"/>
        <v>16</v>
      </c>
      <c r="E17" s="85">
        <f t="shared" si="0"/>
        <v>16</v>
      </c>
      <c r="F17" s="86" t="s">
        <v>529</v>
      </c>
      <c r="G17" s="87" t="s">
        <v>517</v>
      </c>
      <c r="H17" s="85" t="s">
        <v>109</v>
      </c>
      <c r="I17" s="85"/>
      <c r="K17" s="63">
        <f t="shared" si="1"/>
        <v>16</v>
      </c>
      <c r="L17" s="27">
        <v>272423855</v>
      </c>
      <c r="M17" s="28">
        <v>34974</v>
      </c>
    </row>
    <row r="18" spans="2:22" x14ac:dyDescent="0.3">
      <c r="C18" s="24">
        <v>2019</v>
      </c>
      <c r="D18" s="27">
        <f t="shared" si="2"/>
        <v>17</v>
      </c>
      <c r="E18" s="85">
        <f t="shared" si="0"/>
        <v>17</v>
      </c>
      <c r="F18" s="86" t="s">
        <v>530</v>
      </c>
      <c r="G18" s="87" t="s">
        <v>517</v>
      </c>
      <c r="H18" s="85" t="s">
        <v>109</v>
      </c>
      <c r="I18" s="85"/>
      <c r="K18" s="63">
        <f t="shared" si="1"/>
        <v>17</v>
      </c>
      <c r="L18" s="27">
        <v>272556665</v>
      </c>
      <c r="M18" s="28">
        <v>35580</v>
      </c>
    </row>
    <row r="19" spans="2:22" x14ac:dyDescent="0.3">
      <c r="C19" s="24">
        <v>2019</v>
      </c>
      <c r="D19" s="27">
        <f t="shared" si="2"/>
        <v>18</v>
      </c>
      <c r="E19" s="85">
        <f t="shared" si="0"/>
        <v>18</v>
      </c>
      <c r="F19" s="86" t="s">
        <v>531</v>
      </c>
      <c r="G19" s="87" t="s">
        <v>517</v>
      </c>
      <c r="H19" s="85" t="s">
        <v>109</v>
      </c>
      <c r="I19" s="85"/>
      <c r="K19" s="63">
        <f t="shared" si="1"/>
        <v>18</v>
      </c>
      <c r="L19" s="27">
        <v>271285473</v>
      </c>
      <c r="M19" s="28">
        <v>27567</v>
      </c>
    </row>
    <row r="20" spans="2:22" x14ac:dyDescent="0.3">
      <c r="C20" s="24">
        <v>2019</v>
      </c>
      <c r="D20" s="27">
        <f t="shared" si="2"/>
        <v>19</v>
      </c>
      <c r="E20" s="85">
        <f t="shared" si="0"/>
        <v>19</v>
      </c>
      <c r="F20" s="86" t="s">
        <v>532</v>
      </c>
      <c r="G20" s="87" t="s">
        <v>522</v>
      </c>
      <c r="H20" s="85" t="s">
        <v>109</v>
      </c>
      <c r="I20" s="85"/>
      <c r="K20" s="63">
        <f t="shared" si="1"/>
        <v>19</v>
      </c>
      <c r="L20" s="27">
        <v>212143221</v>
      </c>
      <c r="M20" s="28">
        <v>29696</v>
      </c>
    </row>
    <row r="21" spans="2:22" x14ac:dyDescent="0.3">
      <c r="C21" s="24">
        <v>2019</v>
      </c>
      <c r="D21" s="27">
        <f t="shared" si="2"/>
        <v>20</v>
      </c>
      <c r="E21" s="85">
        <f t="shared" si="0"/>
        <v>20</v>
      </c>
      <c r="F21" s="86" t="s">
        <v>533</v>
      </c>
      <c r="G21" s="87" t="s">
        <v>517</v>
      </c>
      <c r="H21" s="85" t="s">
        <v>109</v>
      </c>
      <c r="I21" s="85"/>
      <c r="K21" s="63">
        <f t="shared" si="1"/>
        <v>20</v>
      </c>
      <c r="L21" s="27">
        <v>271688082</v>
      </c>
      <c r="M21" s="28">
        <v>31416</v>
      </c>
    </row>
    <row r="22" spans="2:22" x14ac:dyDescent="0.3">
      <c r="C22" s="24">
        <v>2019</v>
      </c>
      <c r="D22" s="27">
        <f t="shared" si="2"/>
        <v>21</v>
      </c>
      <c r="E22" s="85">
        <f t="shared" si="0"/>
        <v>21</v>
      </c>
      <c r="F22" s="86" t="s">
        <v>534</v>
      </c>
      <c r="G22" s="87" t="s">
        <v>517</v>
      </c>
      <c r="H22" s="85" t="s">
        <v>109</v>
      </c>
      <c r="I22" s="85"/>
      <c r="K22" s="63">
        <f t="shared" si="1"/>
        <v>21</v>
      </c>
      <c r="L22" s="27">
        <v>272960603</v>
      </c>
      <c r="M22" s="28">
        <v>37008</v>
      </c>
    </row>
    <row r="23" spans="2:22" x14ac:dyDescent="0.3">
      <c r="C23" s="24">
        <v>2019</v>
      </c>
      <c r="D23" s="27">
        <f t="shared" si="2"/>
        <v>22</v>
      </c>
      <c r="E23" s="85">
        <f t="shared" si="0"/>
        <v>22</v>
      </c>
      <c r="F23" s="86" t="s">
        <v>535</v>
      </c>
      <c r="G23" s="87" t="s">
        <v>517</v>
      </c>
      <c r="H23" s="85" t="s">
        <v>109</v>
      </c>
      <c r="I23" s="85"/>
      <c r="K23" s="63">
        <f t="shared" si="1"/>
        <v>22</v>
      </c>
      <c r="L23" s="27">
        <v>272282903</v>
      </c>
      <c r="M23" s="28">
        <v>33816</v>
      </c>
    </row>
    <row r="24" spans="2:22" x14ac:dyDescent="0.3">
      <c r="E24" s="85">
        <f t="shared" si="0"/>
        <v>0</v>
      </c>
      <c r="F24" s="86" t="s">
        <v>136</v>
      </c>
      <c r="G24" s="87">
        <v>44016</v>
      </c>
      <c r="H24" s="85" t="s">
        <v>109</v>
      </c>
      <c r="I24" s="85"/>
      <c r="J24" s="25" t="s">
        <v>313</v>
      </c>
      <c r="K24" s="63">
        <f t="shared" si="1"/>
        <v>0</v>
      </c>
      <c r="L24" s="27">
        <v>271285313</v>
      </c>
      <c r="M24" s="28">
        <v>28333</v>
      </c>
      <c r="N24" s="27" t="s">
        <v>228</v>
      </c>
      <c r="P24" s="48" t="s">
        <v>319</v>
      </c>
      <c r="Q24" s="48" t="s">
        <v>320</v>
      </c>
      <c r="R24" s="48" t="s">
        <v>321</v>
      </c>
      <c r="S24" s="48">
        <v>2</v>
      </c>
      <c r="T24" s="48" t="s">
        <v>322</v>
      </c>
      <c r="U24" s="48" t="s">
        <v>323</v>
      </c>
      <c r="V24" s="48" t="s">
        <v>329</v>
      </c>
    </row>
    <row r="25" spans="2:22" x14ac:dyDescent="0.3">
      <c r="B25" s="63"/>
      <c r="E25" s="85">
        <f t="shared" si="0"/>
        <v>0</v>
      </c>
      <c r="F25" s="86" t="s">
        <v>129</v>
      </c>
      <c r="G25" s="87">
        <v>44016</v>
      </c>
      <c r="H25" s="85" t="s">
        <v>109</v>
      </c>
      <c r="I25" s="85"/>
      <c r="J25" s="25" t="s">
        <v>313</v>
      </c>
      <c r="K25" s="63">
        <f t="shared" si="1"/>
        <v>0</v>
      </c>
      <c r="L25" s="27">
        <v>271298968</v>
      </c>
      <c r="M25" s="28">
        <v>28235</v>
      </c>
      <c r="N25" s="27" t="s">
        <v>228</v>
      </c>
      <c r="O25" s="26">
        <v>43103</v>
      </c>
    </row>
    <row r="26" spans="2:22" x14ac:dyDescent="0.3">
      <c r="E26" s="85">
        <f t="shared" si="0"/>
        <v>0</v>
      </c>
      <c r="F26" s="86" t="s">
        <v>496</v>
      </c>
      <c r="G26" s="87"/>
      <c r="H26" s="85"/>
      <c r="I26" s="85"/>
      <c r="K26" s="63">
        <f t="shared" si="1"/>
        <v>0</v>
      </c>
    </row>
    <row r="27" spans="2:22" x14ac:dyDescent="0.3">
      <c r="E27" s="85">
        <f t="shared" si="0"/>
        <v>0</v>
      </c>
      <c r="F27" s="86" t="s">
        <v>152</v>
      </c>
      <c r="G27" s="87">
        <v>44015</v>
      </c>
      <c r="H27" s="85" t="s">
        <v>109</v>
      </c>
      <c r="I27" s="85"/>
      <c r="K27" s="63">
        <f t="shared" si="1"/>
        <v>0</v>
      </c>
      <c r="O27" s="26">
        <v>43103</v>
      </c>
    </row>
    <row r="28" spans="2:22" x14ac:dyDescent="0.3">
      <c r="E28" s="85">
        <f t="shared" si="0"/>
        <v>0</v>
      </c>
      <c r="F28" s="86" t="s">
        <v>117</v>
      </c>
      <c r="G28" s="87">
        <v>44016</v>
      </c>
      <c r="H28" s="85" t="s">
        <v>109</v>
      </c>
      <c r="I28" s="85"/>
      <c r="K28" s="63">
        <f t="shared" si="1"/>
        <v>0</v>
      </c>
    </row>
    <row r="29" spans="2:22" x14ac:dyDescent="0.3">
      <c r="E29" s="85">
        <f t="shared" si="0"/>
        <v>0</v>
      </c>
      <c r="F29" s="86" t="s">
        <v>493</v>
      </c>
      <c r="G29" s="87"/>
      <c r="H29" s="85"/>
      <c r="I29" s="85"/>
      <c r="K29" s="63">
        <f t="shared" si="1"/>
        <v>0</v>
      </c>
    </row>
    <row r="30" spans="2:22" x14ac:dyDescent="0.3">
      <c r="E30" s="85">
        <f t="shared" si="0"/>
        <v>0</v>
      </c>
      <c r="F30" s="86" t="s">
        <v>497</v>
      </c>
      <c r="G30" s="87"/>
      <c r="H30" s="85"/>
      <c r="I30" s="85"/>
      <c r="K30" s="63">
        <f t="shared" si="1"/>
        <v>0</v>
      </c>
    </row>
    <row r="31" spans="2:22" x14ac:dyDescent="0.3">
      <c r="E31" s="85">
        <f t="shared" si="0"/>
        <v>0</v>
      </c>
      <c r="F31" s="86" t="s">
        <v>498</v>
      </c>
      <c r="G31" s="87">
        <v>44015</v>
      </c>
      <c r="H31" s="85" t="s">
        <v>109</v>
      </c>
      <c r="I31" s="85"/>
      <c r="K31" s="63">
        <f t="shared" si="1"/>
        <v>0</v>
      </c>
    </row>
    <row r="32" spans="2:22" x14ac:dyDescent="0.3">
      <c r="B32" s="63"/>
      <c r="E32" s="85">
        <f t="shared" si="0"/>
        <v>0</v>
      </c>
      <c r="F32" s="86" t="s">
        <v>317</v>
      </c>
      <c r="G32" s="87">
        <v>44015</v>
      </c>
      <c r="H32" s="85" t="s">
        <v>109</v>
      </c>
      <c r="I32" s="85" t="s">
        <v>127</v>
      </c>
      <c r="J32" s="25" t="s">
        <v>315</v>
      </c>
      <c r="K32" s="63">
        <f t="shared" si="1"/>
        <v>0</v>
      </c>
      <c r="L32" s="27">
        <v>271294536</v>
      </c>
      <c r="M32" s="65">
        <v>29587</v>
      </c>
    </row>
    <row r="33" spans="2:15" x14ac:dyDescent="0.3">
      <c r="E33" s="85">
        <f t="shared" si="0"/>
        <v>0</v>
      </c>
      <c r="F33" s="86" t="s">
        <v>151</v>
      </c>
      <c r="G33" s="87">
        <v>44015</v>
      </c>
      <c r="H33" s="85" t="s">
        <v>109</v>
      </c>
      <c r="I33" s="85"/>
      <c r="K33" s="63">
        <f t="shared" si="1"/>
        <v>0</v>
      </c>
      <c r="O33" s="26">
        <v>43103</v>
      </c>
    </row>
    <row r="34" spans="2:15" x14ac:dyDescent="0.3">
      <c r="B34" s="63"/>
      <c r="E34" s="85">
        <f t="shared" ref="E34:E52" si="3">D34</f>
        <v>0</v>
      </c>
      <c r="F34" s="86" t="s">
        <v>314</v>
      </c>
      <c r="G34" s="87">
        <v>44015</v>
      </c>
      <c r="H34" s="85" t="s">
        <v>109</v>
      </c>
      <c r="I34" s="85" t="s">
        <v>127</v>
      </c>
      <c r="J34" s="25" t="s">
        <v>315</v>
      </c>
      <c r="K34" s="63">
        <f t="shared" si="1"/>
        <v>0</v>
      </c>
      <c r="L34" s="27">
        <v>271380486</v>
      </c>
      <c r="M34" s="28">
        <v>30730</v>
      </c>
    </row>
    <row r="35" spans="2:15" x14ac:dyDescent="0.3">
      <c r="E35" s="85">
        <f t="shared" si="3"/>
        <v>0</v>
      </c>
      <c r="F35" s="86" t="s">
        <v>494</v>
      </c>
      <c r="G35" s="87"/>
      <c r="H35" s="85"/>
      <c r="I35" s="85"/>
      <c r="K35" s="63">
        <f t="shared" si="1"/>
        <v>0</v>
      </c>
    </row>
    <row r="36" spans="2:15" x14ac:dyDescent="0.3">
      <c r="E36" s="85">
        <f t="shared" si="3"/>
        <v>0</v>
      </c>
      <c r="F36" s="86" t="s">
        <v>495</v>
      </c>
      <c r="G36" s="87"/>
      <c r="H36" s="85"/>
      <c r="I36" s="85"/>
      <c r="K36" s="63">
        <f t="shared" si="1"/>
        <v>0</v>
      </c>
    </row>
    <row r="37" spans="2:15" x14ac:dyDescent="0.3">
      <c r="B37" s="63"/>
      <c r="E37" s="85">
        <f t="shared" si="3"/>
        <v>0</v>
      </c>
      <c r="F37" s="86" t="s">
        <v>115</v>
      </c>
      <c r="G37" s="87">
        <v>44017</v>
      </c>
      <c r="H37" s="85" t="s">
        <v>109</v>
      </c>
      <c r="I37" s="85" t="s">
        <v>127</v>
      </c>
      <c r="J37" s="25" t="s">
        <v>312</v>
      </c>
      <c r="K37" s="63">
        <f t="shared" si="1"/>
        <v>0</v>
      </c>
      <c r="L37" s="27" t="s">
        <v>134</v>
      </c>
      <c r="M37" s="27" t="s">
        <v>142</v>
      </c>
      <c r="N37" s="27" t="s">
        <v>228</v>
      </c>
    </row>
    <row r="38" spans="2:15" x14ac:dyDescent="0.3">
      <c r="B38" s="63"/>
      <c r="E38" s="85">
        <f t="shared" si="3"/>
        <v>0</v>
      </c>
      <c r="F38" s="86" t="s">
        <v>110</v>
      </c>
      <c r="G38" s="87">
        <v>44018</v>
      </c>
      <c r="H38" s="85" t="s">
        <v>109</v>
      </c>
      <c r="I38" s="85"/>
      <c r="J38" s="25" t="s">
        <v>312</v>
      </c>
      <c r="K38" s="63">
        <f t="shared" si="1"/>
        <v>0</v>
      </c>
      <c r="L38" s="27" t="s">
        <v>130</v>
      </c>
      <c r="M38" s="27" t="s">
        <v>138</v>
      </c>
      <c r="N38" s="27" t="s">
        <v>228</v>
      </c>
    </row>
    <row r="39" spans="2:15" x14ac:dyDescent="0.3">
      <c r="E39" s="85">
        <f t="shared" si="3"/>
        <v>0</v>
      </c>
      <c r="F39" s="86" t="s">
        <v>122</v>
      </c>
      <c r="G39" s="87">
        <v>44015</v>
      </c>
      <c r="H39" s="85" t="s">
        <v>109</v>
      </c>
      <c r="I39" s="85"/>
      <c r="K39" s="63">
        <f t="shared" si="1"/>
        <v>0</v>
      </c>
    </row>
    <row r="40" spans="2:15" x14ac:dyDescent="0.3">
      <c r="E40" s="85">
        <f t="shared" si="3"/>
        <v>0</v>
      </c>
      <c r="F40" s="86" t="s">
        <v>120</v>
      </c>
      <c r="G40" s="87">
        <v>44015</v>
      </c>
      <c r="H40" s="85" t="s">
        <v>109</v>
      </c>
      <c r="I40" s="85"/>
      <c r="K40" s="63">
        <f t="shared" si="1"/>
        <v>0</v>
      </c>
    </row>
    <row r="41" spans="2:15" x14ac:dyDescent="0.3">
      <c r="E41" s="85">
        <f t="shared" si="3"/>
        <v>0</v>
      </c>
      <c r="F41" s="86" t="s">
        <v>121</v>
      </c>
      <c r="G41" s="87">
        <v>44015</v>
      </c>
      <c r="H41" s="85" t="s">
        <v>109</v>
      </c>
      <c r="I41" s="85"/>
      <c r="K41" s="63">
        <f t="shared" si="1"/>
        <v>0</v>
      </c>
    </row>
    <row r="42" spans="2:15" x14ac:dyDescent="0.3">
      <c r="E42" s="85">
        <f t="shared" si="3"/>
        <v>0</v>
      </c>
      <c r="F42" s="86" t="s">
        <v>123</v>
      </c>
      <c r="G42" s="87">
        <v>44015</v>
      </c>
      <c r="H42" s="85" t="s">
        <v>109</v>
      </c>
      <c r="I42" s="85"/>
      <c r="K42" s="63">
        <f t="shared" si="1"/>
        <v>0</v>
      </c>
    </row>
    <row r="43" spans="2:15" x14ac:dyDescent="0.3">
      <c r="B43" s="63"/>
      <c r="E43" s="85">
        <f t="shared" si="3"/>
        <v>0</v>
      </c>
      <c r="F43" s="86" t="s">
        <v>116</v>
      </c>
      <c r="G43" s="87">
        <v>44016</v>
      </c>
      <c r="H43" s="85" t="s">
        <v>109</v>
      </c>
      <c r="I43" s="85"/>
      <c r="J43" s="25" t="s">
        <v>312</v>
      </c>
      <c r="K43" s="63">
        <f t="shared" si="1"/>
        <v>0</v>
      </c>
      <c r="L43" s="27" t="s">
        <v>135</v>
      </c>
      <c r="M43" s="27" t="s">
        <v>143</v>
      </c>
      <c r="N43" s="52" t="s">
        <v>229</v>
      </c>
    </row>
    <row r="44" spans="2:15" x14ac:dyDescent="0.3">
      <c r="B44" s="63"/>
      <c r="E44" s="85">
        <f t="shared" si="3"/>
        <v>0</v>
      </c>
      <c r="F44" s="86" t="s">
        <v>114</v>
      </c>
      <c r="G44" s="87">
        <v>44017</v>
      </c>
      <c r="H44" s="85" t="s">
        <v>109</v>
      </c>
      <c r="I44" s="85" t="s">
        <v>127</v>
      </c>
      <c r="J44" s="25" t="s">
        <v>312</v>
      </c>
      <c r="K44" s="63">
        <f t="shared" si="1"/>
        <v>0</v>
      </c>
      <c r="L44" s="27" t="s">
        <v>133</v>
      </c>
      <c r="M44" s="27" t="s">
        <v>141</v>
      </c>
      <c r="N44" s="27" t="s">
        <v>228</v>
      </c>
    </row>
    <row r="45" spans="2:15" x14ac:dyDescent="0.3">
      <c r="B45" s="63"/>
      <c r="E45" s="85">
        <f t="shared" si="3"/>
        <v>0</v>
      </c>
      <c r="F45" s="86" t="s">
        <v>108</v>
      </c>
      <c r="G45" s="87">
        <v>44015</v>
      </c>
      <c r="H45" s="85" t="s">
        <v>109</v>
      </c>
      <c r="I45" s="85" t="s">
        <v>127</v>
      </c>
      <c r="J45" s="25" t="s">
        <v>312</v>
      </c>
      <c r="K45" s="63">
        <f t="shared" si="1"/>
        <v>0</v>
      </c>
      <c r="L45" s="27" t="s">
        <v>384</v>
      </c>
      <c r="M45" s="28">
        <v>28956</v>
      </c>
      <c r="N45" s="27" t="s">
        <v>228</v>
      </c>
    </row>
    <row r="46" spans="2:15" x14ac:dyDescent="0.3">
      <c r="B46" s="63"/>
      <c r="E46" s="85">
        <f t="shared" si="3"/>
        <v>0</v>
      </c>
      <c r="F46" s="86" t="s">
        <v>383</v>
      </c>
      <c r="G46" s="87">
        <v>44016</v>
      </c>
      <c r="H46" s="85" t="s">
        <v>109</v>
      </c>
      <c r="I46" s="85" t="s">
        <v>127</v>
      </c>
      <c r="J46" s="25" t="s">
        <v>312</v>
      </c>
      <c r="K46" s="63">
        <f t="shared" si="1"/>
        <v>0</v>
      </c>
      <c r="L46" s="27" t="s">
        <v>144</v>
      </c>
      <c r="M46" s="28" t="s">
        <v>145</v>
      </c>
      <c r="N46" s="27" t="s">
        <v>228</v>
      </c>
    </row>
    <row r="47" spans="2:15" x14ac:dyDescent="0.3">
      <c r="B47" s="63"/>
      <c r="E47" s="85">
        <f t="shared" si="3"/>
        <v>0</v>
      </c>
      <c r="F47" s="86" t="s">
        <v>113</v>
      </c>
      <c r="G47" s="87">
        <v>44016</v>
      </c>
      <c r="H47" s="85" t="s">
        <v>109</v>
      </c>
      <c r="I47" s="85"/>
      <c r="J47" s="25" t="s">
        <v>312</v>
      </c>
      <c r="K47" s="63">
        <f t="shared" si="1"/>
        <v>0</v>
      </c>
      <c r="L47" s="27" t="s">
        <v>132</v>
      </c>
      <c r="M47" s="27" t="s">
        <v>140</v>
      </c>
      <c r="N47" s="27" t="s">
        <v>228</v>
      </c>
    </row>
    <row r="48" spans="2:15" x14ac:dyDescent="0.3">
      <c r="E48" s="85">
        <f t="shared" si="3"/>
        <v>0</v>
      </c>
      <c r="F48" s="86" t="s">
        <v>125</v>
      </c>
      <c r="G48" s="87">
        <v>44015</v>
      </c>
      <c r="H48" s="85" t="s">
        <v>109</v>
      </c>
      <c r="I48" s="85"/>
      <c r="K48" s="63">
        <f t="shared" si="1"/>
        <v>0</v>
      </c>
    </row>
    <row r="49" spans="2:14" x14ac:dyDescent="0.3">
      <c r="B49" s="63"/>
      <c r="E49" s="85">
        <f t="shared" si="3"/>
        <v>0</v>
      </c>
      <c r="F49" s="86" t="s">
        <v>111</v>
      </c>
      <c r="G49" s="87">
        <v>44016</v>
      </c>
      <c r="H49" s="85" t="s">
        <v>109</v>
      </c>
      <c r="I49" s="85"/>
      <c r="J49" s="25" t="s">
        <v>312</v>
      </c>
      <c r="K49" s="63">
        <f t="shared" si="1"/>
        <v>0</v>
      </c>
      <c r="L49" s="27" t="s">
        <v>131</v>
      </c>
      <c r="M49" s="27" t="s">
        <v>139</v>
      </c>
      <c r="N49" s="27" t="s">
        <v>228</v>
      </c>
    </row>
    <row r="50" spans="2:14" x14ac:dyDescent="0.3">
      <c r="B50" s="63"/>
      <c r="E50" s="85">
        <f t="shared" si="3"/>
        <v>0</v>
      </c>
      <c r="F50" s="86" t="s">
        <v>112</v>
      </c>
      <c r="G50" s="87">
        <v>44017</v>
      </c>
      <c r="H50" s="85" t="s">
        <v>109</v>
      </c>
      <c r="I50" s="85" t="s">
        <v>127</v>
      </c>
      <c r="J50" s="25" t="s">
        <v>312</v>
      </c>
      <c r="K50" s="63">
        <f t="shared" si="1"/>
        <v>0</v>
      </c>
      <c r="L50" s="27">
        <v>271235673</v>
      </c>
      <c r="M50" s="28">
        <v>26845</v>
      </c>
      <c r="N50" s="27" t="s">
        <v>228</v>
      </c>
    </row>
    <row r="51" spans="2:14" x14ac:dyDescent="0.3">
      <c r="E51" s="85">
        <f t="shared" si="3"/>
        <v>0</v>
      </c>
      <c r="F51" s="86" t="s">
        <v>119</v>
      </c>
      <c r="G51" s="87">
        <v>44015</v>
      </c>
      <c r="H51" s="85" t="s">
        <v>109</v>
      </c>
      <c r="I51" s="85"/>
      <c r="K51" s="63">
        <f t="shared" si="1"/>
        <v>0</v>
      </c>
    </row>
    <row r="52" spans="2:14" x14ac:dyDescent="0.3">
      <c r="E52" s="85">
        <f t="shared" si="3"/>
        <v>0</v>
      </c>
      <c r="F52" s="86" t="s">
        <v>126</v>
      </c>
      <c r="G52" s="87">
        <v>44015</v>
      </c>
      <c r="H52" s="85" t="s">
        <v>109</v>
      </c>
      <c r="I52" s="85"/>
      <c r="K52" s="63">
        <f t="shared" si="1"/>
        <v>0</v>
      </c>
    </row>
    <row r="60" spans="2:14" x14ac:dyDescent="0.3">
      <c r="B60" s="24">
        <f>VLOOKUP(C60,F:K,6,0)</f>
        <v>3</v>
      </c>
      <c r="C60" s="24" t="s">
        <v>318</v>
      </c>
    </row>
    <row r="61" spans="2:14" x14ac:dyDescent="0.3">
      <c r="B61" s="24">
        <f t="shared" ref="B61:B79" si="4">VLOOKUP(C61,F:K,6,0)</f>
        <v>4</v>
      </c>
      <c r="C61" s="24" t="s">
        <v>124</v>
      </c>
    </row>
    <row r="62" spans="2:14" x14ac:dyDescent="0.3">
      <c r="B62" s="24">
        <f t="shared" si="4"/>
        <v>5</v>
      </c>
      <c r="C62" s="24" t="s">
        <v>316</v>
      </c>
    </row>
    <row r="63" spans="2:14" x14ac:dyDescent="0.3">
      <c r="B63" s="24">
        <f t="shared" si="4"/>
        <v>19</v>
      </c>
      <c r="C63" s="24" t="s">
        <v>532</v>
      </c>
    </row>
    <row r="64" spans="2:14" x14ac:dyDescent="0.3">
      <c r="B64" s="24">
        <f t="shared" si="4"/>
        <v>14</v>
      </c>
      <c r="C64" s="24" t="s">
        <v>526</v>
      </c>
    </row>
    <row r="65" spans="2:3" x14ac:dyDescent="0.3">
      <c r="B65" s="24">
        <f t="shared" si="4"/>
        <v>22</v>
      </c>
      <c r="C65" s="24" t="s">
        <v>535</v>
      </c>
    </row>
    <row r="66" spans="2:3" x14ac:dyDescent="0.3">
      <c r="B66" s="24">
        <f t="shared" si="4"/>
        <v>17</v>
      </c>
      <c r="C66" s="24" t="s">
        <v>530</v>
      </c>
    </row>
    <row r="67" spans="2:3" x14ac:dyDescent="0.3">
      <c r="B67" s="24">
        <f t="shared" si="4"/>
        <v>6</v>
      </c>
      <c r="C67" s="24" t="s">
        <v>118</v>
      </c>
    </row>
    <row r="68" spans="2:3" x14ac:dyDescent="0.3">
      <c r="B68" s="24">
        <f t="shared" si="4"/>
        <v>18</v>
      </c>
      <c r="C68" s="24" t="s">
        <v>531</v>
      </c>
    </row>
    <row r="69" spans="2:3" x14ac:dyDescent="0.3">
      <c r="B69" s="24">
        <f t="shared" si="4"/>
        <v>12</v>
      </c>
      <c r="C69" s="24" t="s">
        <v>525</v>
      </c>
    </row>
    <row r="70" spans="2:3" x14ac:dyDescent="0.3">
      <c r="B70" s="24">
        <f t="shared" si="4"/>
        <v>11</v>
      </c>
      <c r="C70" s="24" t="s">
        <v>524</v>
      </c>
    </row>
    <row r="71" spans="2:3" x14ac:dyDescent="0.3">
      <c r="B71" s="24">
        <f t="shared" si="4"/>
        <v>10</v>
      </c>
      <c r="C71" s="24" t="s">
        <v>521</v>
      </c>
    </row>
    <row r="72" spans="2:3" x14ac:dyDescent="0.3">
      <c r="B72" s="24">
        <f t="shared" si="4"/>
        <v>9</v>
      </c>
      <c r="C72" s="24" t="s">
        <v>520</v>
      </c>
    </row>
    <row r="73" spans="2:3" x14ac:dyDescent="0.3">
      <c r="B73" s="24">
        <f t="shared" si="4"/>
        <v>21</v>
      </c>
      <c r="C73" s="24" t="s">
        <v>534</v>
      </c>
    </row>
    <row r="74" spans="2:3" x14ac:dyDescent="0.3">
      <c r="B74" s="24">
        <f t="shared" si="4"/>
        <v>20</v>
      </c>
      <c r="C74" s="24" t="s">
        <v>533</v>
      </c>
    </row>
    <row r="75" spans="2:3" x14ac:dyDescent="0.3">
      <c r="B75" s="24">
        <f t="shared" si="4"/>
        <v>15</v>
      </c>
      <c r="C75" s="24" t="s">
        <v>528</v>
      </c>
    </row>
    <row r="76" spans="2:3" x14ac:dyDescent="0.3">
      <c r="B76" s="24">
        <f t="shared" si="4"/>
        <v>13</v>
      </c>
      <c r="C76" s="24" t="s">
        <v>536</v>
      </c>
    </row>
    <row r="77" spans="2:3" x14ac:dyDescent="0.3">
      <c r="B77" s="24">
        <f t="shared" si="4"/>
        <v>7</v>
      </c>
      <c r="C77" s="24" t="s">
        <v>514</v>
      </c>
    </row>
    <row r="78" spans="2:3" x14ac:dyDescent="0.3">
      <c r="B78" s="24">
        <f t="shared" si="4"/>
        <v>16</v>
      </c>
      <c r="C78" s="24" t="s">
        <v>529</v>
      </c>
    </row>
    <row r="79" spans="2:3" x14ac:dyDescent="0.3">
      <c r="B79" s="24">
        <f t="shared" si="4"/>
        <v>8</v>
      </c>
      <c r="C79" s="24" t="s">
        <v>519</v>
      </c>
    </row>
  </sheetData>
  <autoFilter ref="A1:V52" xr:uid="{E9DCCB8F-CFAC-4EB2-8904-2DB3BDBDB639}">
    <sortState xmlns:xlrd2="http://schemas.microsoft.com/office/spreadsheetml/2017/richdata2" ref="A2:V52">
      <sortCondition ref="D1:D52"/>
    </sortState>
  </autoFilter>
  <conditionalFormatting sqref="F53:F1048576 F7:F50 F1:F5">
    <cfRule type="duplicateValues" dxfId="3" priority="3"/>
  </conditionalFormatting>
  <conditionalFormatting sqref="F6">
    <cfRule type="duplicateValues" dxfId="2" priority="2"/>
  </conditionalFormatting>
  <conditionalFormatting sqref="F51:F52">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10"/>
  <sheetViews>
    <sheetView topLeftCell="F1" workbookViewId="0">
      <selection activeCell="I33" sqref="I33"/>
    </sheetView>
  </sheetViews>
  <sheetFormatPr defaultRowHeight="14.4" x14ac:dyDescent="0.3"/>
  <cols>
    <col min="3" max="3" width="22.33203125" bestFit="1" customWidth="1"/>
    <col min="5" max="5" width="16.109375" bestFit="1" customWidth="1"/>
    <col min="6" max="6" width="19.5546875" style="68" customWidth="1"/>
    <col min="7" max="7" width="19" bestFit="1" customWidth="1"/>
    <col min="9" max="9" width="50.33203125" bestFit="1" customWidth="1"/>
    <col min="10" max="10" width="16.33203125" bestFit="1" customWidth="1"/>
    <col min="12" max="15" width="16.5546875" customWidth="1"/>
  </cols>
  <sheetData>
    <row r="1" spans="2:15" ht="64.8" x14ac:dyDescent="0.3">
      <c r="B1" s="70" t="s">
        <v>169</v>
      </c>
      <c r="C1" s="70" t="s">
        <v>210</v>
      </c>
      <c r="D1" s="70" t="s">
        <v>211</v>
      </c>
      <c r="E1" s="134" t="s">
        <v>212</v>
      </c>
      <c r="F1" s="134"/>
      <c r="G1" s="70" t="s">
        <v>213</v>
      </c>
      <c r="I1">
        <v>144584</v>
      </c>
      <c r="J1" s="51">
        <v>3500000000</v>
      </c>
    </row>
    <row r="2" spans="2:15" ht="15.6" x14ac:dyDescent="0.3">
      <c r="B2" s="135" t="s">
        <v>214</v>
      </c>
      <c r="C2" s="136" t="s">
        <v>215</v>
      </c>
      <c r="D2" s="71" t="s">
        <v>207</v>
      </c>
      <c r="E2" s="72">
        <v>15088341255</v>
      </c>
      <c r="F2" s="73"/>
      <c r="G2" s="73"/>
      <c r="I2" t="s">
        <v>571</v>
      </c>
      <c r="J2" t="s">
        <v>572</v>
      </c>
    </row>
    <row r="3" spans="2:15" ht="15.6" x14ac:dyDescent="0.3">
      <c r="B3" s="135"/>
      <c r="C3" s="136"/>
      <c r="D3" s="71" t="s">
        <v>208</v>
      </c>
      <c r="E3" s="72">
        <v>12207349547</v>
      </c>
      <c r="F3" s="73"/>
      <c r="G3" s="73"/>
      <c r="I3" t="s">
        <v>576</v>
      </c>
      <c r="J3" s="132" t="s">
        <v>574</v>
      </c>
    </row>
    <row r="4" spans="2:15" ht="15.6" x14ac:dyDescent="0.3">
      <c r="B4" s="135"/>
      <c r="C4" s="136"/>
      <c r="D4" s="71" t="s">
        <v>209</v>
      </c>
      <c r="E4" s="72">
        <v>24336597873</v>
      </c>
      <c r="F4" s="73"/>
      <c r="I4" t="s">
        <v>577</v>
      </c>
      <c r="J4" s="132" t="s">
        <v>573</v>
      </c>
      <c r="L4" t="s">
        <v>228</v>
      </c>
    </row>
    <row r="5" spans="2:15" ht="15.6" x14ac:dyDescent="0.3">
      <c r="B5" s="74"/>
      <c r="C5" s="74"/>
      <c r="D5" s="75">
        <v>2019</v>
      </c>
      <c r="E5" s="72">
        <v>12985343471</v>
      </c>
      <c r="F5" s="76"/>
      <c r="G5" s="73">
        <f>AVERAGE(E3,E4,E5)</f>
        <v>16509763630.333334</v>
      </c>
      <c r="I5">
        <v>2007</v>
      </c>
      <c r="J5" s="133" t="s">
        <v>575</v>
      </c>
      <c r="L5" t="s">
        <v>578</v>
      </c>
    </row>
    <row r="6" spans="2:15" x14ac:dyDescent="0.3">
      <c r="E6" s="68"/>
      <c r="I6" t="s">
        <v>441</v>
      </c>
    </row>
    <row r="7" spans="2:15" x14ac:dyDescent="0.3">
      <c r="B7" t="s">
        <v>211</v>
      </c>
      <c r="C7" t="s">
        <v>386</v>
      </c>
      <c r="D7" t="s">
        <v>387</v>
      </c>
      <c r="E7" t="s">
        <v>388</v>
      </c>
    </row>
    <row r="8" spans="2:15" ht="62.4" x14ac:dyDescent="0.3">
      <c r="B8">
        <v>2017</v>
      </c>
      <c r="C8" t="s">
        <v>389</v>
      </c>
      <c r="D8" t="s">
        <v>390</v>
      </c>
      <c r="E8" t="s">
        <v>391</v>
      </c>
      <c r="I8" s="62" t="s">
        <v>324</v>
      </c>
      <c r="J8" s="62" t="s">
        <v>325</v>
      </c>
      <c r="K8" s="62" t="s">
        <v>106</v>
      </c>
      <c r="L8" s="62" t="s">
        <v>326</v>
      </c>
      <c r="M8" s="62" t="s">
        <v>327</v>
      </c>
      <c r="N8" s="62" t="s">
        <v>328</v>
      </c>
      <c r="O8" s="62"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A1F66AA-77F0-43F3-B66A-0EE4CF3DF47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21"/>
  <sheetViews>
    <sheetView workbookViewId="0">
      <selection activeCell="I33" sqref="I33"/>
    </sheetView>
  </sheetViews>
  <sheetFormatPr defaultRowHeight="14.4" x14ac:dyDescent="0.3"/>
  <cols>
    <col min="1" max="1" width="18.109375" customWidth="1"/>
    <col min="2" max="2" width="48.33203125" customWidth="1"/>
    <col min="3" max="3" width="16.44140625" hidden="1" customWidth="1"/>
    <col min="4" max="4" width="12.109375" style="96"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6" customFormat="1" ht="28.8" x14ac:dyDescent="0.3">
      <c r="A1" s="94">
        <f>SUMIF(A2:A21,"x",F2:F21)</f>
        <v>6197513796</v>
      </c>
      <c r="B1" s="66" t="s">
        <v>374</v>
      </c>
      <c r="C1" s="66" t="s">
        <v>380</v>
      </c>
      <c r="D1" s="95" t="s">
        <v>375</v>
      </c>
      <c r="E1" s="66" t="s">
        <v>202</v>
      </c>
      <c r="F1" s="66" t="s">
        <v>376</v>
      </c>
      <c r="G1" s="66" t="s">
        <v>381</v>
      </c>
      <c r="H1" s="66" t="s">
        <v>377</v>
      </c>
      <c r="I1" s="66" t="s">
        <v>378</v>
      </c>
      <c r="J1" s="66" t="s">
        <v>379</v>
      </c>
    </row>
    <row r="2" spans="1:10" hidden="1" x14ac:dyDescent="0.3">
      <c r="B2" t="s">
        <v>351</v>
      </c>
      <c r="C2" t="s">
        <v>352</v>
      </c>
      <c r="D2" s="96" t="s">
        <v>353</v>
      </c>
      <c r="E2" s="67" t="s">
        <v>382</v>
      </c>
      <c r="F2">
        <v>1740168722</v>
      </c>
      <c r="G2">
        <v>1640251089</v>
      </c>
      <c r="H2" t="s">
        <v>354</v>
      </c>
      <c r="I2" t="s">
        <v>355</v>
      </c>
      <c r="J2" t="s">
        <v>356</v>
      </c>
    </row>
    <row r="3" spans="1:10" hidden="1" x14ac:dyDescent="0.3">
      <c r="B3" t="s">
        <v>362</v>
      </c>
      <c r="C3" t="s">
        <v>352</v>
      </c>
      <c r="D3" s="96" t="s">
        <v>363</v>
      </c>
      <c r="E3" s="67" t="s">
        <v>382</v>
      </c>
      <c r="F3">
        <v>1179998336</v>
      </c>
      <c r="G3">
        <v>1133019615</v>
      </c>
      <c r="H3" t="s">
        <v>364</v>
      </c>
      <c r="I3" t="s">
        <v>365</v>
      </c>
      <c r="J3" t="s">
        <v>366</v>
      </c>
    </row>
    <row r="4" spans="1:10" hidden="1" x14ac:dyDescent="0.3">
      <c r="B4" t="s">
        <v>367</v>
      </c>
      <c r="C4" t="s">
        <v>352</v>
      </c>
      <c r="D4" s="96" t="s">
        <v>363</v>
      </c>
      <c r="E4" s="67" t="s">
        <v>382</v>
      </c>
      <c r="F4">
        <v>1327002420</v>
      </c>
      <c r="G4">
        <v>1276052117</v>
      </c>
      <c r="H4" t="s">
        <v>364</v>
      </c>
      <c r="I4" t="s">
        <v>368</v>
      </c>
      <c r="J4" t="s">
        <v>369</v>
      </c>
    </row>
    <row r="5" spans="1:10" x14ac:dyDescent="0.3">
      <c r="A5" t="s">
        <v>127</v>
      </c>
      <c r="B5" t="s">
        <v>370</v>
      </c>
      <c r="C5" t="s">
        <v>352</v>
      </c>
      <c r="D5" s="96" t="s">
        <v>358</v>
      </c>
      <c r="E5" s="67" t="s">
        <v>382</v>
      </c>
      <c r="F5">
        <v>1419238697</v>
      </c>
      <c r="G5">
        <v>1374255938</v>
      </c>
      <c r="H5" t="s">
        <v>371</v>
      </c>
      <c r="I5" t="s">
        <v>372</v>
      </c>
      <c r="J5" t="s">
        <v>373</v>
      </c>
    </row>
    <row r="6" spans="1:10" x14ac:dyDescent="0.3">
      <c r="A6" t="s">
        <v>127</v>
      </c>
      <c r="B6" t="s">
        <v>357</v>
      </c>
      <c r="C6" t="s">
        <v>352</v>
      </c>
      <c r="D6" s="96" t="s">
        <v>358</v>
      </c>
      <c r="E6" s="67" t="s">
        <v>382</v>
      </c>
      <c r="F6">
        <v>3160636128</v>
      </c>
      <c r="G6">
        <v>3043578216</v>
      </c>
      <c r="H6" t="s">
        <v>359</v>
      </c>
      <c r="I6" t="s">
        <v>360</v>
      </c>
      <c r="J6" t="s">
        <v>361</v>
      </c>
    </row>
    <row r="7" spans="1:10" x14ac:dyDescent="0.3">
      <c r="A7" t="s">
        <v>127</v>
      </c>
      <c r="B7" t="s">
        <v>537</v>
      </c>
      <c r="D7" s="97">
        <v>42670</v>
      </c>
      <c r="E7" s="67" t="s">
        <v>538</v>
      </c>
      <c r="F7">
        <v>1617638971</v>
      </c>
      <c r="G7">
        <v>1616740713</v>
      </c>
      <c r="H7" s="80">
        <v>42725</v>
      </c>
      <c r="I7" t="s">
        <v>539</v>
      </c>
      <c r="J7" t="s">
        <v>361</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8"/>
    </row>
    <row r="18" spans="4:4" hidden="1" x14ac:dyDescent="0.3">
      <c r="D18" s="98"/>
    </row>
    <row r="19" spans="4:4" hidden="1" x14ac:dyDescent="0.3">
      <c r="D19" s="98"/>
    </row>
    <row r="20" spans="4:4" hidden="1" x14ac:dyDescent="0.3">
      <c r="D20" s="98"/>
    </row>
    <row r="21" spans="4:4" hidden="1" x14ac:dyDescent="0.3">
      <c r="D21" s="98"/>
    </row>
  </sheetData>
  <autoFilter ref="A1:J21" xr:uid="{00000000-0009-0000-0000-000004000000}">
    <filterColumn colId="0">
      <customFilters>
        <customFilter operator="notEqual" val=" "/>
      </custom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D2C1B-51B4-4279-AB54-43A11CA04EA8}">
  <dimension ref="C1:H15"/>
  <sheetViews>
    <sheetView topLeftCell="A7" workbookViewId="0">
      <selection activeCell="F14" sqref="F14"/>
    </sheetView>
  </sheetViews>
  <sheetFormatPr defaultRowHeight="14.4" x14ac:dyDescent="0.3"/>
  <cols>
    <col min="3" max="3" width="3.21875" bestFit="1" customWidth="1"/>
    <col min="4" max="4" width="46.2187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619</v>
      </c>
      <c r="E1" s="1" t="s">
        <v>620</v>
      </c>
    </row>
    <row r="2" spans="3:6" x14ac:dyDescent="0.3">
      <c r="C2">
        <v>1</v>
      </c>
      <c r="D2" t="s">
        <v>621</v>
      </c>
      <c r="E2" s="1" t="s">
        <v>622</v>
      </c>
    </row>
    <row r="3" spans="3:6" x14ac:dyDescent="0.3">
      <c r="C3">
        <v>2</v>
      </c>
      <c r="D3" t="s">
        <v>623</v>
      </c>
      <c r="E3" s="1" t="s">
        <v>624</v>
      </c>
    </row>
    <row r="4" spans="3:6" x14ac:dyDescent="0.3">
      <c r="C4">
        <v>3</v>
      </c>
      <c r="D4" t="s">
        <v>625</v>
      </c>
      <c r="E4" s="1" t="s">
        <v>626</v>
      </c>
    </row>
    <row r="5" spans="3:6" x14ac:dyDescent="0.3">
      <c r="C5">
        <v>4</v>
      </c>
      <c r="D5" t="s">
        <v>627</v>
      </c>
      <c r="E5" s="1" t="s">
        <v>628</v>
      </c>
    </row>
    <row r="6" spans="3:6" x14ac:dyDescent="0.3">
      <c r="C6">
        <v>5</v>
      </c>
      <c r="D6" t="s">
        <v>629</v>
      </c>
      <c r="E6" s="1" t="s">
        <v>630</v>
      </c>
    </row>
    <row r="7" spans="3:6" x14ac:dyDescent="0.3">
      <c r="C7">
        <v>6</v>
      </c>
      <c r="D7" t="s">
        <v>631</v>
      </c>
      <c r="E7" s="1" t="s">
        <v>630</v>
      </c>
    </row>
    <row r="11" spans="3:6" x14ac:dyDescent="0.3">
      <c r="C11" t="s">
        <v>153</v>
      </c>
      <c r="D11" t="s">
        <v>632</v>
      </c>
      <c r="E11" s="1" t="s">
        <v>633</v>
      </c>
      <c r="F11" s="1" t="s">
        <v>635</v>
      </c>
    </row>
    <row r="12" spans="3:6" x14ac:dyDescent="0.3">
      <c r="E12" s="1" t="s">
        <v>634</v>
      </c>
      <c r="F12" s="1" t="s">
        <v>634</v>
      </c>
    </row>
    <row r="13" spans="3:6" ht="129.6" x14ac:dyDescent="0.3">
      <c r="C13">
        <v>1</v>
      </c>
      <c r="D13" t="s">
        <v>636</v>
      </c>
      <c r="E13" s="1" t="s">
        <v>637</v>
      </c>
      <c r="F13" s="1" t="s">
        <v>638</v>
      </c>
    </row>
    <row r="14" spans="3:6" ht="100.8" x14ac:dyDescent="0.3">
      <c r="C14">
        <v>2</v>
      </c>
      <c r="D14" t="s">
        <v>639</v>
      </c>
      <c r="E14" s="1" t="s">
        <v>637</v>
      </c>
      <c r="F14" s="1" t="s">
        <v>640</v>
      </c>
    </row>
    <row r="15" spans="3:6" ht="115.2" x14ac:dyDescent="0.3">
      <c r="C15">
        <v>3</v>
      </c>
      <c r="D15" t="s">
        <v>641</v>
      </c>
      <c r="F15" s="1"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2020-05-05T09:58:08Z</dcterms:modified>
</cp:coreProperties>
</file>