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showObjects="placeholders" filterPrivacy="1" codeName="ThisWorkbook"/>
  <xr:revisionPtr revIDLastSave="0" documentId="13_ncr:1_{CF04B9A8-E7E0-4A48-9437-C617C3BC89F7}" xr6:coauthVersionLast="44" xr6:coauthVersionMax="44" xr10:uidLastSave="{00000000-0000-0000-0000-000000000000}"/>
  <bookViews>
    <workbookView xWindow="-108" yWindow="-108" windowWidth="23256" windowHeight="12576" tabRatio="917" firstSheet="6" activeTab="33"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Hoan cong VL-NC-MTC" sheetId="119" r:id="rId22"/>
    <sheet name="2Mong" sheetId="105" r:id="rId23"/>
    <sheet name="3Tru" sheetId="106" r:id="rId24"/>
    <sheet name="4BT" sheetId="107" r:id="rId25"/>
    <sheet name="5Neo" sheetId="108" r:id="rId26"/>
    <sheet name="6PK" sheetId="109" r:id="rId27"/>
    <sheet name="7day" sheetId="110" r:id="rId28"/>
    <sheet name="8TB" sheetId="111" r:id="rId29"/>
    <sheet name="9TD" sheetId="113" r:id="rId30"/>
    <sheet name="10DN" sheetId="114" r:id="rId31"/>
    <sheet name="NK" sheetId="115" r:id="rId32"/>
    <sheet name="Solieu" sheetId="26" r:id="rId33"/>
    <sheet name="Du thau" sheetId="121" r:id="rId34"/>
    <sheet name="TongHopKL" sheetId="97" r:id="rId35"/>
    <sheet name="NT-VT" sheetId="78" r:id="rId36"/>
    <sheet name="B_CAP" sheetId="79" r:id="rId37"/>
    <sheet name="A_CAP" sheetId="117" r:id="rId38"/>
    <sheet name="CHI TIET GIA DU  THAU" sheetId="120" r:id="rId39"/>
  </sheets>
  <externalReferences>
    <externalReference r:id="rId40"/>
  </externalReferences>
  <definedNames>
    <definedName name="_Builtin155" hidden="1">#N/A</definedName>
    <definedName name="_Fill" localSheetId="38" hidden="1">#REF!</definedName>
    <definedName name="_Fill" hidden="1">#REF!</definedName>
    <definedName name="_xlnm._FilterDatabase" localSheetId="30" hidden="1">'10DN'!$G$6:$G$34</definedName>
    <definedName name="_xlnm._FilterDatabase" localSheetId="22" hidden="1">'2Mong'!$K$3:$K$16</definedName>
    <definedName name="_xlnm._FilterDatabase" localSheetId="23" hidden="1">'3Tru'!$J$3:$J$8</definedName>
    <definedName name="_xlnm._FilterDatabase" localSheetId="24" hidden="1">'4BT'!$J$3:$J$13</definedName>
    <definedName name="_xlnm._FilterDatabase" localSheetId="25" hidden="1">'5Neo'!$I$3:$I$33</definedName>
    <definedName name="_xlnm._FilterDatabase" localSheetId="26" hidden="1">'6PK'!$J$3:$J$85</definedName>
    <definedName name="_xlnm._FilterDatabase" localSheetId="27" hidden="1">'7day'!$I$3:$I$24</definedName>
    <definedName name="_xlnm._FilterDatabase" localSheetId="28" hidden="1">'8TB'!$B$1:$I$26</definedName>
    <definedName name="_xlnm._FilterDatabase" localSheetId="29" hidden="1">'9TD'!$G$8:$G$41</definedName>
    <definedName name="_xlnm._FilterDatabase" localSheetId="37" hidden="1">A_CAP!$A$2:$I$94</definedName>
    <definedName name="_xlnm._FilterDatabase" localSheetId="36" hidden="1">B_CAP!$A$2:$I$94</definedName>
    <definedName name="_xlnm._FilterDatabase" localSheetId="38" hidden="1">'CHI TIET GIA DU  THAU'!$A$7:$J$288</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33" hidden="1">'Du thau'!$A$5:$BL$36</definedName>
    <definedName name="_xlnm._FilterDatabase" localSheetId="21"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1" hidden="1">NK!$D$2:$D$275</definedName>
    <definedName name="_xlnm._FilterDatabase" localSheetId="35"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2" hidden="1">Solieu!$A$126:$A$153</definedName>
    <definedName name="_xlnm._FilterDatabase" localSheetId="34" hidden="1">TongHopKL!$B$1:$O$272</definedName>
    <definedName name="BTLTHTDL" localSheetId="9">'ppht NC'!$R$5:$U$310</definedName>
    <definedName name="BTLTHTHH" localSheetId="9">'ppht NC'!$R$5:$U$312</definedName>
    <definedName name="BuocTK">#REF!</definedName>
    <definedName name="CapCT">#REF!</definedName>
    <definedName name="changht" localSheetId="9">'ppht NC'!$AW$5:$BE$314</definedName>
    <definedName name="changHTDL" localSheetId="9">'ppht NC'!$AW$5:$BE$310</definedName>
    <definedName name="changHTHH" localSheetId="9">'ppht NC'!$AW$5:$BE$312</definedName>
    <definedName name="CP_HMC">#REF!</definedName>
    <definedName name="DonGia">DG!$A:$J</definedName>
    <definedName name="hsdc_CuocVC">'[1]CP Khac cuoc VC'!$C$54</definedName>
    <definedName name="i_BTK">#REF!</definedName>
    <definedName name="i_BTKKhac">#REF!</definedName>
    <definedName name="i_CapCT">#REF!</definedName>
    <definedName name="i_CPC1">#REF!</definedName>
    <definedName name="i_CPC2">#REF!</definedName>
    <definedName name="i_HMC_KXD">#REF!</definedName>
    <definedName name="i_KTQT">#REF!</definedName>
    <definedName name="i_LoaiCT">#REF!</definedName>
    <definedName name="i_VB">#REF!</definedName>
    <definedName name="Li_BCVT">#REF!</definedName>
    <definedName name="Li_Cap">#REF!</definedName>
    <definedName name="Li_HC">#REF!</definedName>
    <definedName name="LI_MTT">#REF!</definedName>
    <definedName name="LoaiCT">#REF!</definedName>
    <definedName name="LoaiCT_75">#REF!</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15">chitiet!$E:$S</definedName>
    <definedName name="_xlnm.Print_Area" localSheetId="14">CT_tram!$D$19:$L$2747</definedName>
    <definedName name="_xlnm.Print_Area" localSheetId="0">DG!$A$1:$D$1177</definedName>
    <definedName name="_xlnm.Print_Area" localSheetId="33">'Du thau'!$D$1:$BH$52</definedName>
    <definedName name="_xlnm.Print_Area" localSheetId="21">'Hoan cong VL-NC-MTC'!$D$1:$K$292</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5">'NT-VT'!$B$1:$N$132</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8">'CHI TIET GIA DU  THAU'!$7:$8</definedName>
    <definedName name="_xlnm.Print_Titles" localSheetId="15">chitiet!$9:$10</definedName>
    <definedName name="_xlnm.Print_Titles" localSheetId="14">CT_tram!$22:$23</definedName>
    <definedName name="_xlnm.Print_Titles" localSheetId="33">'Du thau'!$5:$5</definedName>
    <definedName name="_xlnm.Print_Titles" localSheetId="21">'Hoan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5">'NT-VT'!$4:$5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8" hidden="1">{#N/A,#N/A,FALSE,"Chi tiÆt"}</definedName>
    <definedName name="wrn.chi._.tiÆt." localSheetId="33" hidden="1">{#N/A,#N/A,FALSE,"Chi tiÆt"}</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7" i="78" l="1"/>
  <c r="M8" i="78"/>
  <c r="M9" i="78"/>
  <c r="M10" i="78"/>
  <c r="M11" i="78"/>
  <c r="M12" i="78"/>
  <c r="M13" i="78"/>
  <c r="M14" i="78"/>
  <c r="M15" i="78"/>
  <c r="M16" i="78"/>
  <c r="M17" i="78"/>
  <c r="M18" i="78"/>
  <c r="M19" i="78"/>
  <c r="M20" i="78"/>
  <c r="M21" i="78"/>
  <c r="M22" i="78"/>
  <c r="M23" i="78"/>
  <c r="M24" i="78"/>
  <c r="M25" i="78"/>
  <c r="M26" i="78"/>
  <c r="M27" i="78"/>
  <c r="M28" i="78"/>
  <c r="M29" i="78"/>
  <c r="M30" i="78"/>
  <c r="M31" i="78"/>
  <c r="M32" i="78"/>
  <c r="M33" i="78"/>
  <c r="M34" i="78"/>
  <c r="M35" i="78"/>
  <c r="M36" i="78"/>
  <c r="M37" i="78"/>
  <c r="M38" i="78"/>
  <c r="M39" i="78"/>
  <c r="M40" i="78"/>
  <c r="M41" i="78"/>
  <c r="M42" i="78"/>
  <c r="M43" i="78"/>
  <c r="M44" i="78"/>
  <c r="M45" i="78"/>
  <c r="M46" i="78"/>
  <c r="M47" i="78"/>
  <c r="M48" i="78"/>
  <c r="M49" i="78"/>
  <c r="M50" i="78"/>
  <c r="M51" i="78"/>
  <c r="M52" i="78"/>
  <c r="M53" i="78"/>
  <c r="M54" i="78"/>
  <c r="M55" i="78"/>
  <c r="M56" i="78"/>
  <c r="M57" i="78"/>
  <c r="M58" i="78"/>
  <c r="M59" i="78"/>
  <c r="M60" i="78"/>
  <c r="M61" i="78"/>
  <c r="M62" i="78"/>
  <c r="M63" i="78"/>
  <c r="M64" i="78"/>
  <c r="M65" i="78"/>
  <c r="M66" i="78"/>
  <c r="M67" i="78"/>
  <c r="M68" i="78"/>
  <c r="M69" i="78"/>
  <c r="M70" i="78"/>
  <c r="M71" i="78"/>
  <c r="M72" i="78"/>
  <c r="M73" i="78"/>
  <c r="M74" i="78"/>
  <c r="M75" i="78"/>
  <c r="M76" i="78"/>
  <c r="M77" i="78"/>
  <c r="M78" i="78"/>
  <c r="M79" i="78"/>
  <c r="M80" i="78"/>
  <c r="M81" i="78"/>
  <c r="M82" i="78"/>
  <c r="M83" i="78"/>
  <c r="M84" i="78"/>
  <c r="M85" i="78"/>
  <c r="M86" i="78"/>
  <c r="M87" i="78"/>
  <c r="M88" i="78"/>
  <c r="M89" i="78"/>
  <c r="M90" i="78"/>
  <c r="M91" i="78"/>
  <c r="M92" i="78"/>
  <c r="M93" i="78"/>
  <c r="M94" i="78"/>
  <c r="M95" i="78"/>
  <c r="M96" i="78"/>
  <c r="M97" i="78"/>
  <c r="M98" i="78"/>
  <c r="M99" i="78"/>
  <c r="M100" i="78"/>
  <c r="M101" i="78"/>
  <c r="M102" i="78"/>
  <c r="M103" i="78"/>
  <c r="M104" i="78"/>
  <c r="M105" i="78"/>
  <c r="M106" i="78"/>
  <c r="M107" i="78"/>
  <c r="M108" i="78"/>
  <c r="M109" i="78"/>
  <c r="M110" i="78"/>
  <c r="M111" i="78"/>
  <c r="M112" i="78"/>
  <c r="M113" i="78"/>
  <c r="M114" i="78"/>
  <c r="M115" i="78"/>
  <c r="M116" i="78"/>
  <c r="M117" i="78"/>
  <c r="M118" i="78"/>
  <c r="M119" i="78"/>
  <c r="M120" i="78"/>
  <c r="M121" i="78"/>
  <c r="M122" i="78"/>
  <c r="M123" i="78"/>
  <c r="M124" i="78"/>
  <c r="M125" i="78"/>
  <c r="M126" i="78"/>
  <c r="M127" i="78"/>
  <c r="M6" i="78"/>
  <c r="L7" i="78"/>
  <c r="L8" i="78"/>
  <c r="L9" i="78"/>
  <c r="L10" i="78"/>
  <c r="L11" i="78"/>
  <c r="L12" i="78"/>
  <c r="L13" i="78"/>
  <c r="L14" i="78"/>
  <c r="L15" i="78"/>
  <c r="L16" i="78"/>
  <c r="L17" i="78"/>
  <c r="L18" i="78"/>
  <c r="L19" i="78"/>
  <c r="L20" i="78"/>
  <c r="L21" i="78"/>
  <c r="L22" i="78"/>
  <c r="L23" i="78"/>
  <c r="L24" i="78"/>
  <c r="L25" i="78"/>
  <c r="L26" i="78"/>
  <c r="L27" i="78"/>
  <c r="L28" i="78"/>
  <c r="L29" i="78"/>
  <c r="L30" i="78"/>
  <c r="L31" i="78"/>
  <c r="L32" i="78"/>
  <c r="L33" i="78"/>
  <c r="L34" i="78"/>
  <c r="L35" i="78"/>
  <c r="L36" i="78"/>
  <c r="L37" i="78"/>
  <c r="L38" i="78"/>
  <c r="L39" i="78"/>
  <c r="L40" i="78"/>
  <c r="L41" i="78"/>
  <c r="L42" i="78"/>
  <c r="L43" i="78"/>
  <c r="L44" i="78"/>
  <c r="L45" i="78"/>
  <c r="L46" i="78"/>
  <c r="L47" i="78"/>
  <c r="L48" i="78"/>
  <c r="L49" i="78"/>
  <c r="L50" i="78"/>
  <c r="L51" i="78"/>
  <c r="L52" i="78"/>
  <c r="L53" i="78"/>
  <c r="L54" i="78"/>
  <c r="L55" i="78"/>
  <c r="L56" i="78"/>
  <c r="L57" i="78"/>
  <c r="L58" i="78"/>
  <c r="L59" i="78"/>
  <c r="L60" i="78"/>
  <c r="L61" i="78"/>
  <c r="L62" i="78"/>
  <c r="L63" i="78"/>
  <c r="L64" i="78"/>
  <c r="L65" i="78"/>
  <c r="L66" i="78"/>
  <c r="L67" i="78"/>
  <c r="L68" i="78"/>
  <c r="L69" i="78"/>
  <c r="L70" i="78"/>
  <c r="L71" i="78"/>
  <c r="L72" i="78"/>
  <c r="L73" i="78"/>
  <c r="L74" i="78"/>
  <c r="L75" i="78"/>
  <c r="L76" i="78"/>
  <c r="L77" i="78"/>
  <c r="L78" i="78"/>
  <c r="L79" i="78"/>
  <c r="L80" i="78"/>
  <c r="L81" i="78"/>
  <c r="L82" i="78"/>
  <c r="L83" i="78"/>
  <c r="L84" i="78"/>
  <c r="L85" i="78"/>
  <c r="L86" i="78"/>
  <c r="L87" i="78"/>
  <c r="L88" i="78"/>
  <c r="L89" i="78"/>
  <c r="L90" i="78"/>
  <c r="L91" i="78"/>
  <c r="L92" i="78"/>
  <c r="L93" i="78"/>
  <c r="L94" i="78"/>
  <c r="L95" i="78"/>
  <c r="L96" i="78"/>
  <c r="L97" i="78"/>
  <c r="L98" i="78"/>
  <c r="L99" i="78"/>
  <c r="L100" i="78"/>
  <c r="L101" i="78"/>
  <c r="L102" i="78"/>
  <c r="L103" i="78"/>
  <c r="L104" i="78"/>
  <c r="L105" i="78"/>
  <c r="L106" i="78"/>
  <c r="L107" i="78"/>
  <c r="L108" i="78"/>
  <c r="L109" i="78"/>
  <c r="L110" i="78"/>
  <c r="L111" i="78"/>
  <c r="L112" i="78"/>
  <c r="L113" i="78"/>
  <c r="L114" i="78"/>
  <c r="L115" i="78"/>
  <c r="L116" i="78"/>
  <c r="L117" i="78"/>
  <c r="L118" i="78"/>
  <c r="L119" i="78"/>
  <c r="L120" i="78"/>
  <c r="L121" i="78"/>
  <c r="L122" i="78"/>
  <c r="L123" i="78"/>
  <c r="L124" i="78"/>
  <c r="L125" i="78"/>
  <c r="L126" i="78"/>
  <c r="L127" i="78"/>
  <c r="L6" i="78"/>
  <c r="B3" i="78" l="1"/>
  <c r="B2" i="97" l="1"/>
  <c r="B3" i="97"/>
  <c r="B4" i="97"/>
  <c r="B5" i="97"/>
  <c r="B6" i="97"/>
  <c r="B7" i="97"/>
  <c r="B8" i="97"/>
  <c r="B9" i="97"/>
  <c r="B10" i="97"/>
  <c r="B11" i="97"/>
  <c r="B12" i="97"/>
  <c r="B13" i="97"/>
  <c r="B14" i="97"/>
  <c r="B15" i="97"/>
  <c r="B16" i="97"/>
  <c r="B17" i="97"/>
  <c r="B18" i="97"/>
  <c r="B19" i="97"/>
  <c r="B20" i="97"/>
  <c r="B21" i="97"/>
  <c r="B22" i="97"/>
  <c r="B23" i="97"/>
  <c r="B24" i="97"/>
  <c r="B25" i="97"/>
  <c r="B26" i="97"/>
  <c r="B27" i="97"/>
  <c r="B28" i="97"/>
  <c r="B29" i="97"/>
  <c r="B30" i="97"/>
  <c r="B31" i="97"/>
  <c r="B32" i="97"/>
  <c r="B33" i="97"/>
  <c r="B34" i="97"/>
  <c r="B35" i="97"/>
  <c r="B36" i="97"/>
  <c r="B37" i="97"/>
  <c r="B38" i="97"/>
  <c r="B39" i="97"/>
  <c r="B40" i="97"/>
  <c r="B41" i="97"/>
  <c r="B42" i="97"/>
  <c r="B43" i="97"/>
  <c r="B44" i="97"/>
  <c r="B45" i="97"/>
  <c r="B46" i="97"/>
  <c r="B47" i="97"/>
  <c r="B48" i="97"/>
  <c r="B49" i="97"/>
  <c r="B50" i="97"/>
  <c r="B51" i="97"/>
  <c r="B52" i="97"/>
  <c r="B53" i="97"/>
  <c r="B54" i="97"/>
  <c r="B55" i="97"/>
  <c r="B56" i="97"/>
  <c r="B57" i="97"/>
  <c r="B58" i="97"/>
  <c r="B59" i="97"/>
  <c r="B60" i="97"/>
  <c r="B61" i="97"/>
  <c r="B62" i="97"/>
  <c r="B63" i="97"/>
  <c r="B64" i="97"/>
  <c r="B65" i="97"/>
  <c r="B66" i="97"/>
  <c r="B67" i="97"/>
  <c r="B68" i="97"/>
  <c r="B69" i="97"/>
  <c r="B70" i="97"/>
  <c r="B71" i="97"/>
  <c r="B72" i="97"/>
  <c r="B73" i="97"/>
  <c r="B74" i="97"/>
  <c r="B75" i="97"/>
  <c r="B76" i="97"/>
  <c r="B77" i="97"/>
  <c r="B78" i="97"/>
  <c r="B79" i="97"/>
  <c r="B80" i="97"/>
  <c r="B81" i="97"/>
  <c r="B82" i="97"/>
  <c r="B83" i="97"/>
  <c r="B84" i="97"/>
  <c r="B85" i="97"/>
  <c r="B86" i="97"/>
  <c r="B87" i="97"/>
  <c r="B88" i="97"/>
  <c r="B89" i="97"/>
  <c r="B90" i="97"/>
  <c r="B91" i="97"/>
  <c r="B92" i="97"/>
  <c r="B93" i="97"/>
  <c r="B94" i="97"/>
  <c r="B95" i="97"/>
  <c r="B96" i="97"/>
  <c r="B97" i="97"/>
  <c r="B98" i="97"/>
  <c r="B99" i="97"/>
  <c r="B100" i="97"/>
  <c r="B101" i="97"/>
  <c r="B102" i="97"/>
  <c r="B103" i="97"/>
  <c r="B104" i="97"/>
  <c r="B105" i="97"/>
  <c r="B106" i="97"/>
  <c r="B107" i="97"/>
  <c r="B108" i="97"/>
  <c r="B109" i="97"/>
  <c r="B110" i="97"/>
  <c r="B111" i="97"/>
  <c r="B112" i="97"/>
  <c r="B113" i="97"/>
  <c r="B114" i="97"/>
  <c r="B115" i="97"/>
  <c r="B116" i="97"/>
  <c r="B117" i="97"/>
  <c r="B118" i="97"/>
  <c r="B119" i="97"/>
  <c r="B120" i="97"/>
  <c r="B121" i="97"/>
  <c r="B122" i="97"/>
  <c r="B123" i="97"/>
  <c r="B124" i="97"/>
  <c r="B125" i="97"/>
  <c r="B126" i="97"/>
  <c r="B127" i="97"/>
  <c r="B128" i="97"/>
  <c r="B129" i="97"/>
  <c r="B130" i="97"/>
  <c r="B131" i="97"/>
  <c r="B132" i="97"/>
  <c r="B133" i="97"/>
  <c r="B134" i="97"/>
  <c r="B135" i="97"/>
  <c r="B136" i="97"/>
  <c r="B137" i="97"/>
  <c r="B138" i="97"/>
  <c r="B139" i="97"/>
  <c r="B140" i="97"/>
  <c r="B141" i="97"/>
  <c r="B142" i="97"/>
  <c r="B143" i="97"/>
  <c r="B144" i="97"/>
  <c r="B145" i="97"/>
  <c r="B146" i="97"/>
  <c r="B147" i="97"/>
  <c r="B148" i="97"/>
  <c r="B149" i="97"/>
  <c r="B150" i="97"/>
  <c r="B151" i="97"/>
  <c r="B152" i="97"/>
  <c r="B153" i="97"/>
  <c r="B154" i="97"/>
  <c r="B155" i="97"/>
  <c r="B156" i="97"/>
  <c r="B157" i="97"/>
  <c r="B158" i="97"/>
  <c r="B159" i="97"/>
  <c r="B160" i="97"/>
  <c r="B161" i="97"/>
  <c r="B162" i="97"/>
  <c r="B163" i="97"/>
  <c r="B164" i="97"/>
  <c r="B165" i="97"/>
  <c r="B166" i="97"/>
  <c r="B167" i="97"/>
  <c r="B168" i="97"/>
  <c r="B169" i="97"/>
  <c r="B170" i="97"/>
  <c r="B171" i="97"/>
  <c r="B172" i="97"/>
  <c r="B173" i="97"/>
  <c r="B174" i="97"/>
  <c r="B175" i="97"/>
  <c r="B176" i="97"/>
  <c r="B177" i="97"/>
  <c r="B178" i="97"/>
  <c r="B179" i="97"/>
  <c r="B180" i="97"/>
  <c r="B181" i="97"/>
  <c r="B182" i="97"/>
  <c r="B183" i="97"/>
  <c r="B184" i="97"/>
  <c r="B185" i="97"/>
  <c r="B186" i="97"/>
  <c r="B187" i="97"/>
  <c r="B188" i="97"/>
  <c r="B189" i="97"/>
  <c r="B190" i="97"/>
  <c r="B191" i="97"/>
  <c r="B192" i="97"/>
  <c r="B193" i="97"/>
  <c r="B194" i="97"/>
  <c r="B195" i="97"/>
  <c r="B196" i="97"/>
  <c r="B197" i="97"/>
  <c r="B198" i="97"/>
  <c r="B199" i="97"/>
  <c r="B200" i="97"/>
  <c r="B201" i="97"/>
  <c r="B202" i="97"/>
  <c r="B203" i="97"/>
  <c r="B204" i="97"/>
  <c r="B205" i="97"/>
  <c r="B206" i="97"/>
  <c r="B207" i="97"/>
  <c r="B208" i="97"/>
  <c r="B209" i="97"/>
  <c r="B210" i="97"/>
  <c r="B211" i="97"/>
  <c r="B212" i="97"/>
  <c r="B213" i="97"/>
  <c r="B214" i="97"/>
  <c r="B215" i="97"/>
  <c r="B216" i="97"/>
  <c r="B217" i="97"/>
  <c r="B218" i="97"/>
  <c r="B219" i="97"/>
  <c r="B220" i="97"/>
  <c r="B221" i="97"/>
  <c r="B222" i="97"/>
  <c r="B223" i="97"/>
  <c r="B224" i="97"/>
  <c r="B225" i="97"/>
  <c r="B226" i="97"/>
  <c r="B227" i="97"/>
  <c r="B228" i="97"/>
  <c r="B229" i="97"/>
  <c r="B230" i="97"/>
  <c r="B231" i="97"/>
  <c r="B232" i="97"/>
  <c r="B233" i="97"/>
  <c r="B234" i="97"/>
  <c r="B235" i="97"/>
  <c r="B236" i="97"/>
  <c r="B237" i="97"/>
  <c r="B238" i="97"/>
  <c r="B239" i="97"/>
  <c r="B240" i="97"/>
  <c r="B241" i="97"/>
  <c r="B242" i="97"/>
  <c r="B243" i="97"/>
  <c r="B244" i="97"/>
  <c r="B245" i="97"/>
  <c r="B246" i="97"/>
  <c r="B247" i="97"/>
  <c r="B248" i="97"/>
  <c r="B249" i="97"/>
  <c r="B250" i="97"/>
  <c r="B251" i="97"/>
  <c r="B252" i="97"/>
  <c r="B253" i="97"/>
  <c r="F270" i="97"/>
  <c r="C22" i="78" s="1"/>
  <c r="G270" i="97"/>
  <c r="D22" i="78" s="1"/>
  <c r="H270" i="97"/>
  <c r="E22" i="78" s="1"/>
  <c r="F271" i="97"/>
  <c r="C23" i="78" s="1"/>
  <c r="G271" i="97"/>
  <c r="D23" i="78" s="1"/>
  <c r="H271" i="97"/>
  <c r="E23" i="78" s="1"/>
  <c r="F272" i="97"/>
  <c r="C24" i="78" s="1"/>
  <c r="G272" i="97"/>
  <c r="D24" i="78" s="1"/>
  <c r="D270" i="97"/>
  <c r="B270" i="97" s="1"/>
  <c r="D271" i="97"/>
  <c r="B271" i="97" s="1"/>
  <c r="J271" i="97" s="1"/>
  <c r="D272" i="97"/>
  <c r="B272" i="97" s="1"/>
  <c r="F269" i="97"/>
  <c r="C21" i="78" s="1"/>
  <c r="G269" i="97"/>
  <c r="D21" i="78" s="1"/>
  <c r="D269" i="97"/>
  <c r="B269" i="97" s="1"/>
  <c r="J269" i="97" s="1"/>
  <c r="E269" i="97"/>
  <c r="F263" i="97"/>
  <c r="C15" i="78" s="1"/>
  <c r="G263" i="97"/>
  <c r="D15" i="78" s="1"/>
  <c r="F255" i="97"/>
  <c r="C7" i="78" s="1"/>
  <c r="G255" i="97"/>
  <c r="D7" i="78" s="1"/>
  <c r="H255" i="97"/>
  <c r="E7" i="78" s="1"/>
  <c r="F264" i="97"/>
  <c r="C16" i="78" s="1"/>
  <c r="G264" i="97"/>
  <c r="D16" i="78" s="1"/>
  <c r="F256" i="97"/>
  <c r="C8" i="78" s="1"/>
  <c r="G256" i="97"/>
  <c r="D8" i="78" s="1"/>
  <c r="H256" i="97"/>
  <c r="E8" i="78" s="1"/>
  <c r="F265" i="97"/>
  <c r="C17" i="78" s="1"/>
  <c r="G265" i="97"/>
  <c r="D17" i="78" s="1"/>
  <c r="H265" i="97"/>
  <c r="E17" i="78" s="1"/>
  <c r="F266" i="97"/>
  <c r="C18" i="78" s="1"/>
  <c r="G266" i="97"/>
  <c r="D18" i="78" s="1"/>
  <c r="H266" i="97"/>
  <c r="E18" i="78" s="1"/>
  <c r="F267" i="97"/>
  <c r="C19" i="78" s="1"/>
  <c r="G267" i="97"/>
  <c r="D19" i="78" s="1"/>
  <c r="H267" i="97"/>
  <c r="E19" i="78" s="1"/>
  <c r="F268" i="97"/>
  <c r="C20" i="78" s="1"/>
  <c r="G268" i="97"/>
  <c r="D20" i="78" s="1"/>
  <c r="H268" i="97"/>
  <c r="E20" i="78" s="1"/>
  <c r="D263" i="97"/>
  <c r="B263" i="97" s="1"/>
  <c r="J263" i="97" s="1"/>
  <c r="E263" i="97"/>
  <c r="D255" i="97"/>
  <c r="B255" i="97" s="1"/>
  <c r="J255" i="97" s="1"/>
  <c r="E255" i="97"/>
  <c r="D264" i="97"/>
  <c r="B264" i="97" s="1"/>
  <c r="J264" i="97" s="1"/>
  <c r="E264" i="97"/>
  <c r="D256" i="97"/>
  <c r="B256" i="97" s="1"/>
  <c r="J256" i="97" s="1"/>
  <c r="E256" i="97"/>
  <c r="D265" i="97"/>
  <c r="B265" i="97" s="1"/>
  <c r="J265" i="97" s="1"/>
  <c r="E265" i="97"/>
  <c r="D266" i="97"/>
  <c r="B266" i="97" s="1"/>
  <c r="J266" i="97" s="1"/>
  <c r="E266" i="97"/>
  <c r="D267" i="97"/>
  <c r="B267" i="97" s="1"/>
  <c r="J267" i="97" s="1"/>
  <c r="E267" i="97"/>
  <c r="D268" i="97"/>
  <c r="B268" i="97" s="1"/>
  <c r="J268" i="97" s="1"/>
  <c r="E268" i="97"/>
  <c r="F258" i="97"/>
  <c r="C10" i="78" s="1"/>
  <c r="G258" i="97"/>
  <c r="D10" i="78" s="1"/>
  <c r="H258" i="97"/>
  <c r="E10" i="78" s="1"/>
  <c r="F259" i="97"/>
  <c r="C11" i="78" s="1"/>
  <c r="G259" i="97"/>
  <c r="D11" i="78" s="1"/>
  <c r="H259" i="97"/>
  <c r="E11" i="78" s="1"/>
  <c r="F260" i="97"/>
  <c r="C12" i="78" s="1"/>
  <c r="G260" i="97"/>
  <c r="D12" i="78" s="1"/>
  <c r="H260" i="97"/>
  <c r="E12" i="78" s="1"/>
  <c r="F261" i="97"/>
  <c r="C13" i="78" s="1"/>
  <c r="G261" i="97"/>
  <c r="D13" i="78" s="1"/>
  <c r="H261" i="97"/>
  <c r="E13" i="78" s="1"/>
  <c r="F262" i="97"/>
  <c r="C14" i="78" s="1"/>
  <c r="G262" i="97"/>
  <c r="D14" i="78" s="1"/>
  <c r="H262" i="97"/>
  <c r="E14" i="78" s="1"/>
  <c r="D258" i="97"/>
  <c r="B258" i="97" s="1"/>
  <c r="J258" i="97" s="1"/>
  <c r="E258" i="97"/>
  <c r="D259" i="97"/>
  <c r="B259" i="97" s="1"/>
  <c r="J259" i="97" s="1"/>
  <c r="E259" i="97"/>
  <c r="D260" i="97"/>
  <c r="B260" i="97" s="1"/>
  <c r="J260" i="97" s="1"/>
  <c r="E260" i="97"/>
  <c r="D261" i="97"/>
  <c r="B261" i="97" s="1"/>
  <c r="J261" i="97" s="1"/>
  <c r="E261" i="97"/>
  <c r="D262" i="97"/>
  <c r="B262" i="97" s="1"/>
  <c r="J262" i="97" s="1"/>
  <c r="E262" i="97"/>
  <c r="F257" i="97"/>
  <c r="C9" i="78" s="1"/>
  <c r="G257" i="97"/>
  <c r="D9" i="78" s="1"/>
  <c r="H257" i="97"/>
  <c r="E9" i="78" s="1"/>
  <c r="F254" i="97"/>
  <c r="C6" i="78" s="1"/>
  <c r="G254" i="97"/>
  <c r="D6" i="78" s="1"/>
  <c r="H254" i="97"/>
  <c r="E6" i="78" s="1"/>
  <c r="D257" i="97"/>
  <c r="B257" i="97" s="1"/>
  <c r="J257" i="97" s="1"/>
  <c r="E257" i="97"/>
  <c r="D254" i="97"/>
  <c r="B254" i="97" s="1"/>
  <c r="J254" i="97" s="1"/>
  <c r="E254" i="97"/>
  <c r="A3" i="121"/>
  <c r="AT37" i="121"/>
  <c r="H35" i="121"/>
  <c r="AT35" i="121" s="1"/>
  <c r="BE34" i="121"/>
  <c r="I271" i="97" s="1"/>
  <c r="F23" i="78" s="1"/>
  <c r="AT34" i="121"/>
  <c r="BE33" i="121"/>
  <c r="I270" i="97" s="1"/>
  <c r="F22" i="78" s="1"/>
  <c r="AT33" i="121"/>
  <c r="H33" i="121"/>
  <c r="H36" i="121" s="1"/>
  <c r="D33" i="121"/>
  <c r="D34" i="121" s="1"/>
  <c r="D35" i="121" s="1"/>
  <c r="D36" i="121" s="1"/>
  <c r="H31" i="121"/>
  <c r="AT31" i="121" s="1"/>
  <c r="BE30" i="121"/>
  <c r="AT30" i="121"/>
  <c r="BE29" i="121"/>
  <c r="I268" i="97" s="1"/>
  <c r="F20" i="78" s="1"/>
  <c r="AT29" i="121"/>
  <c r="BE28" i="121"/>
  <c r="I267" i="97" s="1"/>
  <c r="F19" i="78" s="1"/>
  <c r="BD28" i="121"/>
  <c r="BC28" i="121"/>
  <c r="BB28" i="121"/>
  <c r="BA28" i="121"/>
  <c r="AZ28" i="121"/>
  <c r="AY28" i="121"/>
  <c r="AX28" i="121"/>
  <c r="AW28" i="121"/>
  <c r="AV28" i="121"/>
  <c r="AU28" i="121"/>
  <c r="AT28" i="121"/>
  <c r="H27" i="121"/>
  <c r="BE27" i="121" s="1"/>
  <c r="I266" i="97" s="1"/>
  <c r="F18" i="78" s="1"/>
  <c r="H26" i="121"/>
  <c r="BE26" i="121" s="1"/>
  <c r="I265" i="97" s="1"/>
  <c r="F17" i="78" s="1"/>
  <c r="BE25" i="121"/>
  <c r="I256" i="97" s="1"/>
  <c r="F8" i="78" s="1"/>
  <c r="AT25" i="121"/>
  <c r="BD23" i="121"/>
  <c r="BC23" i="121"/>
  <c r="BB23" i="121"/>
  <c r="BA23" i="121"/>
  <c r="AZ23" i="121"/>
  <c r="AY23" i="121"/>
  <c r="AX23" i="121"/>
  <c r="AW23" i="121"/>
  <c r="AV23" i="121"/>
  <c r="AU23" i="121"/>
  <c r="AT23" i="121"/>
  <c r="H23" i="121"/>
  <c r="BE23" i="121" s="1"/>
  <c r="I255" i="97" s="1"/>
  <c r="F7" i="78" s="1"/>
  <c r="H22" i="121"/>
  <c r="H24" i="121" s="1"/>
  <c r="H264" i="97" s="1"/>
  <c r="E16" i="78" s="1"/>
  <c r="BE21" i="121"/>
  <c r="BD21" i="121"/>
  <c r="BC21" i="121"/>
  <c r="BB21" i="121"/>
  <c r="BA21" i="121"/>
  <c r="AZ21" i="121"/>
  <c r="AY21" i="121"/>
  <c r="AX21" i="121"/>
  <c r="AW21" i="121"/>
  <c r="AV21" i="121"/>
  <c r="AU21" i="121"/>
  <c r="AT21" i="121"/>
  <c r="BD20" i="121"/>
  <c r="BC20" i="121"/>
  <c r="BB20" i="121"/>
  <c r="BA20" i="121"/>
  <c r="AZ20" i="121"/>
  <c r="AY20" i="121"/>
  <c r="AX20" i="121"/>
  <c r="AW20" i="121"/>
  <c r="AV20" i="121"/>
  <c r="AU20" i="121"/>
  <c r="BE19" i="121"/>
  <c r="BD19" i="121"/>
  <c r="BC19" i="121"/>
  <c r="BB19" i="121"/>
  <c r="BA19" i="121"/>
  <c r="AZ19" i="121"/>
  <c r="AY19" i="121"/>
  <c r="AX19" i="121"/>
  <c r="AW19" i="121"/>
  <c r="AV19" i="121"/>
  <c r="AU19" i="121"/>
  <c r="AT19" i="121"/>
  <c r="BE18" i="121"/>
  <c r="I262" i="97" s="1"/>
  <c r="F14" i="78" s="1"/>
  <c r="BD18" i="121"/>
  <c r="BC18" i="121"/>
  <c r="BB18" i="121"/>
  <c r="BA18" i="121"/>
  <c r="AZ18" i="121"/>
  <c r="AY18" i="121"/>
  <c r="AX18" i="121"/>
  <c r="AW18" i="121"/>
  <c r="AV18" i="121"/>
  <c r="AU18" i="121"/>
  <c r="AT18" i="121"/>
  <c r="BE17" i="121"/>
  <c r="I261" i="97" s="1"/>
  <c r="F13" i="78" s="1"/>
  <c r="BD17" i="121"/>
  <c r="BC17" i="121"/>
  <c r="BB17" i="121"/>
  <c r="BA17" i="121"/>
  <c r="AZ17" i="121"/>
  <c r="AY17" i="121"/>
  <c r="AX17" i="121"/>
  <c r="AW17" i="121"/>
  <c r="AV17" i="121"/>
  <c r="AU17" i="121"/>
  <c r="AT17" i="121"/>
  <c r="BE16" i="121"/>
  <c r="I260" i="97" s="1"/>
  <c r="F12" i="78" s="1"/>
  <c r="BD16" i="121"/>
  <c r="BC16" i="121"/>
  <c r="BB16" i="121"/>
  <c r="BA16" i="121"/>
  <c r="AZ16" i="121"/>
  <c r="AY16" i="121"/>
  <c r="AX16" i="121"/>
  <c r="AW16" i="121"/>
  <c r="AV16" i="121"/>
  <c r="AU16" i="121"/>
  <c r="AT16" i="121"/>
  <c r="BE15" i="121"/>
  <c r="I259" i="97" s="1"/>
  <c r="F11" i="78" s="1"/>
  <c r="BD15" i="121"/>
  <c r="BC15" i="121"/>
  <c r="BB15" i="121"/>
  <c r="BA15" i="121"/>
  <c r="AZ15" i="121"/>
  <c r="AY15" i="121"/>
  <c r="AX15" i="121"/>
  <c r="AW15" i="121"/>
  <c r="AV15" i="121"/>
  <c r="AU15" i="121"/>
  <c r="AT15" i="121"/>
  <c r="BE14" i="121"/>
  <c r="I258" i="97" s="1"/>
  <c r="F10" i="78" s="1"/>
  <c r="BD14" i="121"/>
  <c r="BC14" i="121"/>
  <c r="BB14" i="121"/>
  <c r="BA14" i="121"/>
  <c r="AZ14" i="121"/>
  <c r="AY14" i="121"/>
  <c r="AX14" i="121"/>
  <c r="AW14" i="121"/>
  <c r="AV14" i="121"/>
  <c r="AU14" i="121"/>
  <c r="AT14" i="121"/>
  <c r="BE13" i="121"/>
  <c r="BE12" i="121"/>
  <c r="BD12" i="121"/>
  <c r="BC12" i="121"/>
  <c r="BB12" i="121"/>
  <c r="BA12" i="121"/>
  <c r="AZ12" i="121"/>
  <c r="AY12" i="121"/>
  <c r="AX12" i="121"/>
  <c r="AW12" i="121"/>
  <c r="AV12" i="121"/>
  <c r="AU12" i="121"/>
  <c r="AT12" i="121"/>
  <c r="BE11" i="121"/>
  <c r="I254" i="97" s="1"/>
  <c r="F6" i="78" s="1"/>
  <c r="BD11" i="121"/>
  <c r="BC11" i="121"/>
  <c r="BB11" i="121"/>
  <c r="BA11" i="121"/>
  <c r="AZ11" i="121"/>
  <c r="AY11" i="121"/>
  <c r="AX11" i="121"/>
  <c r="AW11" i="121"/>
  <c r="AV11" i="121"/>
  <c r="AU11" i="121"/>
  <c r="AT11" i="121"/>
  <c r="BE10" i="121"/>
  <c r="I257" i="97" s="1"/>
  <c r="F9" i="78" s="1"/>
  <c r="BD10" i="121"/>
  <c r="BC10" i="121"/>
  <c r="BB10" i="121"/>
  <c r="BA10" i="121"/>
  <c r="AZ10" i="121"/>
  <c r="AY10" i="121"/>
  <c r="AX10" i="121"/>
  <c r="AW10" i="121"/>
  <c r="AV10" i="121"/>
  <c r="AU10" i="121"/>
  <c r="AT10" i="121"/>
  <c r="BE8" i="121"/>
  <c r="BD8" i="121"/>
  <c r="BC8" i="121"/>
  <c r="BB8" i="121"/>
  <c r="BA8" i="121"/>
  <c r="AZ8" i="121"/>
  <c r="AY8" i="121"/>
  <c r="AX8" i="121"/>
  <c r="AW8" i="121"/>
  <c r="AV8" i="121"/>
  <c r="AU8" i="121"/>
  <c r="AT8" i="121"/>
  <c r="BD6" i="121"/>
  <c r="BC6" i="121"/>
  <c r="BB6" i="121"/>
  <c r="BA6" i="121"/>
  <c r="AZ6" i="121"/>
  <c r="AY6" i="121"/>
  <c r="AX6" i="121"/>
  <c r="AW6" i="121"/>
  <c r="AV6" i="121"/>
  <c r="AU6" i="121"/>
  <c r="H263" i="97" l="1"/>
  <c r="E15" i="78" s="1"/>
  <c r="H272" i="97"/>
  <c r="E24" i="78" s="1"/>
  <c r="E272" i="97"/>
  <c r="E271" i="97"/>
  <c r="H269" i="97"/>
  <c r="E21" i="78" s="1"/>
  <c r="E270" i="97"/>
  <c r="BE31" i="121"/>
  <c r="I269" i="97" s="1"/>
  <c r="F21" i="78" s="1"/>
  <c r="BE35" i="121"/>
  <c r="I272" i="97" s="1"/>
  <c r="F24" i="78" s="1"/>
  <c r="AT36" i="121"/>
  <c r="BE36" i="121"/>
  <c r="BE24" i="121"/>
  <c r="I264" i="97" s="1"/>
  <c r="F16" i="78" s="1"/>
  <c r="AT24" i="121"/>
  <c r="AT26" i="121"/>
  <c r="AT22" i="121"/>
  <c r="AT27" i="121"/>
  <c r="BE22" i="121"/>
  <c r="I263" i="97" s="1"/>
  <c r="F15" i="78" s="1"/>
  <c r="AA2" i="96"/>
  <c r="H103" i="26" l="1"/>
  <c r="I103" i="26"/>
  <c r="J103" i="26"/>
  <c r="K103" i="26"/>
  <c r="H127" i="26"/>
  <c r="I127" i="26"/>
  <c r="J127" i="26"/>
  <c r="K127" i="26"/>
  <c r="K128" i="26"/>
  <c r="H129" i="26"/>
  <c r="I129" i="26"/>
  <c r="J129" i="26"/>
  <c r="K129" i="26"/>
  <c r="K132" i="26"/>
  <c r="K134" i="26"/>
  <c r="G124" i="26"/>
  <c r="H124" i="26" s="1"/>
  <c r="G125" i="26"/>
  <c r="H125" i="26" s="1"/>
  <c r="G126" i="26"/>
  <c r="H126" i="26" s="1"/>
  <c r="G127" i="26"/>
  <c r="G128" i="26"/>
  <c r="H128" i="26" s="1"/>
  <c r="G129" i="26"/>
  <c r="G130" i="26"/>
  <c r="H130" i="26" s="1"/>
  <c r="G131" i="26"/>
  <c r="H131" i="26" s="1"/>
  <c r="G132" i="26"/>
  <c r="H132" i="26" s="1"/>
  <c r="G133" i="26"/>
  <c r="H133" i="26" s="1"/>
  <c r="G134" i="26"/>
  <c r="H134" i="26" s="1"/>
  <c r="O8" i="26"/>
  <c r="J5" i="97"/>
  <c r="J101" i="97"/>
  <c r="J91" i="97"/>
  <c r="J93" i="97"/>
  <c r="J6" i="97"/>
  <c r="J96" i="97"/>
  <c r="J92" i="97"/>
  <c r="J103" i="97"/>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D17" i="113"/>
  <c r="G16" i="113"/>
  <c r="D16" i="113"/>
  <c r="G15" i="113"/>
  <c r="D15" i="113"/>
  <c r="G14" i="113"/>
  <c r="D14" i="113"/>
  <c r="G13" i="113"/>
  <c r="G12"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K133" i="26" l="1"/>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H282" i="120"/>
  <c r="F282" i="120"/>
  <c r="F281" i="120"/>
  <c r="H281" i="120" s="1"/>
  <c r="H280" i="120"/>
  <c r="G280" i="120"/>
  <c r="F280" i="120"/>
  <c r="H279" i="120"/>
  <c r="F279" i="120"/>
  <c r="G278" i="120"/>
  <c r="H278" i="120" s="1"/>
  <c r="F278" i="120"/>
  <c r="H277" i="120"/>
  <c r="F277" i="120"/>
  <c r="F274" i="120"/>
  <c r="H274" i="120" s="1"/>
  <c r="H273" i="120"/>
  <c r="F273" i="120"/>
  <c r="F272" i="120"/>
  <c r="H272" i="120" s="1"/>
  <c r="H271" i="120"/>
  <c r="F271" i="120"/>
  <c r="F270" i="120"/>
  <c r="H270" i="120" s="1"/>
  <c r="H269" i="120"/>
  <c r="F269" i="120"/>
  <c r="F268" i="120"/>
  <c r="H268" i="120" s="1"/>
  <c r="H267" i="120"/>
  <c r="F267" i="120"/>
  <c r="F266" i="120"/>
  <c r="H266" i="120" s="1"/>
  <c r="H265" i="120"/>
  <c r="F265" i="120"/>
  <c r="F264" i="120"/>
  <c r="H264" i="120" s="1"/>
  <c r="H263" i="120"/>
  <c r="F263" i="120"/>
  <c r="F262" i="120"/>
  <c r="H262" i="120" s="1"/>
  <c r="H261" i="120"/>
  <c r="F261" i="120"/>
  <c r="F260" i="120"/>
  <c r="H260" i="120" s="1"/>
  <c r="H259" i="120"/>
  <c r="F259" i="120"/>
  <c r="F258" i="120"/>
  <c r="H258" i="120" s="1"/>
  <c r="F257" i="120"/>
  <c r="F256" i="120"/>
  <c r="H256" i="120" s="1"/>
  <c r="F255" i="120"/>
  <c r="H255" i="120" s="1"/>
  <c r="F254" i="120"/>
  <c r="H254" i="120" s="1"/>
  <c r="H253" i="120"/>
  <c r="F253" i="120"/>
  <c r="F252" i="120"/>
  <c r="H252" i="120" s="1"/>
  <c r="F251" i="120"/>
  <c r="H251" i="120" s="1"/>
  <c r="F250" i="120"/>
  <c r="H250" i="120" s="1"/>
  <c r="H249" i="120"/>
  <c r="F249" i="120"/>
  <c r="F248" i="120"/>
  <c r="H248" i="120" s="1"/>
  <c r="F247" i="120"/>
  <c r="H247" i="120" s="1"/>
  <c r="F246" i="120"/>
  <c r="H246" i="120" s="1"/>
  <c r="H245" i="120"/>
  <c r="F245" i="120"/>
  <c r="F244" i="120"/>
  <c r="H244" i="120" s="1"/>
  <c r="F243" i="120"/>
  <c r="H243" i="120" s="1"/>
  <c r="F242" i="120"/>
  <c r="H242" i="120" s="1"/>
  <c r="H241" i="120"/>
  <c r="F241" i="120"/>
  <c r="F240" i="120"/>
  <c r="H240" i="120" s="1"/>
  <c r="F239" i="120"/>
  <c r="H239" i="120" s="1"/>
  <c r="F238" i="120"/>
  <c r="H238" i="120" s="1"/>
  <c r="H237" i="120"/>
  <c r="F237" i="120"/>
  <c r="F236" i="120"/>
  <c r="H236" i="120" s="1"/>
  <c r="F235" i="120"/>
  <c r="H235" i="120" s="1"/>
  <c r="F234" i="120"/>
  <c r="H234" i="120" s="1"/>
  <c r="H233" i="120"/>
  <c r="F233" i="120"/>
  <c r="F232" i="120"/>
  <c r="H232" i="120" s="1"/>
  <c r="F231" i="120"/>
  <c r="H231" i="120" s="1"/>
  <c r="F230" i="120"/>
  <c r="H230" i="120" s="1"/>
  <c r="H229" i="120"/>
  <c r="F229" i="120"/>
  <c r="F228" i="120"/>
  <c r="H228" i="120" s="1"/>
  <c r="F227" i="120"/>
  <c r="H227" i="120" s="1"/>
  <c r="F226" i="120"/>
  <c r="H226" i="120" s="1"/>
  <c r="H225" i="120"/>
  <c r="F225" i="120"/>
  <c r="F224" i="120"/>
  <c r="H224" i="120" s="1"/>
  <c r="F223" i="120"/>
  <c r="H223" i="120" s="1"/>
  <c r="F222" i="120"/>
  <c r="H222" i="120" s="1"/>
  <c r="H221" i="120"/>
  <c r="F221" i="120"/>
  <c r="F220" i="120"/>
  <c r="H220" i="120" s="1"/>
  <c r="F219" i="120"/>
  <c r="H219" i="120" s="1"/>
  <c r="F218" i="120"/>
  <c r="F217" i="120"/>
  <c r="H217" i="120" s="1"/>
  <c r="H216" i="120"/>
  <c r="F216" i="120"/>
  <c r="F215" i="120"/>
  <c r="H215" i="120" s="1"/>
  <c r="H214" i="120"/>
  <c r="F214" i="120"/>
  <c r="F213" i="120"/>
  <c r="H212" i="120"/>
  <c r="F212" i="120"/>
  <c r="F211" i="120"/>
  <c r="H211" i="120" s="1"/>
  <c r="F210" i="120"/>
  <c r="H210" i="120" s="1"/>
  <c r="F209" i="120"/>
  <c r="H209" i="120" s="1"/>
  <c r="F208" i="120"/>
  <c r="H207" i="120"/>
  <c r="F207" i="120"/>
  <c r="F206" i="120"/>
  <c r="H206" i="120" s="1"/>
  <c r="H205" i="120"/>
  <c r="F205" i="120"/>
  <c r="F204" i="120"/>
  <c r="H204" i="120" s="1"/>
  <c r="H203" i="120"/>
  <c r="F203" i="120"/>
  <c r="F202" i="120"/>
  <c r="H202" i="120" s="1"/>
  <c r="H201" i="120"/>
  <c r="F201" i="120"/>
  <c r="F200" i="120"/>
  <c r="H200" i="120" s="1"/>
  <c r="H199" i="120"/>
  <c r="F199" i="120"/>
  <c r="F198" i="120"/>
  <c r="H198" i="120" s="1"/>
  <c r="H197" i="120"/>
  <c r="F197" i="120"/>
  <c r="F196" i="120"/>
  <c r="H196" i="120" s="1"/>
  <c r="H195" i="120"/>
  <c r="F195" i="120"/>
  <c r="F194" i="120"/>
  <c r="F193" i="120"/>
  <c r="H193" i="120" s="1"/>
  <c r="F192" i="120"/>
  <c r="H192" i="120" s="1"/>
  <c r="H191" i="120"/>
  <c r="F191" i="120"/>
  <c r="F190" i="120"/>
  <c r="H190" i="120" s="1"/>
  <c r="F189" i="120"/>
  <c r="H188" i="120"/>
  <c r="F188" i="120"/>
  <c r="F187" i="120"/>
  <c r="H186" i="120"/>
  <c r="F186" i="120"/>
  <c r="F185" i="120"/>
  <c r="H185" i="120" s="1"/>
  <c r="F184" i="120"/>
  <c r="H184" i="120" s="1"/>
  <c r="F183" i="120"/>
  <c r="H183" i="120" s="1"/>
  <c r="H182" i="120"/>
  <c r="F182" i="120"/>
  <c r="F181" i="120"/>
  <c r="H181" i="120" s="1"/>
  <c r="F180" i="120"/>
  <c r="H180" i="120" s="1"/>
  <c r="F179" i="120"/>
  <c r="H179" i="120" s="1"/>
  <c r="H178" i="120"/>
  <c r="F178" i="120"/>
  <c r="F175" i="120"/>
  <c r="H175" i="120" s="1"/>
  <c r="F174" i="120"/>
  <c r="H174" i="120" s="1"/>
  <c r="F173" i="120"/>
  <c r="H173" i="120" s="1"/>
  <c r="H172" i="120"/>
  <c r="F172" i="120"/>
  <c r="F171" i="120"/>
  <c r="H171" i="120" s="1"/>
  <c r="F170" i="120"/>
  <c r="H170" i="120" s="1"/>
  <c r="F169" i="120"/>
  <c r="H169" i="120" s="1"/>
  <c r="H168" i="120"/>
  <c r="F168" i="120"/>
  <c r="F167" i="120"/>
  <c r="H167" i="120" s="1"/>
  <c r="F166" i="120"/>
  <c r="H166" i="120" s="1"/>
  <c r="F165" i="120"/>
  <c r="H165" i="120" s="1"/>
  <c r="H164" i="120"/>
  <c r="F164" i="120"/>
  <c r="F163" i="120"/>
  <c r="H163" i="120" s="1"/>
  <c r="F162" i="120"/>
  <c r="H162" i="120" s="1"/>
  <c r="F161" i="120"/>
  <c r="H161" i="120" s="1"/>
  <c r="H160" i="120"/>
  <c r="F160" i="120"/>
  <c r="F159" i="120"/>
  <c r="H159" i="120" s="1"/>
  <c r="F158" i="120"/>
  <c r="H158" i="120" s="1"/>
  <c r="F157" i="120"/>
  <c r="H157" i="120" s="1"/>
  <c r="H156" i="120"/>
  <c r="F156" i="120"/>
  <c r="F155" i="120"/>
  <c r="H155" i="120" s="1"/>
  <c r="F154" i="120"/>
  <c r="H154" i="120" s="1"/>
  <c r="F153" i="120"/>
  <c r="H153" i="120" s="1"/>
  <c r="H151" i="120"/>
  <c r="F151" i="120"/>
  <c r="F150" i="120"/>
  <c r="H150" i="120" s="1"/>
  <c r="F148" i="120"/>
  <c r="H148" i="120" s="1"/>
  <c r="F147" i="120"/>
  <c r="H147" i="120" s="1"/>
  <c r="H146" i="120"/>
  <c r="F146" i="120"/>
  <c r="F145" i="120"/>
  <c r="H145" i="120" s="1"/>
  <c r="F144" i="120"/>
  <c r="H144" i="120" s="1"/>
  <c r="F143" i="120"/>
  <c r="H143" i="120" s="1"/>
  <c r="H142" i="120"/>
  <c r="F142" i="120"/>
  <c r="F141" i="120"/>
  <c r="H141" i="120" s="1"/>
  <c r="F140" i="120"/>
  <c r="H140" i="120" s="1"/>
  <c r="F139" i="120"/>
  <c r="H139" i="120" s="1"/>
  <c r="H138" i="120"/>
  <c r="F138" i="120"/>
  <c r="F137" i="120"/>
  <c r="H137" i="120" s="1"/>
  <c r="F136" i="120"/>
  <c r="H136" i="120" s="1"/>
  <c r="F135" i="120"/>
  <c r="H135" i="120" s="1"/>
  <c r="H134" i="120"/>
  <c r="F134" i="120"/>
  <c r="F133" i="120"/>
  <c r="H133" i="120" s="1"/>
  <c r="F132" i="120"/>
  <c r="H132" i="120" s="1"/>
  <c r="F131" i="120"/>
  <c r="H131" i="120" s="1"/>
  <c r="H130" i="120"/>
  <c r="F130" i="120"/>
  <c r="F129" i="120"/>
  <c r="H129" i="120" s="1"/>
  <c r="F128" i="120"/>
  <c r="H128" i="120" s="1"/>
  <c r="F127" i="120"/>
  <c r="H127" i="120" s="1"/>
  <c r="H126" i="120"/>
  <c r="F126" i="120"/>
  <c r="F125" i="120"/>
  <c r="H125" i="120" s="1"/>
  <c r="F124" i="120"/>
  <c r="H124" i="120" s="1"/>
  <c r="F123" i="120"/>
  <c r="H123" i="120" s="1"/>
  <c r="H122" i="120"/>
  <c r="F122" i="120"/>
  <c r="F121" i="120"/>
  <c r="H121" i="120" s="1"/>
  <c r="F120" i="120"/>
  <c r="H120" i="120" s="1"/>
  <c r="F119" i="120"/>
  <c r="H119" i="120" s="1"/>
  <c r="H118" i="120"/>
  <c r="F118" i="120"/>
  <c r="F117" i="120"/>
  <c r="H117" i="120" s="1"/>
  <c r="F116" i="120"/>
  <c r="H116" i="120" s="1"/>
  <c r="F115" i="120"/>
  <c r="H115" i="120" s="1"/>
  <c r="H114" i="120"/>
  <c r="F114" i="120"/>
  <c r="F113" i="120"/>
  <c r="H113" i="120" s="1"/>
  <c r="F112" i="120"/>
  <c r="H112" i="120" s="1"/>
  <c r="F111" i="120"/>
  <c r="H111" i="120" s="1"/>
  <c r="H110" i="120"/>
  <c r="F110" i="120"/>
  <c r="F109" i="120"/>
  <c r="H109" i="120" s="1"/>
  <c r="F108" i="120"/>
  <c r="H108" i="120" s="1"/>
  <c r="F107" i="120"/>
  <c r="F106" i="120"/>
  <c r="H106" i="120" s="1"/>
  <c r="H105" i="120"/>
  <c r="F105" i="120"/>
  <c r="F104" i="120"/>
  <c r="H104" i="120" s="1"/>
  <c r="H103" i="120"/>
  <c r="F103" i="120"/>
  <c r="F102" i="120"/>
  <c r="H102" i="120" s="1"/>
  <c r="H101" i="120"/>
  <c r="F101" i="120"/>
  <c r="F100" i="120"/>
  <c r="H100" i="120" s="1"/>
  <c r="H99" i="120"/>
  <c r="F99" i="120"/>
  <c r="F98" i="120"/>
  <c r="H98" i="120" s="1"/>
  <c r="F97" i="120"/>
  <c r="F95" i="120"/>
  <c r="H95" i="120" s="1"/>
  <c r="F94" i="120"/>
  <c r="H94" i="120" s="1"/>
  <c r="F93" i="120"/>
  <c r="H93" i="120" s="1"/>
  <c r="H92" i="120"/>
  <c r="F92" i="120"/>
  <c r="F91" i="120"/>
  <c r="H91" i="120" s="1"/>
  <c r="F90" i="120"/>
  <c r="H90" i="120" s="1"/>
  <c r="F89" i="120"/>
  <c r="H89" i="120" s="1"/>
  <c r="H88" i="120"/>
  <c r="F88" i="120"/>
  <c r="F87" i="120"/>
  <c r="H87" i="120" s="1"/>
  <c r="F86" i="120"/>
  <c r="H86" i="120" s="1"/>
  <c r="F85" i="120"/>
  <c r="H85" i="120" s="1"/>
  <c r="H84" i="120"/>
  <c r="F84" i="120"/>
  <c r="F83" i="120"/>
  <c r="F82" i="120"/>
  <c r="H82" i="120" s="1"/>
  <c r="H81" i="120"/>
  <c r="F81" i="120"/>
  <c r="F80" i="120"/>
  <c r="H80" i="120" s="1"/>
  <c r="H79" i="120"/>
  <c r="F79" i="120"/>
  <c r="F78" i="120"/>
  <c r="H78" i="120" s="1"/>
  <c r="H77" i="120"/>
  <c r="F77" i="120"/>
  <c r="F76" i="120"/>
  <c r="H75" i="120"/>
  <c r="F75" i="120"/>
  <c r="F74" i="120"/>
  <c r="H74" i="120" s="1"/>
  <c r="F73" i="120"/>
  <c r="H73" i="120" s="1"/>
  <c r="F72" i="120"/>
  <c r="H72" i="120" s="1"/>
  <c r="H71" i="120"/>
  <c r="F71" i="120"/>
  <c r="F70" i="120"/>
  <c r="H70" i="120" s="1"/>
  <c r="F69" i="120"/>
  <c r="H68" i="120"/>
  <c r="F68" i="120"/>
  <c r="F67" i="120"/>
  <c r="H67" i="120" s="1"/>
  <c r="H66" i="120"/>
  <c r="F66" i="120"/>
  <c r="F65" i="120"/>
  <c r="H65" i="120" s="1"/>
  <c r="H64" i="120"/>
  <c r="F64" i="120"/>
  <c r="F63" i="120"/>
  <c r="H63" i="120" s="1"/>
  <c r="H60" i="120"/>
  <c r="F60" i="120"/>
  <c r="F59" i="120"/>
  <c r="H59" i="120" s="1"/>
  <c r="H58" i="120"/>
  <c r="F58" i="120"/>
  <c r="F57" i="120"/>
  <c r="H56" i="120"/>
  <c r="F56" i="120"/>
  <c r="F55" i="120"/>
  <c r="H55" i="120" s="1"/>
  <c r="F54" i="120"/>
  <c r="H54" i="120" s="1"/>
  <c r="F53" i="120"/>
  <c r="F51" i="120"/>
  <c r="H51" i="120" s="1"/>
  <c r="H50" i="120"/>
  <c r="F50" i="120"/>
  <c r="F49" i="120"/>
  <c r="H49" i="120" s="1"/>
  <c r="H48" i="120"/>
  <c r="F48" i="120"/>
  <c r="F47" i="120"/>
  <c r="H47" i="120" s="1"/>
  <c r="H46" i="120"/>
  <c r="F46" i="120"/>
  <c r="F45" i="120"/>
  <c r="H45" i="120" s="1"/>
  <c r="H44" i="120"/>
  <c r="F44" i="120"/>
  <c r="F43" i="120"/>
  <c r="H43" i="120" s="1"/>
  <c r="H42" i="120"/>
  <c r="F42" i="120"/>
  <c r="F41" i="120"/>
  <c r="H41" i="120" s="1"/>
  <c r="H40" i="120"/>
  <c r="F40" i="120"/>
  <c r="F39" i="120"/>
  <c r="H39" i="120" s="1"/>
  <c r="H38" i="120"/>
  <c r="F38" i="120"/>
  <c r="F37" i="120"/>
  <c r="F36" i="120"/>
  <c r="H36" i="120" s="1"/>
  <c r="F35" i="120"/>
  <c r="H35" i="120" s="1"/>
  <c r="H34" i="120"/>
  <c r="F34" i="120"/>
  <c r="F33" i="120"/>
  <c r="H33" i="120" s="1"/>
  <c r="F32" i="120"/>
  <c r="H32" i="120" s="1"/>
  <c r="F31" i="120"/>
  <c r="H31" i="120" s="1"/>
  <c r="H30" i="120"/>
  <c r="F30" i="120"/>
  <c r="F29" i="120"/>
  <c r="H29" i="120" s="1"/>
  <c r="F28" i="120"/>
  <c r="H28" i="120" s="1"/>
  <c r="F27" i="120"/>
  <c r="H27" i="120" s="1"/>
  <c r="H26" i="120"/>
  <c r="F26" i="120"/>
  <c r="F25" i="120"/>
  <c r="F24" i="120"/>
  <c r="H24" i="120" s="1"/>
  <c r="H23" i="120"/>
  <c r="F23" i="120"/>
  <c r="F22" i="120"/>
  <c r="H21" i="120"/>
  <c r="F21" i="120"/>
  <c r="F20" i="120"/>
  <c r="H20" i="120" s="1"/>
  <c r="F19" i="120"/>
  <c r="H19" i="120" s="1"/>
  <c r="F18" i="120"/>
  <c r="H18" i="120" s="1"/>
  <c r="H17" i="120"/>
  <c r="F17" i="120"/>
  <c r="F16" i="120"/>
  <c r="H16" i="120" s="1"/>
  <c r="F15" i="120"/>
  <c r="H15" i="120" s="1"/>
  <c r="F14" i="120"/>
  <c r="H14" i="120" s="1"/>
  <c r="H10" i="120"/>
  <c r="F10" i="120"/>
  <c r="H276" i="120" l="1"/>
  <c r="H284" i="120" s="1"/>
  <c r="H285" i="120" s="1"/>
  <c r="B259" i="119"/>
  <c r="J108" i="97"/>
  <c r="C141" i="119"/>
  <c r="C134" i="119"/>
  <c r="C132" i="119"/>
  <c r="C135" i="119"/>
  <c r="C140" i="119"/>
  <c r="C138" i="119"/>
  <c r="H7" i="114"/>
  <c r="I7" i="114"/>
  <c r="H1884" i="1"/>
  <c r="H1885" i="1"/>
  <c r="H1883" i="1"/>
  <c r="H27" i="113"/>
  <c r="I27" i="113"/>
  <c r="B249" i="119" l="1"/>
  <c r="J104" i="97"/>
  <c r="B252" i="119"/>
  <c r="J97" i="97"/>
  <c r="B253" i="119"/>
  <c r="J102" i="97"/>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94" i="97" l="1"/>
  <c r="J105" i="97"/>
  <c r="J109" i="97"/>
  <c r="J232" i="97"/>
  <c r="K232" i="97" s="1"/>
  <c r="J98" i="97"/>
  <c r="J107" i="97"/>
  <c r="J99" i="97"/>
  <c r="J90" i="97"/>
  <c r="J95" i="97"/>
  <c r="J110" i="97"/>
  <c r="J89" i="97"/>
  <c r="J231" i="97"/>
  <c r="K231" i="97" s="1"/>
  <c r="J106" i="97"/>
  <c r="J100" i="97"/>
  <c r="D5" i="26"/>
  <c r="AL2" i="96"/>
  <c r="AK2" i="96"/>
  <c r="B200" i="119"/>
  <c r="B199" i="119"/>
  <c r="E974" i="23"/>
  <c r="F1139" i="23"/>
  <c r="B210" i="119"/>
  <c r="B214" i="119"/>
  <c r="B230" i="119"/>
  <c r="B234" i="119"/>
  <c r="B242" i="119"/>
  <c r="B250" i="119"/>
  <c r="B254" i="119"/>
  <c r="B258" i="119"/>
  <c r="B262" i="119"/>
  <c r="B278" i="119"/>
  <c r="B282" i="119"/>
  <c r="B212" i="119"/>
  <c r="B216" i="119"/>
  <c r="B224" i="119"/>
  <c r="B228" i="119"/>
  <c r="B232" i="119"/>
  <c r="B236" i="119"/>
  <c r="B244" i="119"/>
  <c r="B256" i="119"/>
  <c r="B260" i="119"/>
  <c r="B264" i="119"/>
  <c r="B280" i="119"/>
  <c r="B284" i="119"/>
  <c r="B215" i="119"/>
  <c r="B231" i="119"/>
  <c r="B247" i="119"/>
  <c r="B255" i="119"/>
  <c r="B263" i="119"/>
  <c r="B209" i="119"/>
  <c r="B217" i="119"/>
  <c r="B225" i="119"/>
  <c r="B233" i="119"/>
  <c r="B265" i="119"/>
  <c r="B219" i="119"/>
  <c r="B227" i="119"/>
  <c r="B235" i="119"/>
  <c r="B251" i="119"/>
  <c r="B283" i="119"/>
  <c r="B221" i="119"/>
  <c r="B229" i="119"/>
  <c r="B237" i="119"/>
  <c r="B261" i="119"/>
  <c r="B277" i="119"/>
  <c r="C136" i="119"/>
  <c r="C139" i="119"/>
  <c r="C137" i="119"/>
  <c r="C142" i="119"/>
  <c r="C14" i="119"/>
  <c r="C15" i="119"/>
  <c r="F1115" i="23"/>
  <c r="F1117" i="23"/>
  <c r="F1140" i="23"/>
  <c r="E402" i="15"/>
  <c r="J402" i="15"/>
  <c r="E392" i="15"/>
  <c r="J392" i="15"/>
  <c r="G1117" i="23"/>
  <c r="G1140" i="23"/>
  <c r="C6" i="105"/>
  <c r="C4" i="105"/>
  <c r="C7" i="105"/>
  <c r="C8" i="105"/>
  <c r="C9" i="105"/>
  <c r="C12" i="105"/>
  <c r="C11" i="105"/>
  <c r="C13" i="105"/>
  <c r="C266" i="119"/>
  <c r="C189" i="119"/>
  <c r="C107" i="119"/>
  <c r="C25" i="119"/>
  <c r="C257" i="119"/>
  <c r="C177" i="119"/>
  <c r="C104" i="119"/>
  <c r="C62" i="119"/>
  <c r="C31" i="119"/>
  <c r="C241" i="119"/>
  <c r="C176" i="119"/>
  <c r="C223" i="119"/>
  <c r="C174" i="119"/>
  <c r="C97" i="119"/>
  <c r="C22" i="119"/>
  <c r="C218" i="119"/>
  <c r="C152" i="119"/>
  <c r="C96" i="119"/>
  <c r="C61" i="119"/>
  <c r="C213" i="119"/>
  <c r="C52" i="119"/>
  <c r="C13" i="119"/>
  <c r="C83" i="119"/>
  <c r="C49" i="119"/>
  <c r="C131" i="119"/>
  <c r="C76" i="119"/>
  <c r="C43" i="119"/>
  <c r="E1172" i="15"/>
  <c r="J1172" i="15"/>
  <c r="G1115" i="23"/>
  <c r="E1173" i="15"/>
  <c r="J1173" i="15"/>
  <c r="E1069" i="23"/>
  <c r="F1069" i="23"/>
  <c r="E1116" i="23"/>
  <c r="E1139" i="23"/>
  <c r="E403" i="15"/>
  <c r="J403" i="15"/>
  <c r="G1069" i="23"/>
  <c r="F1116" i="23"/>
  <c r="E400" i="15"/>
  <c r="J400" i="15"/>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K14" i="109" l="1"/>
  <c r="K13" i="109"/>
  <c r="F13" i="109" s="1"/>
  <c r="D6" i="26"/>
  <c r="AM2" i="96"/>
  <c r="B203" i="119"/>
  <c r="B245" i="119"/>
  <c r="J238" i="97"/>
  <c r="K238" i="97" s="1"/>
  <c r="B213" i="119"/>
  <c r="B267" i="119"/>
  <c r="J243" i="97"/>
  <c r="K243" i="97" s="1"/>
  <c r="B281" i="119"/>
  <c r="J253" i="97"/>
  <c r="K253" i="97" s="1"/>
  <c r="B241" i="119"/>
  <c r="J236" i="97"/>
  <c r="K236" i="97" s="1"/>
  <c r="B223" i="119"/>
  <c r="B205" i="119"/>
  <c r="B273" i="119"/>
  <c r="J248" i="97"/>
  <c r="K248" i="97" s="1"/>
  <c r="B201" i="119"/>
  <c r="B279" i="119"/>
  <c r="J252" i="97"/>
  <c r="K252" i="97" s="1"/>
  <c r="B272" i="119"/>
  <c r="J247" i="97"/>
  <c r="K247" i="97" s="1"/>
  <c r="B220" i="119"/>
  <c r="B204" i="119"/>
  <c r="B274" i="119"/>
  <c r="J249" i="97"/>
  <c r="K249" i="97" s="1"/>
  <c r="B238" i="119"/>
  <c r="J233" i="97"/>
  <c r="K233" i="97" s="1"/>
  <c r="B222" i="119"/>
  <c r="B206" i="119"/>
  <c r="B211" i="119"/>
  <c r="B239" i="119"/>
  <c r="J234" i="97"/>
  <c r="K234" i="97" s="1"/>
  <c r="B207" i="119"/>
  <c r="B268" i="119"/>
  <c r="J244" i="97"/>
  <c r="K244" i="97" s="1"/>
  <c r="B248" i="119"/>
  <c r="J240" i="97"/>
  <c r="K240" i="97" s="1"/>
  <c r="B266" i="119"/>
  <c r="J242" i="97"/>
  <c r="K242" i="97" s="1"/>
  <c r="B218" i="119"/>
  <c r="B202" i="119"/>
  <c r="B270" i="119"/>
  <c r="J245" i="97"/>
  <c r="K245" i="97" s="1"/>
  <c r="B269" i="119"/>
  <c r="K261" i="97"/>
  <c r="B243" i="119"/>
  <c r="J237" i="97"/>
  <c r="K237" i="97" s="1"/>
  <c r="B271" i="119"/>
  <c r="J246" i="97"/>
  <c r="K246" i="97" s="1"/>
  <c r="B275" i="119"/>
  <c r="J250" i="97"/>
  <c r="K250" i="97" s="1"/>
  <c r="B257" i="119"/>
  <c r="J241" i="97"/>
  <c r="K241" i="97" s="1"/>
  <c r="B246" i="119"/>
  <c r="J239" i="97"/>
  <c r="K239" i="97" s="1"/>
  <c r="B276" i="119"/>
  <c r="J251" i="97"/>
  <c r="K251" i="97" s="1"/>
  <c r="B240" i="119"/>
  <c r="J235" i="97"/>
  <c r="K235" i="97" s="1"/>
  <c r="B208" i="119"/>
  <c r="B226" i="119"/>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13" i="109"/>
  <c r="J13"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06" i="97"/>
  <c r="K95" i="97"/>
  <c r="K104" i="97"/>
  <c r="K101" i="97"/>
  <c r="K5" i="97"/>
  <c r="K90" i="97"/>
  <c r="K105" i="97"/>
  <c r="K93" i="97"/>
  <c r="K92" i="97"/>
  <c r="K96" i="97"/>
  <c r="K108" i="97"/>
  <c r="K99" i="97"/>
  <c r="K107" i="97"/>
  <c r="K103" i="97"/>
  <c r="K100" i="97"/>
  <c r="K110" i="97"/>
  <c r="K97" i="97"/>
  <c r="K91" i="97"/>
  <c r="K102" i="97"/>
  <c r="K109" i="97"/>
  <c r="K6" i="97"/>
  <c r="K264" i="97"/>
  <c r="K98" i="97"/>
  <c r="K89" i="97"/>
  <c r="K94"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45" i="97"/>
  <c r="J181" i="97"/>
  <c r="J180" i="97"/>
  <c r="J219" i="97"/>
  <c r="K219" i="97" s="1"/>
  <c r="K259" i="97"/>
  <c r="J128" i="97"/>
  <c r="J205" i="97"/>
  <c r="K205" i="97" s="1"/>
  <c r="J207" i="97"/>
  <c r="K207" i="97" s="1"/>
  <c r="J11" i="97"/>
  <c r="K11" i="97" s="1"/>
  <c r="J186" i="97"/>
  <c r="J14" i="97"/>
  <c r="J77" i="97"/>
  <c r="K77" i="97" s="1"/>
  <c r="J127" i="97"/>
  <c r="J63" i="97"/>
  <c r="J137" i="97"/>
  <c r="J111" i="97"/>
  <c r="J70" i="97"/>
  <c r="J175" i="97"/>
  <c r="J27" i="97"/>
  <c r="J58" i="97"/>
  <c r="K58"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27" i="97"/>
  <c r="K181" i="97"/>
  <c r="K14" i="97"/>
  <c r="K111" i="97"/>
  <c r="K175" i="97"/>
  <c r="K70" i="97"/>
  <c r="K137" i="97"/>
  <c r="K186" i="97"/>
  <c r="K180" i="97"/>
  <c r="K145" i="97"/>
  <c r="K128" i="97"/>
  <c r="K127" i="97"/>
  <c r="K63"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38" i="97"/>
  <c r="J64" i="97"/>
  <c r="J37" i="97"/>
  <c r="J9" i="97"/>
  <c r="J10" i="97"/>
  <c r="K10" i="97" s="1"/>
  <c r="J18" i="97"/>
  <c r="J208" i="97"/>
  <c r="J223" i="97"/>
  <c r="K223" i="97" s="1"/>
  <c r="J116" i="97"/>
  <c r="K116" i="97" s="1"/>
  <c r="J28" i="97"/>
  <c r="K28" i="97" s="1"/>
  <c r="J75" i="97"/>
  <c r="K75" i="97" s="1"/>
  <c r="J182" i="97"/>
  <c r="K182" i="97" s="1"/>
  <c r="J84" i="97"/>
  <c r="K84" i="97" s="1"/>
  <c r="J201" i="97"/>
  <c r="K201" i="97" s="1"/>
  <c r="J229" i="97"/>
  <c r="J41" i="97"/>
  <c r="J123" i="97"/>
  <c r="K123" i="97" s="1"/>
  <c r="J134" i="97"/>
  <c r="J46" i="97"/>
  <c r="K46" i="97" s="1"/>
  <c r="J21" i="97"/>
  <c r="J171" i="97"/>
  <c r="J122" i="97"/>
  <c r="J225" i="97"/>
  <c r="J142" i="97"/>
  <c r="K142" i="97" s="1"/>
  <c r="J33" i="97"/>
  <c r="J125" i="97"/>
  <c r="J48" i="97"/>
  <c r="K48" i="97" s="1"/>
  <c r="J197" i="97"/>
  <c r="K197" i="97" s="1"/>
  <c r="J193" i="97"/>
  <c r="K193" i="97" s="1"/>
  <c r="J130" i="97"/>
  <c r="K130" i="97" s="1"/>
  <c r="J20" i="97"/>
  <c r="K20" i="97" s="1"/>
  <c r="J224" i="97"/>
  <c r="K224" i="97" s="1"/>
  <c r="J177" i="97"/>
  <c r="J23" i="97"/>
  <c r="K23" i="97" s="1"/>
  <c r="J213" i="97"/>
  <c r="K213" i="97" s="1"/>
  <c r="J78" i="97"/>
  <c r="J82" i="97"/>
  <c r="J32" i="97"/>
  <c r="J47" i="97"/>
  <c r="K47" i="97" s="1"/>
  <c r="J210" i="97"/>
  <c r="K210" i="97" s="1"/>
  <c r="J117" i="97"/>
  <c r="J43" i="97"/>
  <c r="J38" i="97"/>
  <c r="K38" i="97" s="1"/>
  <c r="J226" i="97"/>
  <c r="J227" i="97"/>
  <c r="J147" i="97"/>
  <c r="J194" i="97"/>
  <c r="K194" i="97" s="1"/>
  <c r="J61" i="97"/>
  <c r="K61" i="97" s="1"/>
  <c r="J149" i="97"/>
  <c r="K149" i="97" s="1"/>
  <c r="J26" i="97"/>
  <c r="K26" i="97" s="1"/>
  <c r="J54" i="97"/>
  <c r="J209" i="97"/>
  <c r="J35" i="97"/>
  <c r="K35" i="97" s="1"/>
  <c r="J202" i="97"/>
  <c r="K202" i="97" s="1"/>
  <c r="J42" i="97"/>
  <c r="K42" i="97" s="1"/>
  <c r="J65" i="97"/>
  <c r="J162" i="97"/>
  <c r="K162" i="97" s="1"/>
  <c r="J220" i="97"/>
  <c r="K220" i="97" s="1"/>
  <c r="J131" i="97"/>
  <c r="K131" i="97" s="1"/>
  <c r="J59" i="97"/>
  <c r="J170" i="97"/>
  <c r="J19" i="97"/>
  <c r="J156" i="97"/>
  <c r="K156" i="97" s="1"/>
  <c r="J195" i="97"/>
  <c r="J25" i="97"/>
  <c r="K25" i="97" s="1"/>
  <c r="J121" i="97"/>
  <c r="J34" i="97"/>
  <c r="J81" i="97"/>
  <c r="K81" i="97" s="1"/>
  <c r="J222" i="97"/>
  <c r="J17" i="97"/>
  <c r="K17" i="97" s="1"/>
  <c r="J174" i="97"/>
  <c r="K174" i="97" s="1"/>
  <c r="J85" i="97"/>
  <c r="K85" i="97" s="1"/>
  <c r="J158" i="97"/>
  <c r="J168" i="97"/>
  <c r="K168" i="97" s="1"/>
  <c r="J146" i="97"/>
  <c r="J200" i="97"/>
  <c r="K200" i="97" s="1"/>
  <c r="J126" i="97"/>
  <c r="K126" i="97" s="1"/>
  <c r="J165" i="97"/>
  <c r="K165" i="97" s="1"/>
  <c r="J212" i="97"/>
  <c r="K212" i="97" s="1"/>
  <c r="J118" i="97"/>
  <c r="J153" i="97"/>
  <c r="K153" i="97" s="1"/>
  <c r="J53" i="97"/>
  <c r="K53" i="97" s="1"/>
  <c r="J133" i="97"/>
  <c r="J160" i="97"/>
  <c r="K160" i="97" s="1"/>
  <c r="J189" i="97"/>
  <c r="K189" i="97" s="1"/>
  <c r="J172" i="97"/>
  <c r="J55" i="97"/>
  <c r="J57" i="97"/>
  <c r="J159" i="97"/>
  <c r="K159" i="97" s="1"/>
  <c r="J31" i="97"/>
  <c r="K31" i="97" s="1"/>
  <c r="J132" i="97"/>
  <c r="K132" i="97" s="1"/>
  <c r="J185" i="97"/>
  <c r="K185" i="97" s="1"/>
  <c r="J230" i="97"/>
  <c r="J157" i="97"/>
  <c r="K157" i="97" s="1"/>
  <c r="J204" i="97"/>
  <c r="K204" i="97" s="1"/>
  <c r="J141" i="97"/>
  <c r="K141" i="97" s="1"/>
  <c r="J221" i="97"/>
  <c r="J139" i="97"/>
  <c r="K139" i="97" s="1"/>
  <c r="J30" i="97"/>
  <c r="K30" i="97" s="1"/>
  <c r="J214" i="97"/>
  <c r="K214" i="97" s="1"/>
  <c r="J176" i="97"/>
  <c r="K176" i="97" s="1"/>
  <c r="J50" i="97"/>
  <c r="K50" i="97" s="1"/>
  <c r="J86" i="97"/>
  <c r="J183" i="97"/>
  <c r="K183" i="97" s="1"/>
  <c r="J228" i="97"/>
  <c r="J13" i="97"/>
  <c r="K13" i="97" s="1"/>
  <c r="J114" i="97"/>
  <c r="K114" i="97" s="1"/>
  <c r="J36" i="97"/>
  <c r="J49" i="97"/>
  <c r="J166" i="97"/>
  <c r="K166" i="97" s="1"/>
  <c r="J22" i="97"/>
  <c r="K22" i="97" s="1"/>
  <c r="J44" i="97"/>
  <c r="K44" i="97" s="1"/>
  <c r="J112" i="97"/>
  <c r="K112" i="97" s="1"/>
  <c r="K265" i="97"/>
  <c r="J136" i="97"/>
  <c r="K136" i="97" s="1"/>
  <c r="J115" i="97"/>
  <c r="K115" i="97" s="1"/>
  <c r="J144" i="97"/>
  <c r="K144" i="97" s="1"/>
  <c r="K2" i="97"/>
  <c r="J74" i="97"/>
  <c r="J40" i="97"/>
  <c r="K40" i="97" s="1"/>
  <c r="J119" i="97"/>
  <c r="J196" i="97"/>
  <c r="J203" i="97"/>
  <c r="K203" i="97" s="1"/>
  <c r="K263" i="97"/>
  <c r="J88" i="97"/>
  <c r="K88" i="97" s="1"/>
  <c r="J155" i="97"/>
  <c r="K155" i="97" s="1"/>
  <c r="K258" i="97"/>
  <c r="K268" i="97"/>
  <c r="J83" i="97"/>
  <c r="K83" i="97" s="1"/>
  <c r="J154" i="97"/>
  <c r="K154" i="97" s="1"/>
  <c r="J62" i="97"/>
  <c r="K62" i="97" s="1"/>
  <c r="J135" i="97"/>
  <c r="K135" i="97" s="1"/>
  <c r="J76" i="97"/>
  <c r="K76" i="97" s="1"/>
  <c r="J120" i="97"/>
  <c r="K120" i="97" s="1"/>
  <c r="K3" i="97"/>
  <c r="J66" i="97"/>
  <c r="K66" i="97" s="1"/>
  <c r="J190" i="97"/>
  <c r="K190" i="97" s="1"/>
  <c r="J206" i="97"/>
  <c r="K206" i="97" s="1"/>
  <c r="J79" i="97"/>
  <c r="K79" i="97" s="1"/>
  <c r="J24" i="97"/>
  <c r="K24" i="97" s="1"/>
  <c r="J152" i="97"/>
  <c r="K152" i="97" s="1"/>
  <c r="J178" i="97"/>
  <c r="K178" i="97" s="1"/>
  <c r="J45" i="97"/>
  <c r="K45" i="97" s="1"/>
  <c r="J39" i="97"/>
  <c r="K39" i="97" s="1"/>
  <c r="J16" i="97"/>
  <c r="K16" i="97" s="1"/>
  <c r="J191" i="97"/>
  <c r="K191" i="97" s="1"/>
  <c r="K257" i="97"/>
  <c r="J217" i="97"/>
  <c r="K217" i="97" s="1"/>
  <c r="J80" i="97"/>
  <c r="K80" i="97" s="1"/>
  <c r="J52" i="97"/>
  <c r="K52" i="97" s="1"/>
  <c r="J29" i="97"/>
  <c r="K29" i="97" s="1"/>
  <c r="J215" i="97"/>
  <c r="K215" i="97" s="1"/>
  <c r="J216" i="97"/>
  <c r="K216" i="97" s="1"/>
  <c r="J143" i="97"/>
  <c r="K143" i="97" s="1"/>
  <c r="J87" i="97"/>
  <c r="K87" i="97" s="1"/>
  <c r="J72" i="97"/>
  <c r="K72" i="97" s="1"/>
  <c r="K4" i="97"/>
  <c r="J67" i="97"/>
  <c r="K67" i="97" s="1"/>
  <c r="J169" i="97"/>
  <c r="K169" i="97" s="1"/>
  <c r="J124" i="97"/>
  <c r="K124" i="97" s="1"/>
  <c r="J12" i="97"/>
  <c r="K12" i="97" s="1"/>
  <c r="J68" i="97"/>
  <c r="K68" i="97" s="1"/>
  <c r="J161" i="97"/>
  <c r="K161" i="97" s="1"/>
  <c r="J71" i="97"/>
  <c r="K71" i="97" s="1"/>
  <c r="J150" i="97"/>
  <c r="K150" i="97" s="1"/>
  <c r="J129" i="97"/>
  <c r="K129" i="97" s="1"/>
  <c r="J218" i="97"/>
  <c r="K218" i="97" s="1"/>
  <c r="K7" i="97"/>
  <c r="J8" i="97"/>
  <c r="K8" i="97" s="1"/>
  <c r="J151" i="97"/>
  <c r="K151" i="97" s="1"/>
  <c r="J140" i="97"/>
  <c r="K140" i="97" s="1"/>
  <c r="J192" i="97"/>
  <c r="K192" i="97" s="1"/>
  <c r="J164" i="97"/>
  <c r="K164"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51" i="97" s="1"/>
  <c r="B1532" i="23"/>
  <c r="J167" i="97" s="1"/>
  <c r="B1051" i="23"/>
  <c r="G1051" i="23" s="1"/>
  <c r="B1050" i="23"/>
  <c r="G1050" i="23" s="1"/>
  <c r="B873" i="23"/>
  <c r="J15" i="97" s="1"/>
  <c r="K15" i="97" s="1"/>
  <c r="B872" i="23"/>
  <c r="E872" i="23" s="1"/>
  <c r="B671" i="23"/>
  <c r="E671" i="23" s="1"/>
  <c r="B670" i="23"/>
  <c r="G670" i="23" s="1"/>
  <c r="B495" i="23"/>
  <c r="J73" i="97" s="1"/>
  <c r="B494" i="23"/>
  <c r="J69" i="97" s="1"/>
  <c r="K69" i="97" s="1"/>
  <c r="B411" i="23"/>
  <c r="E411" i="23" s="1"/>
  <c r="B410" i="23"/>
  <c r="F410" i="23" s="1"/>
  <c r="B332" i="23"/>
  <c r="G332" i="23" s="1"/>
  <c r="B331" i="23"/>
  <c r="E331" i="23" s="1"/>
  <c r="B237" i="23"/>
  <c r="E237" i="23" s="1"/>
  <c r="B236" i="23"/>
  <c r="G236" i="23" s="1"/>
  <c r="B153" i="23"/>
  <c r="J173" i="97" s="1"/>
  <c r="K173" i="97" s="1"/>
  <c r="B152" i="23"/>
  <c r="J163" i="97" s="1"/>
  <c r="K163"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3"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D648" i="1"/>
  <c r="D652" i="1"/>
  <c r="J652" i="1" s="1"/>
  <c r="D662" i="1"/>
  <c r="D665" i="1" s="1"/>
  <c r="D679" i="1"/>
  <c r="D687" i="1" s="1"/>
  <c r="D688" i="1"/>
  <c r="D690" i="1"/>
  <c r="D670" i="1"/>
  <c r="I670" i="1" s="1"/>
  <c r="D671" i="1"/>
  <c r="D752" i="1"/>
  <c r="D753" i="1"/>
  <c r="D754" i="1"/>
  <c r="D745" i="1"/>
  <c r="D746" i="1"/>
  <c r="D747" i="1"/>
  <c r="D806" i="1"/>
  <c r="D807" i="1"/>
  <c r="D815" i="1"/>
  <c r="D816" i="1"/>
  <c r="I816" i="1" s="1"/>
  <c r="M931" i="1"/>
  <c r="Q951" i="1"/>
  <c r="D959" i="1"/>
  <c r="J959" i="1" s="1"/>
  <c r="D960" i="1"/>
  <c r="N960" i="1" s="1"/>
  <c r="D785" i="1"/>
  <c r="I785" i="1" s="1"/>
  <c r="D786" i="1"/>
  <c r="N786" i="1" s="1"/>
  <c r="M826" i="1"/>
  <c r="D835" i="1"/>
  <c r="D838" i="1"/>
  <c r="D844" i="1"/>
  <c r="N795" i="1"/>
  <c r="D804" i="1"/>
  <c r="R804" i="1" s="1"/>
  <c r="Q852" i="1"/>
  <c r="D860" i="1"/>
  <c r="D872" i="1"/>
  <c r="D871" i="1" s="1"/>
  <c r="D873" i="1"/>
  <c r="D886" i="1"/>
  <c r="J886" i="1" s="1"/>
  <c r="D887" i="1"/>
  <c r="I887" i="1" s="1"/>
  <c r="D895" i="1"/>
  <c r="D896" i="1"/>
  <c r="N896" i="1" s="1"/>
  <c r="D903" i="1"/>
  <c r="D1049" i="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D1039" i="1"/>
  <c r="D1040" i="1"/>
  <c r="J1040" i="1" s="1"/>
  <c r="D1059" i="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7" i="1"/>
  <c r="D1720" i="1"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9" i="61" s="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A63" i="33"/>
  <c r="C63" i="33" s="1"/>
  <c r="A64" i="33"/>
  <c r="E64" i="33" s="1"/>
  <c r="A65" i="33"/>
  <c r="C65" i="33" s="1"/>
  <c r="A66" i="33"/>
  <c r="A67" i="33"/>
  <c r="E67" i="33" s="1"/>
  <c r="G67" i="33" s="1"/>
  <c r="A68" i="33"/>
  <c r="A69" i="33"/>
  <c r="D69" i="33" s="1"/>
  <c r="A70" i="33"/>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A69" i="42"/>
  <c r="D69" i="42" s="1"/>
  <c r="A70" i="42"/>
  <c r="D70" i="42" s="1"/>
  <c r="A71" i="42"/>
  <c r="A72" i="42"/>
  <c r="C72" i="42" s="1"/>
  <c r="A73" i="42"/>
  <c r="A74" i="42"/>
  <c r="E74" i="42" s="1"/>
  <c r="A75" i="42"/>
  <c r="A76" i="42"/>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A54" i="31"/>
  <c r="D54" i="31" s="1"/>
  <c r="A55" i="31"/>
  <c r="A56" i="31"/>
  <c r="D56" i="31" s="1"/>
  <c r="A57" i="31"/>
  <c r="C57" i="31" s="1"/>
  <c r="A58" i="31"/>
  <c r="E58" i="31" s="1"/>
  <c r="B58" i="31" s="1"/>
  <c r="A59" i="31"/>
  <c r="E59" i="31" s="1"/>
  <c r="B59" i="31" s="1"/>
  <c r="A60" i="31"/>
  <c r="D60" i="31" s="1"/>
  <c r="A61" i="31"/>
  <c r="A62" i="31"/>
  <c r="E62" i="31" s="1"/>
  <c r="A63" i="31"/>
  <c r="C63" i="31" s="1"/>
  <c r="A64" i="31"/>
  <c r="A65" i="31"/>
  <c r="D65" i="31" s="1"/>
  <c r="A66" i="31"/>
  <c r="E66" i="31" s="1"/>
  <c r="G66" i="31" s="1"/>
  <c r="A67" i="31"/>
  <c r="A68" i="31"/>
  <c r="C68" i="31" s="1"/>
  <c r="A78" i="31"/>
  <c r="E78" i="31" s="1"/>
  <c r="B78" i="31" s="1"/>
  <c r="A81" i="31"/>
  <c r="E81" i="31" s="1"/>
  <c r="A82" i="31"/>
  <c r="D82" i="31" s="1"/>
  <c r="A83" i="3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A25" i="35"/>
  <c r="C25" i="35" s="1"/>
  <c r="A26" i="35"/>
  <c r="A27" i="35"/>
  <c r="C27" i="35" s="1"/>
  <c r="A28" i="35"/>
  <c r="D28" i="35" s="1"/>
  <c r="A29" i="35"/>
  <c r="D29" i="35" s="1"/>
  <c r="A30" i="35"/>
  <c r="A31" i="35"/>
  <c r="A32" i="35"/>
  <c r="C32" i="35" s="1"/>
  <c r="A33" i="35"/>
  <c r="D33" i="35" s="1"/>
  <c r="A34" i="35"/>
  <c r="A35" i="35"/>
  <c r="D35" i="35" s="1"/>
  <c r="A36" i="35"/>
  <c r="E36" i="35" s="1"/>
  <c r="A37" i="35"/>
  <c r="A38" i="35"/>
  <c r="A39" i="35"/>
  <c r="A40" i="35"/>
  <c r="E40" i="35" s="1"/>
  <c r="G40" i="35" s="1"/>
  <c r="A41" i="35"/>
  <c r="D41" i="35" s="1"/>
  <c r="A42" i="35"/>
  <c r="E42" i="35" s="1"/>
  <c r="A43" i="35"/>
  <c r="D43" i="35" s="1"/>
  <c r="A45" i="35"/>
  <c r="D45" i="35" s="1"/>
  <c r="A46" i="35"/>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A63" i="35"/>
  <c r="E63" i="35" s="1"/>
  <c r="A64" i="35"/>
  <c r="E64" i="35" s="1"/>
  <c r="A65" i="35"/>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A23" i="34"/>
  <c r="D23" i="34" s="1"/>
  <c r="A24" i="34"/>
  <c r="E24" i="34" s="1"/>
  <c r="B24" i="34" s="1"/>
  <c r="A25" i="34"/>
  <c r="A26" i="34"/>
  <c r="A27" i="34"/>
  <c r="E27" i="34" s="1"/>
  <c r="B27" i="34" s="1"/>
  <c r="A28" i="34"/>
  <c r="E28" i="34" s="1"/>
  <c r="G28" i="34" s="1"/>
  <c r="A29" i="34"/>
  <c r="A30" i="34"/>
  <c r="A31" i="34"/>
  <c r="E31" i="34" s="1"/>
  <c r="A32" i="34"/>
  <c r="D32" i="34" s="1"/>
  <c r="A33" i="34"/>
  <c r="C33" i="34" s="1"/>
  <c r="A34" i="34"/>
  <c r="A35" i="34"/>
  <c r="A36" i="34"/>
  <c r="D36" i="34" s="1"/>
  <c r="A37" i="34"/>
  <c r="A38" i="34"/>
  <c r="A39" i="34"/>
  <c r="A40" i="34"/>
  <c r="E40" i="34" s="1"/>
  <c r="A41" i="34"/>
  <c r="C41" i="34" s="1"/>
  <c r="A42" i="34"/>
  <c r="E42" i="34" s="1"/>
  <c r="G42" i="34" s="1"/>
  <c r="A43" i="34"/>
  <c r="A44" i="34"/>
  <c r="A45" i="34"/>
  <c r="D45" i="34" s="1"/>
  <c r="A46" i="34"/>
  <c r="E46" i="34" s="1"/>
  <c r="A47" i="34"/>
  <c r="C47" i="34" s="1"/>
  <c r="A48" i="34"/>
  <c r="E48" i="34" s="1"/>
  <c r="A49" i="34"/>
  <c r="C49" i="34" s="1"/>
  <c r="A50" i="34"/>
  <c r="E50" i="34" s="1"/>
  <c r="A51" i="34"/>
  <c r="A52" i="34"/>
  <c r="C52" i="34" s="1"/>
  <c r="A53" i="34"/>
  <c r="D53" i="34" s="1"/>
  <c r="A54" i="34"/>
  <c r="A55" i="34"/>
  <c r="E55" i="34" s="1"/>
  <c r="G55" i="34" s="1"/>
  <c r="D55" i="34"/>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GT182" i="16" s="1"/>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M911" i="1"/>
  <c r="K1958" i="1"/>
  <c r="A97" i="42"/>
  <c r="D97" i="42" s="1"/>
  <c r="A96" i="42"/>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D2115"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C28" i="35"/>
  <c r="C80" i="42"/>
  <c r="D68" i="31"/>
  <c r="C54" i="35"/>
  <c r="C46" i="35"/>
  <c r="C55" i="34"/>
  <c r="D33" i="34"/>
  <c r="D25" i="34"/>
  <c r="C38" i="42"/>
  <c r="C36" i="42"/>
  <c r="C69" i="33"/>
  <c r="C36" i="34"/>
  <c r="D46" i="42"/>
  <c r="D14" i="42"/>
  <c r="E38" i="42"/>
  <c r="B38" i="42" s="1"/>
  <c r="H1778" i="1"/>
  <c r="P1778" i="1" s="1"/>
  <c r="C1778" i="1" s="1"/>
  <c r="E34" i="42"/>
  <c r="G34" i="42" s="1"/>
  <c r="D30" i="35"/>
  <c r="C27" i="33"/>
  <c r="E245" i="42"/>
  <c r="G245" i="42" s="1"/>
  <c r="D38" i="33"/>
  <c r="D30" i="33"/>
  <c r="C10" i="35"/>
  <c r="C45" i="35"/>
  <c r="C30" i="35"/>
  <c r="D89" i="42"/>
  <c r="D45" i="33"/>
  <c r="C60" i="31"/>
  <c r="D31" i="31"/>
  <c r="C58" i="34"/>
  <c r="D45" i="42"/>
  <c r="C65" i="35"/>
  <c r="D58" i="33"/>
  <c r="E194" i="31"/>
  <c r="G194" i="31" s="1"/>
  <c r="J1586" i="1"/>
  <c r="H201" i="23"/>
  <c r="D197" i="23"/>
  <c r="N1475" i="1"/>
  <c r="N97" i="1"/>
  <c r="E22" i="34"/>
  <c r="B22" i="34" s="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C112" i="42"/>
  <c r="C103" i="42"/>
  <c r="E91" i="42"/>
  <c r="B91" i="42" s="1"/>
  <c r="E53" i="42"/>
  <c r="D16" i="31"/>
  <c r="D88" i="42"/>
  <c r="D39" i="31"/>
  <c r="D91" i="42"/>
  <c r="D21" i="33"/>
  <c r="J2321" i="1"/>
  <c r="D1056" i="1"/>
  <c r="D1055" i="1" s="1"/>
  <c r="N157" i="1"/>
  <c r="N158" i="1" s="1"/>
  <c r="H1542" i="1"/>
  <c r="P1542" i="1" s="1"/>
  <c r="C1542" i="1" s="1"/>
  <c r="J1542" i="1"/>
  <c r="H2239" i="1"/>
  <c r="P2239" i="1" s="1"/>
  <c r="C2239" i="1" s="1"/>
  <c r="H1541" i="1"/>
  <c r="P1541" i="1" s="1"/>
  <c r="C1541" i="1" s="1"/>
  <c r="J1541" i="1"/>
  <c r="D1737" i="1"/>
  <c r="H2317" i="23"/>
  <c r="D87" i="31"/>
  <c r="D1017" i="1"/>
  <c r="D1016" i="1" s="1"/>
  <c r="M584" i="1"/>
  <c r="M594" i="1"/>
  <c r="M593" i="1"/>
  <c r="M592" i="1"/>
  <c r="M573" i="1"/>
  <c r="M574" i="1"/>
  <c r="AG69" i="61"/>
  <c r="J1170" i="1"/>
  <c r="CR95" i="16"/>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N887" i="1"/>
  <c r="M887" i="1"/>
  <c r="Q851" i="1"/>
  <c r="M851" i="1"/>
  <c r="M796" i="1"/>
  <c r="N796" i="1"/>
  <c r="M785" i="1"/>
  <c r="O785" i="1"/>
  <c r="N785" i="1"/>
  <c r="Q950" i="1"/>
  <c r="N950" i="1"/>
  <c r="M950" i="1"/>
  <c r="N941" i="1"/>
  <c r="M941" i="1"/>
  <c r="N815" i="1"/>
  <c r="M679" i="1"/>
  <c r="M662" i="1"/>
  <c r="N662" i="1"/>
  <c r="D803" i="1"/>
  <c r="R803" i="1" s="1"/>
  <c r="M729" i="1"/>
  <c r="H1802" i="1"/>
  <c r="P1802" i="1" s="1"/>
  <c r="C1802" i="1" s="1"/>
  <c r="H1796" i="1"/>
  <c r="P1796" i="1" s="1"/>
  <c r="C1796" i="1" s="1"/>
  <c r="M896" i="1"/>
  <c r="I1696" i="1"/>
  <c r="M76" i="1"/>
  <c r="J818" i="1"/>
  <c r="E174" i="42"/>
  <c r="G174" i="42" s="1"/>
  <c r="I76" i="1"/>
  <c r="I1115" i="1"/>
  <c r="I1332" i="1"/>
  <c r="I1235" i="1"/>
  <c r="R796" i="1"/>
  <c r="Q796" i="1"/>
  <c r="R795" i="1"/>
  <c r="Q795" i="1"/>
  <c r="C18" i="35"/>
  <c r="E70" i="33"/>
  <c r="B70" i="33" s="1"/>
  <c r="J2337" i="1"/>
  <c r="I838" i="1"/>
  <c r="I840" i="1"/>
  <c r="I844" i="1"/>
  <c r="I839" i="1"/>
  <c r="I841" i="1"/>
  <c r="I837" i="1"/>
  <c r="E72" i="42"/>
  <c r="B72" i="42" s="1"/>
  <c r="H1441" i="23"/>
  <c r="H1448" i="23"/>
  <c r="H1456" i="23" s="1"/>
  <c r="H1459" i="23" s="1"/>
  <c r="H1482" i="23"/>
  <c r="H1165" i="23"/>
  <c r="H1099" i="23"/>
  <c r="CK95" i="16"/>
  <c r="H1179" i="23"/>
  <c r="H1182" i="23"/>
  <c r="H1174" i="23"/>
  <c r="H1177" i="23"/>
  <c r="M695" i="1"/>
  <c r="E68" i="42"/>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E96" i="42"/>
  <c r="B96" i="42" s="1"/>
  <c r="D47" i="34"/>
  <c r="C69" i="31"/>
  <c r="J869" i="1"/>
  <c r="D53" i="33"/>
  <c r="M730" i="1"/>
  <c r="BJ69" i="61"/>
  <c r="D2207" i="1" s="1"/>
  <c r="H2207" i="1" s="1"/>
  <c r="P2207" i="1" s="1"/>
  <c r="C2207" i="1" s="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786" i="1"/>
  <c r="I921" i="1"/>
  <c r="I930" i="1"/>
  <c r="I940" i="1"/>
  <c r="I951" i="1"/>
  <c r="I971" i="1"/>
  <c r="I1003" i="1"/>
  <c r="I1031"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FA95" i="16"/>
  <c r="J1159" i="1"/>
  <c r="I911"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E82" i="42"/>
  <c r="G82" i="42" s="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E28" i="33"/>
  <c r="B28" i="33" s="1"/>
  <c r="E51" i="33"/>
  <c r="G51" i="33" s="1"/>
  <c r="I1043" i="1"/>
  <c r="I1413" i="1"/>
  <c r="I1412" i="1"/>
  <c r="I1430" i="1"/>
  <c r="I1432" i="1"/>
  <c r="I1238" i="1"/>
  <c r="I1334" i="1"/>
  <c r="I1125" i="1"/>
  <c r="N604" i="1"/>
  <c r="N603" i="1"/>
  <c r="I1198" i="1"/>
  <c r="I1236" i="1"/>
  <c r="E69" i="33"/>
  <c r="G69" i="33" s="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22"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E73" i="42"/>
  <c r="I1146" i="1"/>
  <c r="I1143" i="1"/>
  <c r="I1319" i="1"/>
  <c r="I1324" i="1"/>
  <c r="N743" i="1"/>
  <c r="N757" i="1"/>
  <c r="I1354" i="1"/>
  <c r="I1349" i="1"/>
  <c r="I1261" i="1"/>
  <c r="I1353" i="1"/>
  <c r="I1348" i="1"/>
  <c r="M600"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9" i="34"/>
  <c r="B39" i="34" s="1"/>
  <c r="E36" i="34"/>
  <c r="B36" i="34" s="1"/>
  <c r="I1389" i="1"/>
  <c r="I1386" i="1"/>
  <c r="I1384" i="1"/>
  <c r="J1168" i="1"/>
  <c r="J1169" i="1"/>
  <c r="J1173" i="1"/>
  <c r="J1167" i="1"/>
  <c r="J1171" i="1"/>
  <c r="I1117" i="1"/>
  <c r="I1112" i="1"/>
  <c r="I1114"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2"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I959"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E37" i="35"/>
  <c r="E107" i="42"/>
  <c r="G107" i="42" s="1"/>
  <c r="I225" i="1"/>
  <c r="I226" i="1"/>
  <c r="I189" i="1"/>
  <c r="I190" i="1"/>
  <c r="I165" i="1"/>
  <c r="I166" i="1"/>
  <c r="N1198" i="1"/>
  <c r="N1199" i="1"/>
  <c r="M1440" i="1"/>
  <c r="M1441" i="1"/>
  <c r="E14" i="33"/>
  <c r="G14" i="33" s="1"/>
  <c r="I1291" i="1"/>
  <c r="I1292" i="1"/>
  <c r="I1290" i="1"/>
  <c r="I1279" i="1"/>
  <c r="I1276" i="1"/>
  <c r="J601" i="1"/>
  <c r="J602" i="1"/>
  <c r="I119" i="1"/>
  <c r="I118" i="1"/>
  <c r="I819" i="1"/>
  <c r="I1248" i="1"/>
  <c r="I1254" i="1"/>
  <c r="J1345" i="1"/>
  <c r="J1353" i="1"/>
  <c r="I1377" i="1"/>
  <c r="M702" i="1"/>
  <c r="N1430" i="1"/>
  <c r="M167" i="1"/>
  <c r="M495" i="1"/>
  <c r="M540" i="1"/>
  <c r="I1123" i="1"/>
  <c r="E19" i="35"/>
  <c r="B19" i="35" s="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E62" i="33"/>
  <c r="B62" i="33" s="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E53" i="33"/>
  <c r="G53" i="33" s="1"/>
  <c r="E43" i="34"/>
  <c r="G43" i="34" s="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642"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E114" i="42"/>
  <c r="B114" i="42" s="1"/>
  <c r="E88" i="42"/>
  <c r="E36" i="42"/>
  <c r="E18" i="42"/>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59" i="1"/>
  <c r="I1049" i="1"/>
  <c r="I1053" i="1"/>
  <c r="J1010" i="1"/>
  <c r="J1013" i="1"/>
  <c r="I888" i="1"/>
  <c r="J846" i="1"/>
  <c r="I820" i="1"/>
  <c r="J809" i="1"/>
  <c r="J806" i="1"/>
  <c r="I303" i="1"/>
  <c r="I97" i="1"/>
  <c r="I79" i="1"/>
  <c r="I94" i="1"/>
  <c r="E54" i="33"/>
  <c r="M642" i="1"/>
  <c r="M611" i="1"/>
  <c r="N620" i="1"/>
  <c r="I1131" i="1"/>
  <c r="E112" i="42"/>
  <c r="B112" i="42" s="1"/>
  <c r="M420" i="1"/>
  <c r="M419" i="1"/>
  <c r="N504" i="1"/>
  <c r="N503" i="1"/>
  <c r="I897" i="1"/>
  <c r="I1187" i="1"/>
  <c r="J645" i="1"/>
  <c r="J1365" i="1"/>
  <c r="I624" i="1"/>
  <c r="I702" i="1"/>
  <c r="M276" i="1"/>
  <c r="E62" i="35"/>
  <c r="G62" i="35" s="1"/>
  <c r="N143" i="1"/>
  <c r="N144" i="1"/>
  <c r="M165" i="1"/>
  <c r="M166" i="1"/>
  <c r="N456" i="1"/>
  <c r="N454" i="1"/>
  <c r="N249" i="1"/>
  <c r="N245" i="1"/>
  <c r="M525" i="1"/>
  <c r="M524" i="1"/>
  <c r="M446" i="1"/>
  <c r="M447" i="1"/>
  <c r="M472" i="1"/>
  <c r="M471" i="1"/>
  <c r="M474" i="1"/>
  <c r="E21" i="34"/>
  <c r="E75" i="42"/>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E33" i="34"/>
  <c r="B33" i="34" s="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J838"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79" i="1"/>
  <c r="I683" i="1"/>
  <c r="I680" i="1"/>
  <c r="I682" i="1"/>
  <c r="I674" i="1"/>
  <c r="I675" i="1"/>
  <c r="I684" i="1"/>
  <c r="I818" i="1"/>
  <c r="I806" i="1"/>
  <c r="I831" i="1"/>
  <c r="I827" i="1"/>
  <c r="I867" i="1"/>
  <c r="I798" i="1"/>
  <c r="I855" i="1"/>
  <c r="I796" i="1"/>
  <c r="I854" i="1"/>
  <c r="I869" i="1"/>
  <c r="I931" i="1"/>
  <c r="I933" i="1"/>
  <c r="I953" i="1"/>
  <c r="I952" i="1"/>
  <c r="I1010"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E76" i="42"/>
  <c r="J1333" i="1"/>
  <c r="J1335" i="1"/>
  <c r="I912" i="1"/>
  <c r="J786" i="1"/>
  <c r="J785"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E15" i="33"/>
  <c r="G15" i="33" s="1"/>
  <c r="M1209" i="1"/>
  <c r="M421" i="1"/>
  <c r="M1449" i="1"/>
  <c r="M1457" i="1"/>
  <c r="M258" i="1"/>
  <c r="E24" i="35"/>
  <c r="J621" i="1"/>
  <c r="E103" i="42"/>
  <c r="G103" i="42" s="1"/>
  <c r="E46" i="42"/>
  <c r="G46" i="42" s="1"/>
  <c r="N709" i="1"/>
  <c r="E106" i="42"/>
  <c r="N1467" i="1"/>
  <c r="N1466" i="1"/>
  <c r="N1468" i="1"/>
  <c r="N1449" i="1"/>
  <c r="B55" i="34"/>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E67" i="42"/>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E43" i="42"/>
  <c r="I276" i="1"/>
  <c r="E28" i="42"/>
  <c r="J867" i="1"/>
  <c r="J851" i="1"/>
  <c r="I235" i="1"/>
  <c r="I294" i="1"/>
  <c r="J853" i="1"/>
  <c r="J796" i="1"/>
  <c r="E247" i="42"/>
  <c r="G247" i="42" s="1"/>
  <c r="E20" i="42"/>
  <c r="G20" i="42" s="1"/>
  <c r="J1157" i="1"/>
  <c r="H170" i="23"/>
  <c r="H171" i="23" s="1"/>
  <c r="J1156" i="1"/>
  <c r="J1158" i="1"/>
  <c r="J1154" i="1"/>
  <c r="J1155" i="1"/>
  <c r="G33" i="31"/>
  <c r="C846" i="1"/>
  <c r="N2070" i="1"/>
  <c r="M709" i="1"/>
  <c r="M710" i="1"/>
  <c r="M716" i="1"/>
  <c r="M717" i="1"/>
  <c r="J1123" i="1"/>
  <c r="J1127" i="1"/>
  <c r="J1122" i="1"/>
  <c r="J1126" i="1"/>
  <c r="J1125" i="1"/>
  <c r="J1124" i="1"/>
  <c r="J1050" i="1"/>
  <c r="J1053" i="1"/>
  <c r="J1051" i="1"/>
  <c r="J1049" i="1"/>
  <c r="J1052" i="1"/>
  <c r="J1004" i="1"/>
  <c r="J1003" i="1"/>
  <c r="J951" i="1"/>
  <c r="J950" i="1"/>
  <c r="J952" i="1"/>
  <c r="J953" i="1"/>
  <c r="E46" i="31"/>
  <c r="G46" i="31" s="1"/>
  <c r="J931" i="1"/>
  <c r="J933" i="1"/>
  <c r="J932" i="1"/>
  <c r="J930" i="1"/>
  <c r="J921" i="1"/>
  <c r="J920" i="1"/>
  <c r="J923" i="1"/>
  <c r="J922" i="1"/>
  <c r="J912" i="1"/>
  <c r="J913" i="1"/>
  <c r="E53" i="31"/>
  <c r="G53" i="31" s="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E26" i="31"/>
  <c r="G26" i="31" s="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E25" i="31"/>
  <c r="E18" i="31"/>
  <c r="G18" i="31" s="1"/>
  <c r="J167" i="1"/>
  <c r="J310" i="1"/>
  <c r="J20" i="1"/>
  <c r="J421" i="1"/>
  <c r="J19" i="1"/>
  <c r="J154" i="1"/>
  <c r="J495" i="1"/>
  <c r="J408" i="1"/>
  <c r="J30" i="1"/>
  <c r="J56" i="1"/>
  <c r="J259" i="1"/>
  <c r="J145" i="1"/>
  <c r="J227" i="1"/>
  <c r="J485" i="1"/>
  <c r="J237" i="1"/>
  <c r="J246" i="1"/>
  <c r="E9" i="31"/>
  <c r="J504" i="1"/>
  <c r="J503" i="1"/>
  <c r="E10" i="3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E37" i="31"/>
  <c r="G37" i="31" s="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E60" i="31"/>
  <c r="B60" i="31" s="1"/>
  <c r="J1024" i="1"/>
  <c r="J1021" i="1"/>
  <c r="J1023" i="1"/>
  <c r="J1020" i="1"/>
  <c r="J1032" i="1"/>
  <c r="J1033" i="1"/>
  <c r="J1031" i="1"/>
  <c r="J1092" i="1"/>
  <c r="J1041" i="1"/>
  <c r="J1095" i="1"/>
  <c r="J1043" i="1"/>
  <c r="J1093" i="1"/>
  <c r="J1042" i="1"/>
  <c r="J1094" i="1"/>
  <c r="E64" i="31"/>
  <c r="G64" i="31" s="1"/>
  <c r="E68" i="3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E74" i="31"/>
  <c r="B74" i="31" s="1"/>
  <c r="J1181" i="1"/>
  <c r="J1179" i="1"/>
  <c r="J1180" i="1"/>
  <c r="J1182" i="1"/>
  <c r="J1183" i="1"/>
  <c r="J1178" i="1"/>
  <c r="J1196" i="1"/>
  <c r="J1197" i="1"/>
  <c r="J1199" i="1"/>
  <c r="J1200" i="1"/>
  <c r="J1198" i="1"/>
  <c r="J1201" i="1"/>
  <c r="J1202" i="1"/>
  <c r="E77" i="31"/>
  <c r="G77" i="31" s="1"/>
  <c r="J1210" i="1"/>
  <c r="J1209" i="1"/>
  <c r="J1211" i="1"/>
  <c r="J1212" i="1"/>
  <c r="J1207" i="1"/>
  <c r="J1208" i="1"/>
  <c r="J1220" i="1"/>
  <c r="J1219" i="1"/>
  <c r="J1216" i="1"/>
  <c r="J1218" i="1"/>
  <c r="J1217" i="1"/>
  <c r="J1423" i="1"/>
  <c r="J1421" i="1"/>
  <c r="J1422" i="1"/>
  <c r="J1477" i="1"/>
  <c r="J1475" i="1"/>
  <c r="J1476" i="1"/>
  <c r="E84" i="31"/>
  <c r="B84" i="31" s="1"/>
  <c r="E87" i="31"/>
  <c r="B87" i="31" s="1"/>
  <c r="E83" i="3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8" i="35"/>
  <c r="G58" i="35" s="1"/>
  <c r="E57" i="35"/>
  <c r="B57" i="35" s="1"/>
  <c r="N1396" i="1"/>
  <c r="N1397" i="1"/>
  <c r="E56" i="35"/>
  <c r="B56" i="35" s="1"/>
  <c r="N1224" i="1"/>
  <c r="N1225" i="1"/>
  <c r="N1228" i="1"/>
  <c r="N1226" i="1"/>
  <c r="N1227" i="1"/>
  <c r="N1216" i="1"/>
  <c r="N1218" i="1"/>
  <c r="N1220" i="1"/>
  <c r="N1219" i="1"/>
  <c r="N1217" i="1"/>
  <c r="E54" i="35"/>
  <c r="B54" i="35" s="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E49" i="35"/>
  <c r="N1102" i="1"/>
  <c r="N1103" i="1"/>
  <c r="N1099" i="1"/>
  <c r="N1098" i="1"/>
  <c r="N1101" i="1"/>
  <c r="N1100" i="1"/>
  <c r="N292" i="1"/>
  <c r="N294" i="1"/>
  <c r="N293" i="1"/>
  <c r="N285" i="1"/>
  <c r="N284" i="1"/>
  <c r="N275" i="1"/>
  <c r="N277" i="1"/>
  <c r="N276" i="1"/>
  <c r="N268" i="1"/>
  <c r="N267" i="1"/>
  <c r="N257" i="1"/>
  <c r="N258" i="1"/>
  <c r="E32" i="35"/>
  <c r="B32" i="35" s="1"/>
  <c r="N215" i="1"/>
  <c r="N214" i="1"/>
  <c r="N216" i="1"/>
  <c r="E30" i="35"/>
  <c r="N236" i="1"/>
  <c r="N235" i="1"/>
  <c r="N226" i="1"/>
  <c r="N225" i="1"/>
  <c r="N206" i="1"/>
  <c r="N207" i="1"/>
  <c r="E26" i="35"/>
  <c r="B26" i="35" s="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C47" i="42" l="1"/>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112" i="42"/>
  <c r="G9" i="35"/>
  <c r="G14" i="31"/>
  <c r="G91" i="42"/>
  <c r="G60"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CS307" i="70"/>
  <c r="H459" i="23"/>
  <c r="H477" i="23"/>
  <c r="H482" i="23" s="1"/>
  <c r="J184" i="97"/>
  <c r="K184"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6" i="42"/>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68" i="31"/>
  <c r="G68" i="3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B56" i="34"/>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37" i="31"/>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B184" i="16" s="1"/>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187" i="97"/>
  <c r="K187" i="97" s="1"/>
  <c r="T885" i="1"/>
  <c r="T1420" i="1"/>
  <c r="T1206" i="1"/>
  <c r="T1121" i="1"/>
  <c r="T453" i="1"/>
  <c r="T339" i="1"/>
  <c r="T274" i="1"/>
  <c r="T748" i="1"/>
  <c r="T949" i="1"/>
  <c r="C43" i="33"/>
  <c r="D43" i="33"/>
  <c r="D1486" i="1"/>
  <c r="D1594" i="1"/>
  <c r="G70" i="31"/>
  <c r="B13" i="31"/>
  <c r="CL95" i="16"/>
  <c r="E27" i="35"/>
  <c r="B27" i="35" s="1"/>
  <c r="O572" i="1"/>
  <c r="J919" i="1"/>
  <c r="B28" i="34"/>
  <c r="G114" i="42"/>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I1011" i="1"/>
  <c r="C110" i="42"/>
  <c r="D63" i="31"/>
  <c r="D41" i="34"/>
  <c r="C59" i="33"/>
  <c r="CN306" i="70"/>
  <c r="AJ229" i="70"/>
  <c r="EW95" i="16"/>
  <c r="GH95" i="16"/>
  <c r="ER182" i="16"/>
  <c r="FI182" i="16"/>
  <c r="FI184" i="16" s="1"/>
  <c r="FJ182" i="16"/>
  <c r="FJ184" i="16" s="1"/>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11" i="97"/>
  <c r="K211" i="97" s="1"/>
  <c r="J113" i="97"/>
  <c r="K113"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188" i="97"/>
  <c r="K188" i="97" s="1"/>
  <c r="F107" i="23"/>
  <c r="J60" i="97"/>
  <c r="H165" i="23"/>
  <c r="H108" i="23"/>
  <c r="K227" i="97"/>
  <c r="E178" i="23"/>
  <c r="J148" i="97"/>
  <c r="K148" i="97" s="1"/>
  <c r="K267" i="97"/>
  <c r="K64" i="97"/>
  <c r="K134" i="97"/>
  <c r="K230" i="97"/>
  <c r="K270"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53" i="35"/>
  <c r="B53" i="35"/>
  <c r="D37" i="42"/>
  <c r="E37" i="42"/>
  <c r="B37" i="42" s="1"/>
  <c r="D18" i="33"/>
  <c r="E18" i="33"/>
  <c r="B18" i="33" s="1"/>
  <c r="BF182" i="70"/>
  <c r="G74" i="31"/>
  <c r="G90" i="31"/>
  <c r="B32" i="31"/>
  <c r="B8"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B50" i="42"/>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C22" i="31"/>
  <c r="E22" i="31"/>
  <c r="C35" i="42"/>
  <c r="D35" i="42"/>
  <c r="E35" i="42"/>
  <c r="B35" i="42" s="1"/>
  <c r="C10" i="42"/>
  <c r="U307" i="70"/>
  <c r="CR229" i="70"/>
  <c r="CP229" i="70"/>
  <c r="D21" i="35"/>
  <c r="E21" i="35"/>
  <c r="B21" i="35" s="1"/>
  <c r="T95" i="16"/>
  <c r="M838" i="1"/>
  <c r="N838" i="1"/>
  <c r="C67" i="31"/>
  <c r="D67" i="31"/>
  <c r="G54" i="35"/>
  <c r="G57" i="34"/>
  <c r="G84" i="31"/>
  <c r="B11" i="31"/>
  <c r="B69"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C30" i="33"/>
  <c r="E30" i="33"/>
  <c r="G30" i="33" s="1"/>
  <c r="BE307" i="70"/>
  <c r="D22" i="35"/>
  <c r="C22" i="35"/>
  <c r="FR95" i="16"/>
  <c r="FO95" i="16"/>
  <c r="GD95" i="16"/>
  <c r="FY95" i="16"/>
  <c r="GC95" i="16"/>
  <c r="FG95" i="16"/>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A184" i="16" s="1"/>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E181" i="31"/>
  <c r="G181" i="31" s="1"/>
  <c r="G31" i="33"/>
  <c r="B31" i="33"/>
  <c r="G37" i="33"/>
  <c r="B89" i="42"/>
  <c r="G39" i="34"/>
  <c r="C38" i="35"/>
  <c r="D38" i="35"/>
  <c r="CS229" i="70"/>
  <c r="CN169" i="70"/>
  <c r="BG160" i="70"/>
  <c r="G32" i="35"/>
  <c r="G27" i="31"/>
  <c r="B62" i="31"/>
  <c r="G62" i="31"/>
  <c r="B29" i="42"/>
  <c r="N582" i="1"/>
  <c r="D54" i="34"/>
  <c r="C54" i="34"/>
  <c r="E54" i="34"/>
  <c r="C64" i="31"/>
  <c r="D64" i="31"/>
  <c r="BC229" i="70"/>
  <c r="B59" i="35"/>
  <c r="B46" i="31"/>
  <c r="E38" i="35"/>
  <c r="E50" i="35"/>
  <c r="B21" i="31"/>
  <c r="B61" i="42"/>
  <c r="O582" i="1"/>
  <c r="B42" i="34"/>
  <c r="G19" i="35"/>
  <c r="G58" i="31"/>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G17" i="34"/>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G37" i="42"/>
  <c r="E77" i="42"/>
  <c r="G47" i="35"/>
  <c r="B47" i="35"/>
  <c r="D44" i="42"/>
  <c r="E44" i="42"/>
  <c r="C44" i="42"/>
  <c r="BU229" i="70"/>
  <c r="BF169" i="70"/>
  <c r="M920" i="1"/>
  <c r="N920" i="1"/>
  <c r="G57" i="35"/>
  <c r="G51" i="35"/>
  <c r="G36" i="31"/>
  <c r="B18" i="31"/>
  <c r="E76" i="31"/>
  <c r="B65" i="34"/>
  <c r="G23" i="33"/>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EA184" i="16" s="1"/>
  <c r="D1571" i="1" s="1"/>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EC184" i="16" s="1"/>
  <c r="DP182" i="16"/>
  <c r="CA182" i="16"/>
  <c r="CA184" i="16" s="1"/>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EI184" i="16" s="1"/>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J184" i="16" s="1"/>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29" i="1"/>
  <c r="BE69" i="61"/>
  <c r="D2204" i="1" s="1"/>
  <c r="H2204" i="1" s="1"/>
  <c r="P2204" i="1" s="1"/>
  <c r="C2204" i="1" s="1"/>
  <c r="AX69" i="61"/>
  <c r="DJ182" i="16"/>
  <c r="FR182" i="16"/>
  <c r="FR184" i="16" s="1"/>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BP184" i="16" s="1"/>
  <c r="D1578" i="1" s="1"/>
  <c r="EH95" i="16"/>
  <c r="E132" i="33"/>
  <c r="G132" i="33" s="1"/>
  <c r="H2002" i="1"/>
  <c r="P2002" i="1" s="1"/>
  <c r="C2002" i="1" s="1"/>
  <c r="BC69" i="61"/>
  <c r="AN69" i="61"/>
  <c r="FY182" i="16"/>
  <c r="FP182" i="16"/>
  <c r="FP184" i="16" s="1"/>
  <c r="GR182" i="16"/>
  <c r="BY182" i="16"/>
  <c r="BY184" i="16" s="1"/>
  <c r="EN95" i="16"/>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AT184" i="16" s="1"/>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O184" i="16" s="1"/>
  <c r="BQ95" i="16"/>
  <c r="BQ184" i="16" s="1"/>
  <c r="AD69" i="61"/>
  <c r="D2189" i="1" s="1"/>
  <c r="D2222" i="1" s="1"/>
  <c r="H2222" i="1" s="1"/>
  <c r="P2222" i="1" s="1"/>
  <c r="C2222" i="1" s="1"/>
  <c r="D1027" i="1"/>
  <c r="D1026" i="1" s="1"/>
  <c r="H1828" i="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H2195"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J1573" i="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194"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H2242"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456"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2573" i="23"/>
  <c r="H383" i="23"/>
  <c r="H712" i="23"/>
  <c r="H723" i="23" s="1"/>
  <c r="E689" i="23"/>
  <c r="E7" i="1"/>
  <c r="A6" i="18" s="1"/>
  <c r="F689" i="23"/>
  <c r="H2580" i="23"/>
  <c r="D290" i="23"/>
  <c r="D293" i="23" s="1"/>
  <c r="D288" i="23"/>
  <c r="D292" i="23" s="1"/>
  <c r="H2673" i="23"/>
  <c r="H2177" i="23"/>
  <c r="H1776" i="23"/>
  <c r="H1782" i="23"/>
  <c r="H2458" i="23"/>
  <c r="H1774" i="23"/>
  <c r="H1090" i="23"/>
  <c r="H1091" i="23" s="1"/>
  <c r="H209" i="23"/>
  <c r="H1062" i="23"/>
  <c r="H1063" i="23"/>
  <c r="H1087" i="23"/>
  <c r="H1088" i="23"/>
  <c r="H1092" i="23"/>
  <c r="H2179" i="23"/>
  <c r="H200" i="23"/>
  <c r="H2646" i="23"/>
  <c r="J18" i="23"/>
  <c r="H214" i="23"/>
  <c r="H215" i="23"/>
  <c r="H216" i="23"/>
  <c r="H217" i="23"/>
  <c r="H219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611" i="23"/>
  <c r="H2559" i="23"/>
  <c r="H36" i="23"/>
  <c r="H41" i="23" s="1"/>
  <c r="H45" i="23" s="1"/>
  <c r="M18" i="23"/>
  <c r="H1349" i="23"/>
  <c r="H2246" i="23"/>
  <c r="H1646" i="23"/>
  <c r="H2005" i="23"/>
  <c r="H119" i="23"/>
  <c r="H122" i="23"/>
  <c r="H1816" i="23"/>
  <c r="H1653" i="23"/>
  <c r="H1229" i="23"/>
  <c r="H1780" i="23"/>
  <c r="H2571" i="23"/>
  <c r="D1448" i="23"/>
  <c r="D1456" i="23" s="1"/>
  <c r="H2605" i="23"/>
  <c r="H2488" i="23"/>
  <c r="H1749" i="23"/>
  <c r="H606" i="23"/>
  <c r="H614" i="23"/>
  <c r="H613" i="23"/>
  <c r="H2052" i="23"/>
  <c r="H2636" i="23"/>
  <c r="H2637" i="23"/>
  <c r="H2149" i="23"/>
  <c r="H2232"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1837" i="23"/>
  <c r="H522" i="23"/>
  <c r="H524" i="23"/>
  <c r="H525" i="23"/>
  <c r="H2220" i="23"/>
  <c r="H528" i="23"/>
  <c r="H605" i="23"/>
  <c r="H608" i="23" s="1"/>
  <c r="H1645" i="23"/>
  <c r="H2004" i="23"/>
  <c r="H1750" i="23"/>
  <c r="H1644" i="23"/>
  <c r="H1665" i="23"/>
  <c r="H1650" i="23"/>
  <c r="H1745" i="23"/>
  <c r="H1651" i="23"/>
  <c r="H462" i="23"/>
  <c r="H1658" i="23"/>
  <c r="H1655" i="23"/>
  <c r="H1663" i="23"/>
  <c r="H1656" i="23"/>
  <c r="H1657" i="23"/>
  <c r="H1457" i="23"/>
  <c r="H611" i="23"/>
  <c r="H612" i="23" s="1"/>
  <c r="H2216" i="23"/>
  <c r="H2217" i="23" s="1"/>
  <c r="H2238" i="23"/>
  <c r="H598" i="23"/>
  <c r="H1812" i="23"/>
  <c r="H1820" i="23" s="1"/>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79" i="97"/>
  <c r="K179"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199" i="97"/>
  <c r="K199"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B24" i="42"/>
  <c r="G293" i="42"/>
  <c r="B293" i="42"/>
  <c r="E268" i="42"/>
  <c r="H2268" i="1"/>
  <c r="P2268" i="1" s="1"/>
  <c r="C2268" i="1" s="1"/>
  <c r="B31" i="35"/>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G50" i="31"/>
  <c r="B50" i="31"/>
  <c r="G10" i="35"/>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G34" i="34"/>
  <c r="B34" i="34"/>
  <c r="B69" i="34"/>
  <c r="G69" i="34"/>
  <c r="B66" i="34"/>
  <c r="G66" i="34"/>
  <c r="G48" i="33"/>
  <c r="B48" i="33"/>
  <c r="G30" i="34"/>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46" i="35"/>
  <c r="G15" i="34"/>
  <c r="B15" i="34"/>
  <c r="G37" i="34"/>
  <c r="B37" i="34"/>
  <c r="G74" i="33"/>
  <c r="B74" i="33"/>
  <c r="B65" i="33"/>
  <c r="G65" i="33"/>
  <c r="G11" i="42"/>
  <c r="D2153" i="1"/>
  <c r="B21" i="34"/>
  <c r="G21" i="34"/>
  <c r="G63" i="34"/>
  <c r="B63" i="34"/>
  <c r="B16" i="34"/>
  <c r="G16" i="34"/>
  <c r="B53"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AA184" i="16" s="1"/>
  <c r="H1680" i="1"/>
  <c r="P1680" i="1" s="1"/>
  <c r="C1680" i="1" s="1"/>
  <c r="I1680"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CY184" i="16" s="1"/>
  <c r="E175" i="31"/>
  <c r="I1678" i="1"/>
  <c r="H1678" i="1"/>
  <c r="P1678" i="1" s="1"/>
  <c r="C1678" i="1" s="1"/>
  <c r="D1701" i="1"/>
  <c r="I1700" i="1"/>
  <c r="M806" i="1"/>
  <c r="N806" i="1"/>
  <c r="N670" i="1"/>
  <c r="M670" i="1"/>
  <c r="H2038" i="23"/>
  <c r="H2046" i="23" s="1"/>
  <c r="H2661" i="23"/>
  <c r="H2668" i="23" s="1"/>
  <c r="D1581" i="1"/>
  <c r="D207" i="42"/>
  <c r="D55" i="31"/>
  <c r="H1706" i="23"/>
  <c r="H1705" i="23"/>
  <c r="G98" i="42"/>
  <c r="B98" i="42"/>
  <c r="GJ182" i="16"/>
  <c r="GJ184" i="16" s="1"/>
  <c r="EB182" i="16"/>
  <c r="EB184" i="16" s="1"/>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CS184" i="16" s="1"/>
  <c r="E140" i="33"/>
  <c r="H2196" i="1"/>
  <c r="P2196" i="1" s="1"/>
  <c r="C2196" i="1" s="1"/>
  <c r="D2197" i="1"/>
  <c r="H2197" i="1" s="1"/>
  <c r="P2197" i="1" s="1"/>
  <c r="C2197" i="1" s="1"/>
  <c r="N847" i="1"/>
  <c r="M847" i="1"/>
  <c r="CN341" i="20"/>
  <c r="D2069" i="1"/>
  <c r="D1597" i="1"/>
  <c r="C73" i="34"/>
  <c r="C70" i="31"/>
  <c r="D12" i="34"/>
  <c r="H2063" i="1"/>
  <c r="P2063" i="1" s="1"/>
  <c r="C2063" i="1" s="1"/>
  <c r="N2063" i="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BB184" i="16"/>
  <c r="I1666" i="1"/>
  <c r="H1666" i="1"/>
  <c r="P1666" i="1" s="1"/>
  <c r="C1666" i="1" s="1"/>
  <c r="D1703" i="1"/>
  <c r="D1704" i="1"/>
  <c r="H1702" i="1"/>
  <c r="P1702" i="1" s="1"/>
  <c r="C1702" i="1" s="1"/>
  <c r="F122" i="42"/>
  <c r="D1706" i="1"/>
  <c r="N959" i="1"/>
  <c r="M959" i="1"/>
  <c r="D2048" i="1"/>
  <c r="D2133" i="1"/>
  <c r="D1580" i="1"/>
  <c r="H2041" i="23"/>
  <c r="D78" i="35"/>
  <c r="C19" i="34"/>
  <c r="AS182" i="16"/>
  <c r="AS184" i="16" s="1"/>
  <c r="BW182" i="16"/>
  <c r="AQ182" i="16"/>
  <c r="AQ184" i="16" s="1"/>
  <c r="AM182" i="16"/>
  <c r="EU182" i="16"/>
  <c r="EU184" i="16" s="1"/>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EN184" i="16"/>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506" i="1" s="1"/>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FN184" i="16" s="1"/>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CE184" i="16" s="1"/>
  <c r="DD95" i="16"/>
  <c r="DD184" i="16" s="1"/>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Z184" i="16" s="1"/>
  <c r="AF95" i="16"/>
  <c r="AF184" i="16" s="1"/>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198" i="97"/>
  <c r="K198"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DG184" i="16" l="1"/>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29" i="23"/>
  <c r="A1029"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I459" i="23"/>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1740" i="23"/>
  <c r="H1810" i="23"/>
  <c r="H1811" i="23" s="1"/>
  <c r="H1819" i="23" s="1"/>
  <c r="H2196" i="23"/>
  <c r="H1827" i="23"/>
  <c r="H2288" i="23"/>
  <c r="H2289" i="23" s="1"/>
  <c r="H2291" i="23" s="1"/>
  <c r="D198" i="23"/>
  <c r="D199"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78" i="97"/>
  <c r="K57" i="97"/>
  <c r="K138" i="97"/>
  <c r="K41" i="97"/>
  <c r="K262" i="97"/>
  <c r="K146" i="97"/>
  <c r="K209" i="97"/>
  <c r="K59" i="97"/>
  <c r="K82" i="97"/>
  <c r="K226" i="97"/>
  <c r="K266" i="97"/>
  <c r="K65" i="97"/>
  <c r="K122" i="97"/>
  <c r="K208" i="97"/>
  <c r="K54" i="97"/>
  <c r="K272" i="97"/>
  <c r="K177" i="97"/>
  <c r="K21" i="97"/>
  <c r="K167" i="97"/>
  <c r="K118" i="97"/>
  <c r="K125" i="97"/>
  <c r="K73" i="97"/>
  <c r="K19" i="97"/>
  <c r="K171" i="97"/>
  <c r="K229" i="97"/>
  <c r="K37" i="97"/>
  <c r="K49" i="97"/>
  <c r="K260" i="97"/>
  <c r="K225" i="97"/>
  <c r="K18" i="97"/>
  <c r="K221" i="97"/>
  <c r="K195" i="97"/>
  <c r="K55" i="97"/>
  <c r="K271" i="97"/>
  <c r="K133" i="97"/>
  <c r="K255" i="97"/>
  <c r="K269" i="97"/>
  <c r="K36" i="97"/>
  <c r="K33" i="97"/>
  <c r="K121" i="97"/>
  <c r="K43" i="97"/>
  <c r="K196" i="97"/>
  <c r="K254" i="97"/>
  <c r="K119" i="97"/>
  <c r="K256" i="97"/>
  <c r="K172" i="97"/>
  <c r="K60" i="97"/>
  <c r="D34" i="113"/>
  <c r="C250" i="115" s="1"/>
  <c r="H2162" i="23"/>
  <c r="H2163" i="23"/>
  <c r="H2257" i="23"/>
  <c r="H2263" i="23" s="1"/>
  <c r="H2273" i="23"/>
  <c r="H2270" i="23"/>
  <c r="H2278" i="23" s="1"/>
  <c r="K117" i="97"/>
  <c r="K51" i="97"/>
  <c r="K228" i="97"/>
  <c r="K32" i="97"/>
  <c r="K170" i="97"/>
  <c r="K74" i="97"/>
  <c r="H2424" i="23"/>
  <c r="H2274" i="23"/>
  <c r="H2275" i="23" s="1"/>
  <c r="H303" i="23"/>
  <c r="H306" i="23" s="1"/>
  <c r="I306" i="23" s="1"/>
  <c r="A306" i="23" s="1"/>
  <c r="H1269" i="23"/>
  <c r="H2189" i="23"/>
  <c r="H2186" i="23"/>
  <c r="K158" i="97"/>
  <c r="K86" i="97"/>
  <c r="K147" i="97"/>
  <c r="K9" i="97"/>
  <c r="K34" i="97"/>
  <c r="K222"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015"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78" i="1"/>
  <c r="E186" i="31"/>
  <c r="H1578" i="1"/>
  <c r="P1578" i="1" s="1"/>
  <c r="C1578" i="1" s="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56" i="97"/>
  <c r="K56"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575" i="23"/>
  <c r="H578" i="23" s="1"/>
  <c r="H581" i="23"/>
  <c r="H582"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570"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D565" i="23"/>
  <c r="H2019" i="23"/>
  <c r="H2430" i="23"/>
  <c r="H715" i="23"/>
  <c r="D35" i="23"/>
  <c r="D36" i="23" s="1"/>
  <c r="D41" i="23" s="1"/>
  <c r="D47" i="23" s="1"/>
  <c r="D52" i="23" s="1"/>
  <c r="D68" i="23" s="1"/>
  <c r="H28" i="23"/>
  <c r="H95" i="23"/>
  <c r="H82" i="23"/>
  <c r="H99" i="23" s="1"/>
  <c r="H968" i="23"/>
  <c r="I968" i="23" s="1"/>
  <c r="A968" i="23" s="1"/>
  <c r="H400" i="23"/>
  <c r="H407" i="23" s="1"/>
  <c r="H574" i="23"/>
  <c r="H888" i="23"/>
  <c r="H2018" i="23"/>
  <c r="H2022" i="23" s="1"/>
  <c r="H2431" i="23"/>
  <c r="H2444" i="23"/>
  <c r="H1497" i="23"/>
  <c r="I1497" i="23" s="1"/>
  <c r="A1497" i="23" s="1"/>
  <c r="H1502" i="23"/>
  <c r="I1502" i="23" s="1"/>
  <c r="A1502" i="23" s="1"/>
  <c r="H2021" i="23"/>
  <c r="H2438" i="23"/>
  <c r="I833" i="23"/>
  <c r="H965" i="23"/>
  <c r="I965" i="23" s="1"/>
  <c r="A965" i="23" s="1"/>
  <c r="A988" i="23"/>
  <c r="H568" i="23"/>
  <c r="H580" i="23" s="1"/>
  <c r="H571" i="23"/>
  <c r="H572" i="23"/>
  <c r="D466" i="23"/>
  <c r="D471" i="23" s="1"/>
  <c r="D477" i="23" s="1"/>
  <c r="I524" i="23"/>
  <c r="A510" i="23"/>
  <c r="A511" i="23" s="1"/>
  <c r="I500" i="23"/>
  <c r="I144" i="23"/>
  <c r="A455" i="23"/>
  <c r="A459" i="23"/>
  <c r="I527" i="23"/>
  <c r="I521" i="23"/>
  <c r="I457" i="23"/>
  <c r="I496" i="23"/>
  <c r="I504" i="23"/>
  <c r="I525" i="23"/>
  <c r="I522" i="23"/>
  <c r="A456" i="23"/>
  <c r="I501" i="23"/>
  <c r="A477" i="23"/>
  <c r="A478" i="23" s="1"/>
  <c r="A499" i="23"/>
  <c r="I523" i="23"/>
  <c r="I520" i="23"/>
  <c r="A465"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576" i="23"/>
  <c r="H93" i="23"/>
  <c r="H92" i="23"/>
  <c r="I140" i="23"/>
  <c r="H412" i="23"/>
  <c r="H418" i="23" s="1"/>
  <c r="H420" i="23" s="1"/>
  <c r="H426" i="23" s="1"/>
  <c r="D2564" i="23"/>
  <c r="D2569" i="23" s="1"/>
  <c r="D2577" i="23" s="1"/>
  <c r="D200" i="23"/>
  <c r="D201" i="23" s="1"/>
  <c r="D202" i="23" s="1"/>
  <c r="D203"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573" i="23"/>
  <c r="H577" i="23"/>
  <c r="H569"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4" i="23"/>
  <c r="H2306" i="23"/>
  <c r="H2308" i="23" s="1"/>
  <c r="H2310" i="23"/>
  <c r="H2325" i="23"/>
  <c r="H2303" i="23"/>
  <c r="H2311" i="23"/>
  <c r="H2314" i="23"/>
  <c r="H2312" i="23"/>
  <c r="H2490" i="23"/>
  <c r="H2489" i="23"/>
  <c r="H125" i="23"/>
  <c r="I125" i="23" s="1"/>
  <c r="A125" i="23" s="1"/>
  <c r="H127" i="23"/>
  <c r="I127" i="23" s="1"/>
  <c r="A127" i="23" s="1"/>
  <c r="H2667" i="23"/>
  <c r="H2043" i="23"/>
  <c r="A118" i="23"/>
  <c r="H120" i="23"/>
  <c r="I120" i="23" s="1"/>
  <c r="A120" i="23" s="1"/>
  <c r="H121" i="23"/>
  <c r="I121" i="23" s="1"/>
  <c r="A121" i="23" s="1"/>
  <c r="H470" i="23"/>
  <c r="I470" i="23" s="1"/>
  <c r="A470" i="23" s="1"/>
  <c r="I468" i="23"/>
  <c r="A468" i="23" s="1"/>
  <c r="H469" i="23"/>
  <c r="I469" i="23" s="1"/>
  <c r="A469"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H952" i="23"/>
  <c r="I952" i="23" s="1"/>
  <c r="A952" i="23" s="1"/>
  <c r="I503" i="23"/>
  <c r="D958" i="23"/>
  <c r="H959" i="23"/>
  <c r="I959" i="23" s="1"/>
  <c r="A959" i="23" s="1"/>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2" i="23"/>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D2256" i="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H133" i="23"/>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G186" i="31"/>
  <c r="B186" i="31"/>
  <c r="A1033" i="23" l="1"/>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499" i="1"/>
  <c r="M2147" i="1"/>
  <c r="H879" i="1"/>
  <c r="H876" i="1"/>
  <c r="H878" i="1"/>
  <c r="H877" i="1"/>
  <c r="H880" i="1"/>
  <c r="H875" i="1"/>
  <c r="P1845" i="1"/>
  <c r="H2236" i="1"/>
  <c r="P2236" i="1" s="1"/>
  <c r="C2236" i="1" s="1"/>
  <c r="H586" i="23"/>
  <c r="D583" i="23"/>
  <c r="D590" i="23" s="1"/>
  <c r="D595" i="23" s="1"/>
  <c r="D618" i="23" s="1"/>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H1806" i="23" s="1"/>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D637" i="23"/>
  <c r="D642" i="23" s="1"/>
  <c r="D648" i="23" s="1"/>
  <c r="D656" i="23" s="1"/>
  <c r="K1" i="97"/>
  <c r="A2" i="97" s="1"/>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J1500" i="1"/>
  <c r="H1500" i="1"/>
  <c r="P1500" i="1" s="1"/>
  <c r="C1500" i="1" s="1"/>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862"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1346"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A226" i="97" l="1"/>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P635" i="1"/>
  <c r="C635" i="1" s="1"/>
  <c r="P637" i="1"/>
  <c r="C637" i="1" s="1"/>
  <c r="P631" i="1"/>
  <c r="P634" i="1"/>
  <c r="C634" i="1" s="1"/>
  <c r="P633" i="1"/>
  <c r="P639" i="1"/>
  <c r="C639" i="1" s="1"/>
  <c r="C630" i="1"/>
  <c r="P632" i="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2" i="1"/>
  <c r="C633" i="1"/>
  <c r="C638" i="1"/>
  <c r="C631"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A322" i="23"/>
  <c r="A345" i="23"/>
  <c r="I337" i="23"/>
  <c r="A1635" i="23"/>
  <c r="A1606" i="23"/>
  <c r="D191" i="115"/>
  <c r="I1619" i="23"/>
  <c r="I1639" i="23"/>
  <c r="A1639" i="23" s="1"/>
  <c r="D1441" i="23"/>
  <c r="I1620" i="23"/>
  <c r="I1598" i="23"/>
  <c r="A1598" i="23" s="1"/>
  <c r="D1489" i="23"/>
  <c r="A1596" i="23"/>
  <c r="A1618" i="23"/>
  <c r="A1616" i="23"/>
  <c r="A1617" i="23"/>
  <c r="A1631" i="23"/>
  <c r="C77" i="78"/>
  <c r="C85" i="78"/>
  <c r="C93" i="78"/>
  <c r="G105" i="26"/>
  <c r="G113" i="26"/>
  <c r="G121" i="26"/>
  <c r="C78" i="78"/>
  <c r="C86" i="78"/>
  <c r="G106" i="26"/>
  <c r="G114" i="26"/>
  <c r="G122" i="26"/>
  <c r="C79" i="78"/>
  <c r="C87" i="78"/>
  <c r="G107" i="26"/>
  <c r="G115" i="26"/>
  <c r="G123" i="26"/>
  <c r="C80" i="78"/>
  <c r="C88" i="78"/>
  <c r="G108" i="26"/>
  <c r="G116" i="26"/>
  <c r="C81" i="78"/>
  <c r="C89" i="78"/>
  <c r="G109" i="26"/>
  <c r="G117" i="26"/>
  <c r="C82" i="78"/>
  <c r="C90" i="78"/>
  <c r="G110" i="26"/>
  <c r="G118" i="26"/>
  <c r="C83" i="78"/>
  <c r="C91" i="78"/>
  <c r="G111" i="26"/>
  <c r="G119" i="26"/>
  <c r="C84" i="78"/>
  <c r="C92" i="78"/>
  <c r="G104" i="26"/>
  <c r="G112" i="26"/>
  <c r="G120" i="26"/>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C33" i="78"/>
  <c r="C40" i="78"/>
  <c r="C32" i="78"/>
  <c r="C49" i="78"/>
  <c r="C36" i="78"/>
  <c r="C39" i="78"/>
  <c r="C62" i="78"/>
  <c r="C73" i="78"/>
  <c r="C65" i="78"/>
  <c r="C75" i="78"/>
  <c r="C72" i="78"/>
  <c r="C68" i="78"/>
  <c r="C66" i="78"/>
  <c r="C76"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D339" i="23"/>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0" i="78" l="1"/>
  <c r="D57" i="79" s="1"/>
  <c r="C60" i="78"/>
  <c r="B57" i="117" s="1"/>
  <c r="G47" i="26"/>
  <c r="C51" i="78"/>
  <c r="E61" i="78"/>
  <c r="C61" i="78"/>
  <c r="D15" i="79"/>
  <c r="O18" i="78"/>
  <c r="E53" i="78"/>
  <c r="C53" i="78"/>
  <c r="B50" i="79" s="1"/>
  <c r="G50" i="79" s="1"/>
  <c r="G27" i="26"/>
  <c r="C31" i="78"/>
  <c r="E27" i="78"/>
  <c r="D24" i="117" s="1"/>
  <c r="G24" i="117" s="1"/>
  <c r="C27" i="78"/>
  <c r="D6" i="79"/>
  <c r="O9" i="78"/>
  <c r="H118" i="26"/>
  <c r="I118" i="26"/>
  <c r="J118" i="26"/>
  <c r="K118" i="26"/>
  <c r="C105" i="78"/>
  <c r="O105" i="78" s="1"/>
  <c r="G101" i="26"/>
  <c r="H121" i="26"/>
  <c r="I121" i="26"/>
  <c r="J121" i="26"/>
  <c r="K121" i="26"/>
  <c r="G54" i="26"/>
  <c r="C58" i="78"/>
  <c r="B55" i="117" s="1"/>
  <c r="D37" i="78"/>
  <c r="C37" i="78"/>
  <c r="E46" i="78"/>
  <c r="D43" i="79" s="1"/>
  <c r="C46" i="78"/>
  <c r="B43" i="79" s="1"/>
  <c r="G43" i="79" s="1"/>
  <c r="B8" i="111"/>
  <c r="O24" i="78"/>
  <c r="B13" i="111"/>
  <c r="G60" i="26"/>
  <c r="C64" i="78"/>
  <c r="B61" i="117" s="1"/>
  <c r="H110" i="26"/>
  <c r="I110" i="26"/>
  <c r="J110" i="26"/>
  <c r="K110" i="26"/>
  <c r="C97" i="78"/>
  <c r="G93" i="26"/>
  <c r="H122" i="26"/>
  <c r="I122" i="26"/>
  <c r="J122" i="26"/>
  <c r="K122" i="26"/>
  <c r="H113" i="26"/>
  <c r="I113" i="26"/>
  <c r="J113" i="26"/>
  <c r="K113" i="26"/>
  <c r="E41" i="78"/>
  <c r="D38" i="117" s="1"/>
  <c r="G38" i="117" s="1"/>
  <c r="C41" i="78"/>
  <c r="B38" i="117" s="1"/>
  <c r="B4" i="111"/>
  <c r="B5" i="117"/>
  <c r="H119" i="26"/>
  <c r="I119" i="26"/>
  <c r="J119" i="26"/>
  <c r="K119" i="26"/>
  <c r="G102" i="26"/>
  <c r="C106" i="78"/>
  <c r="O106" i="78" s="1"/>
  <c r="H123" i="26"/>
  <c r="I123" i="26"/>
  <c r="J123" i="26"/>
  <c r="K123" i="26"/>
  <c r="H114" i="26"/>
  <c r="I114" i="26"/>
  <c r="J114" i="26"/>
  <c r="K114" i="26"/>
  <c r="H105" i="26"/>
  <c r="I105" i="26"/>
  <c r="J105" i="26"/>
  <c r="K105" i="26"/>
  <c r="E44" i="78"/>
  <c r="D41" i="79" s="1"/>
  <c r="C44" i="78"/>
  <c r="E63" i="78"/>
  <c r="D60" i="117" s="1"/>
  <c r="G60" i="117" s="1"/>
  <c r="C63" i="78"/>
  <c r="B60" i="117" s="1"/>
  <c r="E34" i="78"/>
  <c r="C34" i="78"/>
  <c r="B31" i="79" s="1"/>
  <c r="G31" i="79" s="1"/>
  <c r="E71" i="78"/>
  <c r="D69" i="117" s="1"/>
  <c r="G69" i="117" s="1"/>
  <c r="C71" i="78"/>
  <c r="B68" i="79" s="1"/>
  <c r="G68" i="79" s="1"/>
  <c r="G55" i="26"/>
  <c r="C59" i="78"/>
  <c r="G70" i="26"/>
  <c r="C74" i="78"/>
  <c r="O74" i="78" s="1"/>
  <c r="O16" i="78"/>
  <c r="C4" i="117"/>
  <c r="B4" i="79"/>
  <c r="G4" i="79" s="1"/>
  <c r="H111" i="26"/>
  <c r="I111" i="26"/>
  <c r="J111" i="26"/>
  <c r="K111" i="26"/>
  <c r="G94" i="26"/>
  <c r="C98" i="78"/>
  <c r="O98" i="78" s="1"/>
  <c r="H115" i="26"/>
  <c r="I115" i="26"/>
  <c r="J115" i="26"/>
  <c r="K115" i="26"/>
  <c r="H106" i="26"/>
  <c r="I106" i="26"/>
  <c r="J106" i="26"/>
  <c r="K106" i="26"/>
  <c r="G97" i="26"/>
  <c r="C101" i="78"/>
  <c r="O101" i="78" s="1"/>
  <c r="D43" i="78"/>
  <c r="C43" i="78"/>
  <c r="G51" i="26"/>
  <c r="C55" i="78"/>
  <c r="B52" i="79" s="1"/>
  <c r="G52" i="79" s="1"/>
  <c r="G52" i="26"/>
  <c r="C56" i="78"/>
  <c r="B53" i="79" s="1"/>
  <c r="G53" i="79" s="1"/>
  <c r="E69" i="78"/>
  <c r="D67" i="117" s="1"/>
  <c r="G67" i="117" s="1"/>
  <c r="C69" i="78"/>
  <c r="B66" i="79" s="1"/>
  <c r="G66" i="79" s="1"/>
  <c r="D50" i="78"/>
  <c r="C50" i="78"/>
  <c r="B47" i="117" s="1"/>
  <c r="G48" i="26"/>
  <c r="C52" i="78"/>
  <c r="B49" i="79" s="1"/>
  <c r="G49" i="79" s="1"/>
  <c r="E26" i="78"/>
  <c r="D23" i="117" s="1"/>
  <c r="G23" i="117" s="1"/>
  <c r="C26" i="78"/>
  <c r="O26" i="78" s="1"/>
  <c r="G25" i="26"/>
  <c r="C29" i="78"/>
  <c r="B26" i="79" s="1"/>
  <c r="G26" i="79" s="1"/>
  <c r="H120" i="26"/>
  <c r="I120" i="26"/>
  <c r="J120" i="26"/>
  <c r="K120" i="26"/>
  <c r="H116" i="26"/>
  <c r="I116" i="26"/>
  <c r="J116" i="26"/>
  <c r="K116" i="26"/>
  <c r="H107" i="26"/>
  <c r="I107" i="26"/>
  <c r="J107" i="26"/>
  <c r="K107" i="26"/>
  <c r="G98" i="26"/>
  <c r="C102" i="78"/>
  <c r="O102" i="78" s="1"/>
  <c r="D48" i="78"/>
  <c r="C45" i="79" s="1"/>
  <c r="C48" i="78"/>
  <c r="O48" i="78" s="1"/>
  <c r="E54" i="78"/>
  <c r="D51" i="117" s="1"/>
  <c r="G51" i="117" s="1"/>
  <c r="C54" i="78"/>
  <c r="D35" i="78"/>
  <c r="C35" i="78"/>
  <c r="B32" i="117" s="1"/>
  <c r="D22" i="117"/>
  <c r="G22" i="117" s="1"/>
  <c r="B6" i="111"/>
  <c r="O10" i="78"/>
  <c r="E30" i="78"/>
  <c r="D27" i="117" s="1"/>
  <c r="G27" i="117" s="1"/>
  <c r="C30" i="78"/>
  <c r="D19" i="117"/>
  <c r="G19" i="117" s="1"/>
  <c r="O22" i="78"/>
  <c r="H112" i="26"/>
  <c r="I112" i="26"/>
  <c r="J112" i="26"/>
  <c r="K112" i="26"/>
  <c r="G95" i="26"/>
  <c r="C99" i="78"/>
  <c r="H108" i="26"/>
  <c r="I108" i="26"/>
  <c r="J108" i="26"/>
  <c r="K108" i="26"/>
  <c r="C103" i="78"/>
  <c r="O103" i="78" s="1"/>
  <c r="G99" i="26"/>
  <c r="G90" i="26"/>
  <c r="C94" i="78"/>
  <c r="C3" i="117"/>
  <c r="B3" i="117"/>
  <c r="E57" i="78"/>
  <c r="C57" i="78"/>
  <c r="O57" i="78" s="1"/>
  <c r="E70" i="78"/>
  <c r="C70" i="78"/>
  <c r="O70" i="78" s="1"/>
  <c r="B16" i="79"/>
  <c r="G16" i="79" s="1"/>
  <c r="D67" i="78"/>
  <c r="C67" i="78"/>
  <c r="B64" i="79" s="1"/>
  <c r="G64" i="79" s="1"/>
  <c r="B9" i="111"/>
  <c r="O13" i="78"/>
  <c r="D8" i="117"/>
  <c r="G8" i="117" s="1"/>
  <c r="B8" i="117"/>
  <c r="H104" i="26"/>
  <c r="I104" i="26"/>
  <c r="J104" i="26"/>
  <c r="K104" i="26"/>
  <c r="H117" i="26"/>
  <c r="I117" i="26"/>
  <c r="J117" i="26"/>
  <c r="K117" i="26"/>
  <c r="C104" i="78"/>
  <c r="O104" i="78" s="1"/>
  <c r="G100" i="26"/>
  <c r="C95" i="78"/>
  <c r="G91" i="26"/>
  <c r="D42" i="78"/>
  <c r="C42" i="78"/>
  <c r="O42" i="78" s="1"/>
  <c r="D47" i="78"/>
  <c r="C44" i="79" s="1"/>
  <c r="C47" i="78"/>
  <c r="O47" i="78" s="1"/>
  <c r="E45" i="78"/>
  <c r="D42" i="117" s="1"/>
  <c r="G42" i="117" s="1"/>
  <c r="C45" i="78"/>
  <c r="O45" i="78" s="1"/>
  <c r="E38" i="78"/>
  <c r="D35" i="117" s="1"/>
  <c r="G35" i="117" s="1"/>
  <c r="C38" i="78"/>
  <c r="B35" i="79" s="1"/>
  <c r="G35" i="79" s="1"/>
  <c r="D28" i="78"/>
  <c r="C28" i="78"/>
  <c r="O28" i="78" s="1"/>
  <c r="G96" i="26"/>
  <c r="C100" i="78"/>
  <c r="O100" i="78" s="1"/>
  <c r="H109" i="26"/>
  <c r="I109" i="26"/>
  <c r="J109" i="26"/>
  <c r="K109" i="26"/>
  <c r="C96" i="78"/>
  <c r="G92" i="26"/>
  <c r="C58" i="109"/>
  <c r="P1872" i="1"/>
  <c r="K7" i="114"/>
  <c r="C5" i="79"/>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D5" i="117"/>
  <c r="G5" i="117" s="1"/>
  <c r="D3" i="117"/>
  <c r="G3" i="117" s="1"/>
  <c r="A3" i="117" s="1"/>
  <c r="B2" i="111"/>
  <c r="B56" i="79"/>
  <c r="G56" i="79" s="1"/>
  <c r="D11" i="114"/>
  <c r="C263" i="115" s="1"/>
  <c r="G9" i="114"/>
  <c r="F18" i="111"/>
  <c r="I18" i="111" s="1"/>
  <c r="F22" i="111"/>
  <c r="I22" i="111" s="1"/>
  <c r="F19" i="111"/>
  <c r="I19" i="111" s="1"/>
  <c r="A337" i="23"/>
  <c r="D348" i="23"/>
  <c r="G63" i="26"/>
  <c r="I63" i="26" s="1"/>
  <c r="E64" i="78"/>
  <c r="D61" i="79" s="1"/>
  <c r="D33" i="78"/>
  <c r="C30" i="79" s="1"/>
  <c r="D64" i="78"/>
  <c r="C61" i="79" s="1"/>
  <c r="E33" i="78"/>
  <c r="D30" i="79" s="1"/>
  <c r="D55" i="78"/>
  <c r="C52" i="117" s="1"/>
  <c r="D26" i="78"/>
  <c r="C23" i="79" s="1"/>
  <c r="E52" i="78"/>
  <c r="D49" i="79" s="1"/>
  <c r="E29" i="78"/>
  <c r="D26" i="79" s="1"/>
  <c r="C8" i="117"/>
  <c r="G22" i="26"/>
  <c r="D52" i="78"/>
  <c r="C49" i="79" s="1"/>
  <c r="D29" i="78"/>
  <c r="C26" i="79" s="1"/>
  <c r="B5" i="111"/>
  <c r="E67" i="78"/>
  <c r="D64" i="79" s="1"/>
  <c r="B7" i="111"/>
  <c r="A1620" i="23"/>
  <c r="A1619" i="23"/>
  <c r="D1498" i="23"/>
  <c r="D1506" i="23" s="1"/>
  <c r="D1515" i="23" s="1"/>
  <c r="B3" i="111"/>
  <c r="E66" i="78"/>
  <c r="D63" i="117" s="1"/>
  <c r="G63" i="117" s="1"/>
  <c r="D1442" i="23"/>
  <c r="A1632" i="23"/>
  <c r="D100" i="78"/>
  <c r="G79" i="26"/>
  <c r="D83" i="78"/>
  <c r="C113" i="78"/>
  <c r="O113" i="78" s="1"/>
  <c r="D113" i="78"/>
  <c r="D96" i="78"/>
  <c r="G83" i="26"/>
  <c r="D87" i="78"/>
  <c r="G74" i="26"/>
  <c r="D78" i="78"/>
  <c r="G88" i="26"/>
  <c r="O92" i="78"/>
  <c r="D92" i="78"/>
  <c r="C122" i="78"/>
  <c r="O122" i="78" s="1"/>
  <c r="D122" i="78"/>
  <c r="D105" i="78"/>
  <c r="G84" i="26"/>
  <c r="D88" i="78"/>
  <c r="G75" i="26"/>
  <c r="D79" i="78"/>
  <c r="C125" i="78"/>
  <c r="O125" i="78" s="1"/>
  <c r="D125" i="78"/>
  <c r="G80" i="26"/>
  <c r="D84" i="78"/>
  <c r="C114" i="78"/>
  <c r="O114" i="78" s="1"/>
  <c r="D114" i="78"/>
  <c r="D97" i="78"/>
  <c r="G76" i="26"/>
  <c r="D80" i="78"/>
  <c r="C126" i="78"/>
  <c r="O126" i="78" s="1"/>
  <c r="D126" i="78"/>
  <c r="C117" i="78"/>
  <c r="O117" i="78" s="1"/>
  <c r="D117" i="78"/>
  <c r="C123" i="78"/>
  <c r="O123" i="78" s="1"/>
  <c r="D123" i="78"/>
  <c r="D106" i="78"/>
  <c r="D89" i="78"/>
  <c r="C127" i="78"/>
  <c r="O127" i="78" s="1"/>
  <c r="D127" i="78"/>
  <c r="D118" i="78"/>
  <c r="C118" i="78"/>
  <c r="O118" i="78" s="1"/>
  <c r="C109" i="78"/>
  <c r="O109" i="78" s="1"/>
  <c r="D109" i="78"/>
  <c r="C115" i="78"/>
  <c r="O115" i="78" s="1"/>
  <c r="D115" i="78"/>
  <c r="D98" i="78"/>
  <c r="G77" i="26"/>
  <c r="D81" i="78"/>
  <c r="C119" i="78"/>
  <c r="O119" i="78" s="1"/>
  <c r="D119" i="78"/>
  <c r="D110" i="78"/>
  <c r="C110" i="78"/>
  <c r="O110" i="78" s="1"/>
  <c r="D101" i="78"/>
  <c r="C124" i="78"/>
  <c r="O124" i="78" s="1"/>
  <c r="D124" i="78"/>
  <c r="C107" i="78"/>
  <c r="O107" i="78" s="1"/>
  <c r="D107" i="78"/>
  <c r="G86" i="26"/>
  <c r="D90" i="78"/>
  <c r="C120" i="78"/>
  <c r="O120" i="78" s="1"/>
  <c r="D120" i="78"/>
  <c r="C111" i="78"/>
  <c r="O111" i="78" s="1"/>
  <c r="D111" i="78"/>
  <c r="D102" i="78"/>
  <c r="G89" i="26"/>
  <c r="D93" i="78"/>
  <c r="C116" i="78"/>
  <c r="O116" i="78" s="1"/>
  <c r="D116" i="78"/>
  <c r="O99" i="78"/>
  <c r="D99" i="78"/>
  <c r="G78" i="26"/>
  <c r="D82" i="78"/>
  <c r="C112" i="78"/>
  <c r="O112" i="78" s="1"/>
  <c r="D112" i="78"/>
  <c r="D103" i="78"/>
  <c r="D94" i="78"/>
  <c r="G81" i="26"/>
  <c r="D85" i="78"/>
  <c r="C108" i="78"/>
  <c r="O108" i="78" s="1"/>
  <c r="D108" i="78"/>
  <c r="G87" i="26"/>
  <c r="D91" i="78"/>
  <c r="C121" i="78"/>
  <c r="O121" i="78" s="1"/>
  <c r="D121" i="78"/>
  <c r="D104" i="78"/>
  <c r="D95" i="78"/>
  <c r="G82" i="26"/>
  <c r="D86" i="78"/>
  <c r="G73" i="26"/>
  <c r="D77" i="78"/>
  <c r="E37" i="78"/>
  <c r="D34" i="79" s="1"/>
  <c r="E28" i="78"/>
  <c r="D25" i="117" s="1"/>
  <c r="G25" i="117" s="1"/>
  <c r="C22" i="117"/>
  <c r="G34" i="26"/>
  <c r="G24" i="26"/>
  <c r="D24" i="79"/>
  <c r="G41" i="26"/>
  <c r="E55" i="78"/>
  <c r="D52" i="79" s="1"/>
  <c r="D56" i="78"/>
  <c r="C53" i="117" s="1"/>
  <c r="D45" i="78"/>
  <c r="C42" i="79" s="1"/>
  <c r="C13" i="108"/>
  <c r="E74" i="78"/>
  <c r="D72" i="117" s="1"/>
  <c r="G72" i="117" s="1"/>
  <c r="D74" i="78"/>
  <c r="C72" i="79" s="1"/>
  <c r="D59" i="78"/>
  <c r="C56" i="79" s="1"/>
  <c r="D71" i="78"/>
  <c r="C69" i="117" s="1"/>
  <c r="B12" i="111"/>
  <c r="C13" i="117"/>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D259" i="115"/>
  <c r="E58" i="78"/>
  <c r="D55" i="79" s="1"/>
  <c r="G33" i="26"/>
  <c r="B15" i="111"/>
  <c r="D15" i="111" s="1"/>
  <c r="G39" i="26"/>
  <c r="D12" i="79"/>
  <c r="D40" i="78"/>
  <c r="C37" i="117" s="1"/>
  <c r="E40" i="78"/>
  <c r="D37" i="79" s="1"/>
  <c r="G36" i="26"/>
  <c r="E68" i="78"/>
  <c r="D65" i="79" s="1"/>
  <c r="D76" i="78"/>
  <c r="C74" i="79" s="1"/>
  <c r="D264" i="115"/>
  <c r="D12" i="114"/>
  <c r="E49" i="78"/>
  <c r="D46" i="117" s="1"/>
  <c r="G46" i="117" s="1"/>
  <c r="D51" i="79"/>
  <c r="G64" i="26"/>
  <c r="H64" i="26" s="1"/>
  <c r="C11" i="79"/>
  <c r="E56" i="78"/>
  <c r="D32" i="78"/>
  <c r="C29" i="117" s="1"/>
  <c r="D58" i="78"/>
  <c r="C55" i="79" s="1"/>
  <c r="G62" i="26"/>
  <c r="O62" i="26" s="1"/>
  <c r="O75" i="78"/>
  <c r="E50" i="78"/>
  <c r="D47" i="117" s="1"/>
  <c r="G47" i="117" s="1"/>
  <c r="G40" i="26"/>
  <c r="D20" i="79"/>
  <c r="B20" i="117"/>
  <c r="O20" i="78"/>
  <c r="E43" i="78"/>
  <c r="D40" i="117" s="1"/>
  <c r="G40" i="117" s="1"/>
  <c r="O44" i="78"/>
  <c r="G38" i="26"/>
  <c r="E76" i="78"/>
  <c r="D74" i="79" s="1"/>
  <c r="O37" i="78"/>
  <c r="O17" i="78"/>
  <c r="G72" i="26"/>
  <c r="I72" i="26" s="1"/>
  <c r="G59" i="26"/>
  <c r="E59" i="78"/>
  <c r="D56" i="79" s="1"/>
  <c r="D57" i="78"/>
  <c r="C54" i="117" s="1"/>
  <c r="D11" i="79"/>
  <c r="G29" i="26"/>
  <c r="O66" i="78"/>
  <c r="G37" i="26"/>
  <c r="C20" i="79"/>
  <c r="G32" i="26"/>
  <c r="B48" i="79"/>
  <c r="G48" i="79" s="1"/>
  <c r="D75" i="78"/>
  <c r="C73" i="117" s="1"/>
  <c r="D66" i="78"/>
  <c r="C63" i="79" s="1"/>
  <c r="G71" i="26"/>
  <c r="J71" i="26" s="1"/>
  <c r="G43" i="26"/>
  <c r="D60" i="78"/>
  <c r="C57" i="117" s="1"/>
  <c r="D36" i="78"/>
  <c r="C33" i="79" s="1"/>
  <c r="G56" i="26"/>
  <c r="D63" i="78"/>
  <c r="C60" i="117" s="1"/>
  <c r="C9" i="79"/>
  <c r="D57" i="117"/>
  <c r="G57" i="117" s="1"/>
  <c r="D39" i="78"/>
  <c r="C36" i="79" s="1"/>
  <c r="G45" i="26"/>
  <c r="B40" i="79"/>
  <c r="G40" i="79" s="1"/>
  <c r="B11" i="79"/>
  <c r="G11" i="79" s="1"/>
  <c r="D41" i="78"/>
  <c r="C38" i="117" s="1"/>
  <c r="G67" i="26"/>
  <c r="K67" i="26" s="1"/>
  <c r="C15" i="117"/>
  <c r="D38" i="78"/>
  <c r="C35" i="79" s="1"/>
  <c r="G61" i="26"/>
  <c r="H61" i="26" s="1"/>
  <c r="C10" i="79"/>
  <c r="B11" i="111"/>
  <c r="D49" i="78"/>
  <c r="C46" i="79" s="1"/>
  <c r="C12" i="79"/>
  <c r="D68" i="78"/>
  <c r="C65" i="79" s="1"/>
  <c r="D65" i="78"/>
  <c r="C62" i="79" s="1"/>
  <c r="C18" i="117"/>
  <c r="D53" i="78"/>
  <c r="C50" i="79" s="1"/>
  <c r="O12" i="78"/>
  <c r="G20" i="26"/>
  <c r="C14" i="117"/>
  <c r="O21" i="78"/>
  <c r="C19" i="117"/>
  <c r="D7" i="79"/>
  <c r="D44" i="78"/>
  <c r="C41" i="79" s="1"/>
  <c r="C7" i="79"/>
  <c r="G26" i="26"/>
  <c r="G53" i="26"/>
  <c r="O36" i="78"/>
  <c r="G21" i="26"/>
  <c r="G31" i="26"/>
  <c r="E48" i="78"/>
  <c r="D45" i="117" s="1"/>
  <c r="G45" i="117" s="1"/>
  <c r="E18" i="111"/>
  <c r="O30" i="78"/>
  <c r="E75" i="78"/>
  <c r="D73" i="117" s="1"/>
  <c r="G73" i="117" s="1"/>
  <c r="D21" i="111"/>
  <c r="D30" i="78"/>
  <c r="C27" i="117" s="1"/>
  <c r="G44" i="26"/>
  <c r="G30" i="26"/>
  <c r="D72" i="78"/>
  <c r="C70" i="117" s="1"/>
  <c r="D34" i="78"/>
  <c r="C31" i="117" s="1"/>
  <c r="D38" i="79"/>
  <c r="E32" i="78"/>
  <c r="E35" i="78"/>
  <c r="D27" i="78"/>
  <c r="C24" i="79" s="1"/>
  <c r="G35" i="26"/>
  <c r="G65" i="26"/>
  <c r="H65" i="26" s="1"/>
  <c r="G28" i="26"/>
  <c r="G46" i="26"/>
  <c r="D69" i="78"/>
  <c r="C67" i="79" s="1"/>
  <c r="B70" i="79"/>
  <c r="G70" i="79" s="1"/>
  <c r="O27" i="78"/>
  <c r="C17" i="79"/>
  <c r="O31" i="78"/>
  <c r="G23" i="26"/>
  <c r="G49" i="26"/>
  <c r="E72" i="78"/>
  <c r="D70" i="79" s="1"/>
  <c r="G42" i="26"/>
  <c r="O65" i="78"/>
  <c r="D9" i="79"/>
  <c r="D21" i="117"/>
  <c r="G21" i="117" s="1"/>
  <c r="E73" i="78"/>
  <c r="D71" i="79" s="1"/>
  <c r="E51" i="78"/>
  <c r="D48" i="79" s="1"/>
  <c r="E31" i="78"/>
  <c r="D28" i="79" s="1"/>
  <c r="C6" i="117"/>
  <c r="E42" i="78"/>
  <c r="D39" i="117" s="1"/>
  <c r="G39" i="117" s="1"/>
  <c r="O61" i="78"/>
  <c r="G57" i="26"/>
  <c r="D70" i="78"/>
  <c r="C68" i="117" s="1"/>
  <c r="D51" i="78"/>
  <c r="C48" i="79" s="1"/>
  <c r="B14" i="111"/>
  <c r="E14" i="111" s="1"/>
  <c r="G68" i="26"/>
  <c r="K68" i="26" s="1"/>
  <c r="D46" i="78"/>
  <c r="C43" i="117" s="1"/>
  <c r="D16" i="79"/>
  <c r="D31" i="78"/>
  <c r="C28" i="79" s="1"/>
  <c r="D54" i="78"/>
  <c r="C51" i="117" s="1"/>
  <c r="D73" i="78"/>
  <c r="C71" i="79" s="1"/>
  <c r="E47" i="78"/>
  <c r="D44" i="79" s="1"/>
  <c r="O72" i="78"/>
  <c r="D61" i="78"/>
  <c r="C58" i="79" s="1"/>
  <c r="G50" i="26"/>
  <c r="G69" i="26"/>
  <c r="I69" i="26" s="1"/>
  <c r="B16" i="111"/>
  <c r="D62" i="78"/>
  <c r="C59" i="79" s="1"/>
  <c r="E62" i="78"/>
  <c r="E39" i="78"/>
  <c r="G58" i="26"/>
  <c r="G66" i="26"/>
  <c r="H66" i="26" s="1"/>
  <c r="O54" i="78"/>
  <c r="D41" i="117"/>
  <c r="G41" i="117" s="1"/>
  <c r="D23" i="79"/>
  <c r="A164" i="23"/>
  <c r="D19" i="79"/>
  <c r="O33" i="78"/>
  <c r="B30" i="117"/>
  <c r="B30" i="79"/>
  <c r="G30" i="79" s="1"/>
  <c r="E20" i="111"/>
  <c r="D20" i="111"/>
  <c r="C47" i="117"/>
  <c r="C47" i="79"/>
  <c r="C45" i="117"/>
  <c r="C64" i="117"/>
  <c r="C64" i="79"/>
  <c r="C25" i="117"/>
  <c r="C25" i="79"/>
  <c r="C40" i="79"/>
  <c r="C40" i="117"/>
  <c r="O49" i="78"/>
  <c r="B46" i="79"/>
  <c r="G46" i="79" s="1"/>
  <c r="B46" i="117"/>
  <c r="C21" i="79"/>
  <c r="C21" i="117"/>
  <c r="D6" i="117"/>
  <c r="G6" i="117" s="1"/>
  <c r="O32" i="78"/>
  <c r="B29" i="79"/>
  <c r="G29" i="79" s="1"/>
  <c r="B29" i="117"/>
  <c r="D22" i="79"/>
  <c r="D13" i="79"/>
  <c r="D13" i="117"/>
  <c r="G13" i="117" s="1"/>
  <c r="O39" i="78"/>
  <c r="B36" i="79"/>
  <c r="G36" i="79" s="1"/>
  <c r="B36" i="117"/>
  <c r="E17" i="111"/>
  <c r="D17" i="111"/>
  <c r="O68" i="78"/>
  <c r="B65" i="79"/>
  <c r="G65" i="79" s="1"/>
  <c r="B65" i="117"/>
  <c r="H70" i="26"/>
  <c r="K70" i="26"/>
  <c r="O70" i="26"/>
  <c r="J70" i="26"/>
  <c r="I70" i="26"/>
  <c r="O40" i="78"/>
  <c r="B37" i="117"/>
  <c r="B37" i="79"/>
  <c r="G37" i="79" s="1"/>
  <c r="D18" i="111"/>
  <c r="O15" i="78"/>
  <c r="B12" i="79"/>
  <c r="G12" i="79" s="1"/>
  <c r="B12" i="117"/>
  <c r="O8" i="78"/>
  <c r="B5" i="79"/>
  <c r="G5" i="79" s="1"/>
  <c r="C39" i="79"/>
  <c r="C39" i="117"/>
  <c r="O62" i="78"/>
  <c r="B59" i="117"/>
  <c r="B59" i="79"/>
  <c r="G59" i="79" s="1"/>
  <c r="C44" i="117"/>
  <c r="O76" i="78"/>
  <c r="B74" i="117"/>
  <c r="B74" i="79"/>
  <c r="G74" i="79" s="1"/>
  <c r="E19" i="111"/>
  <c r="D19" i="111"/>
  <c r="D110" i="23"/>
  <c r="H1634" i="23"/>
  <c r="E65" i="78" s="1"/>
  <c r="I1633" i="23"/>
  <c r="C34" i="79"/>
  <c r="C34" i="117"/>
  <c r="I60" i="26"/>
  <c r="O60" i="26"/>
  <c r="K60" i="26"/>
  <c r="J60" i="26"/>
  <c r="H60" i="26"/>
  <c r="D31" i="79"/>
  <c r="D31" i="117"/>
  <c r="G31" i="117" s="1"/>
  <c r="C16" i="117"/>
  <c r="C16" i="79"/>
  <c r="D160" i="23"/>
  <c r="C32" i="117"/>
  <c r="C32" i="79"/>
  <c r="H1947" i="1"/>
  <c r="C1916" i="1"/>
  <c r="D58" i="117"/>
  <c r="G58" i="117" s="1"/>
  <c r="D58" i="79"/>
  <c r="D194" i="115"/>
  <c r="D192" i="115"/>
  <c r="A873" i="23"/>
  <c r="C10" i="107"/>
  <c r="D827" i="23"/>
  <c r="D829" i="23" s="1"/>
  <c r="D828" i="23"/>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D68" i="79"/>
  <c r="D68" i="117"/>
  <c r="G68" i="117" s="1"/>
  <c r="D50" i="117"/>
  <c r="G50" i="117" s="1"/>
  <c r="D50" i="79"/>
  <c r="I347" i="23"/>
  <c r="C104" i="115"/>
  <c r="D93" i="115"/>
  <c r="D69" i="79" l="1"/>
  <c r="D27" i="79"/>
  <c r="D42" i="79"/>
  <c r="D67" i="79"/>
  <c r="D15" i="117"/>
  <c r="G15" i="117" s="1"/>
  <c r="C4" i="79"/>
  <c r="C3" i="79"/>
  <c r="F21" i="111"/>
  <c r="I21" i="111" s="1"/>
  <c r="F24" i="111"/>
  <c r="I24" i="111" s="1"/>
  <c r="F23" i="111"/>
  <c r="I23" i="111" s="1"/>
  <c r="D35" i="79"/>
  <c r="D60" i="79"/>
  <c r="D43" i="117"/>
  <c r="G43" i="117" s="1"/>
  <c r="D8" i="79"/>
  <c r="B72" i="117"/>
  <c r="B71" i="79"/>
  <c r="G71" i="79" s="1"/>
  <c r="D66" i="79"/>
  <c r="E3" i="117"/>
  <c r="H91" i="26"/>
  <c r="I91" i="26"/>
  <c r="J91" i="26"/>
  <c r="K91" i="26"/>
  <c r="H102" i="26"/>
  <c r="F106" i="78" s="1"/>
  <c r="I102" i="26"/>
  <c r="J102" i="26"/>
  <c r="K102" i="26"/>
  <c r="H100" i="26"/>
  <c r="I100" i="26"/>
  <c r="J100" i="26"/>
  <c r="K100" i="26"/>
  <c r="H93" i="26"/>
  <c r="F97" i="78" s="1"/>
  <c r="I93" i="26"/>
  <c r="G97" i="78" s="1"/>
  <c r="J93" i="26"/>
  <c r="K93" i="26"/>
  <c r="H101" i="26"/>
  <c r="I101" i="26"/>
  <c r="J101" i="26"/>
  <c r="K101" i="26"/>
  <c r="H90" i="26"/>
  <c r="I90" i="26"/>
  <c r="J90" i="26"/>
  <c r="K90" i="26"/>
  <c r="H95" i="26"/>
  <c r="F99" i="78" s="1"/>
  <c r="I95" i="26"/>
  <c r="J95" i="26"/>
  <c r="K95" i="26"/>
  <c r="H99" i="26"/>
  <c r="I99" i="26"/>
  <c r="G103" i="78" s="1"/>
  <c r="J99" i="26"/>
  <c r="K99" i="26"/>
  <c r="H96" i="26"/>
  <c r="F100" i="78" s="1"/>
  <c r="I96" i="26"/>
  <c r="G100" i="78" s="1"/>
  <c r="J96" i="26"/>
  <c r="K96" i="26"/>
  <c r="H97" i="26"/>
  <c r="F101" i="78" s="1"/>
  <c r="I97" i="26"/>
  <c r="G101" i="78" s="1"/>
  <c r="J97" i="26"/>
  <c r="K97" i="26"/>
  <c r="H92" i="26"/>
  <c r="I92" i="26"/>
  <c r="J92" i="26"/>
  <c r="K92" i="26"/>
  <c r="H98" i="26"/>
  <c r="F102" i="78" s="1"/>
  <c r="I98" i="26"/>
  <c r="G102" i="78" s="1"/>
  <c r="J98" i="26"/>
  <c r="K98" i="26"/>
  <c r="H94" i="26"/>
  <c r="F98" i="78" s="1"/>
  <c r="I94" i="26"/>
  <c r="G98" i="78" s="1"/>
  <c r="J94" i="26"/>
  <c r="K94" i="26"/>
  <c r="F104" i="78"/>
  <c r="F96" i="78"/>
  <c r="F103" i="78"/>
  <c r="F89" i="78"/>
  <c r="G104" i="78"/>
  <c r="G96" i="78"/>
  <c r="G105" i="78"/>
  <c r="G99" i="78"/>
  <c r="G95" i="78"/>
  <c r="G89" i="78"/>
  <c r="F105" i="78"/>
  <c r="F95" i="78"/>
  <c r="G106" i="78"/>
  <c r="K6" i="78"/>
  <c r="G6" i="78"/>
  <c r="F3" i="79" s="1"/>
  <c r="C5" i="117"/>
  <c r="B3" i="79"/>
  <c r="A3" i="79" s="1"/>
  <c r="O6" i="78"/>
  <c r="B6" i="78" s="1"/>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F20" i="111"/>
  <c r="I20" i="111" s="1"/>
  <c r="G11" i="114"/>
  <c r="D3" i="79"/>
  <c r="D263" i="115"/>
  <c r="B239" i="42"/>
  <c r="B248" i="42" s="1"/>
  <c r="B263" i="42" s="1"/>
  <c r="B264" i="42" s="1"/>
  <c r="B265" i="42" s="1"/>
  <c r="O12" i="26"/>
  <c r="E12" i="117"/>
  <c r="J16" i="78"/>
  <c r="D366" i="23"/>
  <c r="B56" i="117"/>
  <c r="G7" i="78"/>
  <c r="F4" i="117" s="1"/>
  <c r="E4" i="79"/>
  <c r="O59" i="78"/>
  <c r="D5" i="79"/>
  <c r="G15" i="78"/>
  <c r="F11" i="79" s="1"/>
  <c r="E11" i="117"/>
  <c r="K15" i="78"/>
  <c r="J15" i="78"/>
  <c r="G9" i="78"/>
  <c r="F6" i="79" s="1"/>
  <c r="E6" i="117"/>
  <c r="G8" i="78"/>
  <c r="F5" i="79" s="1"/>
  <c r="D9" i="114"/>
  <c r="C261" i="115" s="1"/>
  <c r="D261" i="115"/>
  <c r="J63" i="26"/>
  <c r="K63" i="26"/>
  <c r="O63" i="26"/>
  <c r="D26" i="117"/>
  <c r="G26" i="117" s="1"/>
  <c r="H63" i="26"/>
  <c r="F67" i="78" s="1"/>
  <c r="D61" i="117"/>
  <c r="G61" i="117" s="1"/>
  <c r="C61" i="117"/>
  <c r="B61" i="79"/>
  <c r="G61" i="79" s="1"/>
  <c r="D63" i="79"/>
  <c r="O29" i="78"/>
  <c r="C30" i="117"/>
  <c r="O19" i="78"/>
  <c r="O64" i="78"/>
  <c r="D89" i="79"/>
  <c r="C52" i="79"/>
  <c r="O55" i="78"/>
  <c r="C74" i="117"/>
  <c r="B20" i="79"/>
  <c r="G20" i="79" s="1"/>
  <c r="C56" i="117"/>
  <c r="D11" i="117"/>
  <c r="G11" i="117" s="1"/>
  <c r="D81" i="79"/>
  <c r="E8" i="79"/>
  <c r="B4" i="117"/>
  <c r="B26" i="117"/>
  <c r="O23" i="78"/>
  <c r="B52" i="117"/>
  <c r="B25" i="79"/>
  <c r="G25" i="79" s="1"/>
  <c r="C13" i="79"/>
  <c r="C53" i="79"/>
  <c r="K7" i="78"/>
  <c r="K14" i="78"/>
  <c r="G11" i="78"/>
  <c r="F8" i="117" s="1"/>
  <c r="O7" i="78"/>
  <c r="J7" i="78"/>
  <c r="O10" i="26"/>
  <c r="J11" i="78"/>
  <c r="B25" i="117"/>
  <c r="C23" i="117"/>
  <c r="D34" i="117"/>
  <c r="G34" i="117" s="1"/>
  <c r="B16" i="117"/>
  <c r="O7" i="26"/>
  <c r="C49" i="117"/>
  <c r="C8" i="79"/>
  <c r="O3" i="26"/>
  <c r="D30" i="117"/>
  <c r="G30" i="117" s="1"/>
  <c r="B8" i="79"/>
  <c r="G8" i="79" s="1"/>
  <c r="C69" i="79"/>
  <c r="C22" i="79"/>
  <c r="O11" i="78"/>
  <c r="B53" i="117"/>
  <c r="C26" i="117"/>
  <c r="O56" i="78"/>
  <c r="D91" i="79"/>
  <c r="D49" i="117"/>
  <c r="G49" i="117" s="1"/>
  <c r="B6" i="79"/>
  <c r="G6" i="79" s="1"/>
  <c r="A6" i="79" s="1"/>
  <c r="C29" i="79"/>
  <c r="O52" i="78"/>
  <c r="D64" i="117"/>
  <c r="G64" i="117" s="1"/>
  <c r="O53" i="78"/>
  <c r="O43" i="78"/>
  <c r="B35" i="117"/>
  <c r="D25" i="79"/>
  <c r="C72" i="117"/>
  <c r="C60" i="79"/>
  <c r="B6" i="117"/>
  <c r="B49" i="117"/>
  <c r="B23" i="117"/>
  <c r="O71" i="78"/>
  <c r="B14" i="79"/>
  <c r="G14" i="79" s="1"/>
  <c r="B23" i="79"/>
  <c r="G23" i="79" s="1"/>
  <c r="O38" i="78"/>
  <c r="D52" i="117"/>
  <c r="G52" i="117" s="1"/>
  <c r="B50" i="117"/>
  <c r="I62" i="26"/>
  <c r="G66"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4" i="78"/>
  <c r="B14" i="117"/>
  <c r="C33" i="117"/>
  <c r="G18" i="78"/>
  <c r="C15" i="79"/>
  <c r="C7" i="117"/>
  <c r="C27" i="79"/>
  <c r="E14" i="117"/>
  <c r="J18" i="78"/>
  <c r="C68" i="79"/>
  <c r="K18" i="78"/>
  <c r="O14" i="78"/>
  <c r="D55" i="117"/>
  <c r="G55" i="117" s="1"/>
  <c r="H62" i="26"/>
  <c r="D76" i="79"/>
  <c r="K61" i="26"/>
  <c r="H72" i="26"/>
  <c r="F76" i="78" s="1"/>
  <c r="B11" i="117"/>
  <c r="O72" i="26"/>
  <c r="J62" i="26"/>
  <c r="B18" i="117"/>
  <c r="C66" i="79"/>
  <c r="B17" i="79"/>
  <c r="G17" i="79" s="1"/>
  <c r="C67" i="117"/>
  <c r="C36" i="117"/>
  <c r="O69" i="26"/>
  <c r="D71" i="117"/>
  <c r="G71" i="117" s="1"/>
  <c r="C11" i="117"/>
  <c r="C57" i="79"/>
  <c r="D37" i="117"/>
  <c r="G37" i="117" s="1"/>
  <c r="D86" i="79"/>
  <c r="C14" i="79"/>
  <c r="B73" i="117"/>
  <c r="B45" i="117"/>
  <c r="C70" i="79"/>
  <c r="O67" i="26"/>
  <c r="C73" i="79"/>
  <c r="B62" i="117"/>
  <c r="J64" i="26"/>
  <c r="C20" i="117"/>
  <c r="I64" i="26"/>
  <c r="G68" i="78" s="1"/>
  <c r="B41" i="117"/>
  <c r="B54" i="117"/>
  <c r="K64" i="26"/>
  <c r="B41" i="79"/>
  <c r="G41" i="79" s="1"/>
  <c r="D47" i="79"/>
  <c r="C9" i="117"/>
  <c r="B19" i="117"/>
  <c r="C18" i="79"/>
  <c r="B54" i="79"/>
  <c r="G54" i="79" s="1"/>
  <c r="O64" i="26"/>
  <c r="K72" i="26"/>
  <c r="J61" i="26"/>
  <c r="B33" i="79"/>
  <c r="G33" i="79" s="1"/>
  <c r="D93" i="117"/>
  <c r="G93" i="117" s="1"/>
  <c r="K62" i="26"/>
  <c r="B55" i="79"/>
  <c r="G55" i="79" s="1"/>
  <c r="B17" i="117"/>
  <c r="J72" i="26"/>
  <c r="B63" i="117"/>
  <c r="B28" i="117"/>
  <c r="B24" i="117"/>
  <c r="O41" i="78"/>
  <c r="B67" i="117"/>
  <c r="D87" i="79"/>
  <c r="D87" i="117"/>
  <c r="G87" i="117" s="1"/>
  <c r="O58" i="78"/>
  <c r="B34" i="117"/>
  <c r="O69" i="78"/>
  <c r="B19" i="79"/>
  <c r="G19" i="79" s="1"/>
  <c r="I61" i="26"/>
  <c r="G65" i="78" s="1"/>
  <c r="F61"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B28" i="79"/>
  <c r="G28" i="79" s="1"/>
  <c r="F74" i="78"/>
  <c r="B13" i="117"/>
  <c r="K71" i="26"/>
  <c r="G13" i="78"/>
  <c r="C51" i="79"/>
  <c r="O73" i="78"/>
  <c r="B13" i="79"/>
  <c r="G13" i="79" s="1"/>
  <c r="O71" i="26"/>
  <c r="G73" i="78"/>
  <c r="F68" i="78"/>
  <c r="G67" i="78"/>
  <c r="G74" i="78"/>
  <c r="D70" i="117"/>
  <c r="G70" i="117" s="1"/>
  <c r="B32" i="79"/>
  <c r="G32" i="79" s="1"/>
  <c r="G76" i="78"/>
  <c r="F66" i="78"/>
  <c r="E62" i="117" s="1"/>
  <c r="B31" i="117"/>
  <c r="D73" i="79"/>
  <c r="O35" i="78"/>
  <c r="C54" i="79"/>
  <c r="O60" i="78"/>
  <c r="D74" i="117"/>
  <c r="G74" i="117" s="1"/>
  <c r="C55" i="117"/>
  <c r="C62" i="117"/>
  <c r="H67" i="26"/>
  <c r="F71" i="78" s="1"/>
  <c r="C24" i="117"/>
  <c r="B7" i="117"/>
  <c r="F70" i="78"/>
  <c r="F69" i="78"/>
  <c r="K11" i="78"/>
  <c r="G17" i="111"/>
  <c r="I67" i="26"/>
  <c r="G71" i="78" s="1"/>
  <c r="B7" i="79"/>
  <c r="G7" i="79" s="1"/>
  <c r="G16" i="111"/>
  <c r="B10" i="79"/>
  <c r="G10" i="79" s="1"/>
  <c r="C46" i="117"/>
  <c r="I71" i="26"/>
  <c r="G75" i="78" s="1"/>
  <c r="B21" i="79"/>
  <c r="G21" i="79" s="1"/>
  <c r="C43" i="79"/>
  <c r="C58" i="117"/>
  <c r="C6" i="79"/>
  <c r="B24" i="79"/>
  <c r="G24" i="79" s="1"/>
  <c r="O51" i="78"/>
  <c r="O68" i="26"/>
  <c r="B57" i="79"/>
  <c r="G57" i="79" s="1"/>
  <c r="C59" i="117"/>
  <c r="B43" i="117"/>
  <c r="G14" i="78"/>
  <c r="F10" i="117" s="1"/>
  <c r="B9" i="117"/>
  <c r="G16" i="78"/>
  <c r="F12" i="117" s="1"/>
  <c r="C63" i="117"/>
  <c r="B21" i="117"/>
  <c r="B58" i="79"/>
  <c r="G58" i="79" s="1"/>
  <c r="B10" i="117"/>
  <c r="K65" i="26"/>
  <c r="O46" i="78"/>
  <c r="B44" i="117"/>
  <c r="G19" i="111"/>
  <c r="B9" i="79"/>
  <c r="G9" i="79" s="1"/>
  <c r="K16" i="78"/>
  <c r="B58" i="117"/>
  <c r="C65" i="117"/>
  <c r="J65" i="26"/>
  <c r="B44" i="79"/>
  <c r="G44" i="79" s="1"/>
  <c r="B71" i="117"/>
  <c r="C10" i="117"/>
  <c r="O65" i="26"/>
  <c r="C31" i="79"/>
  <c r="D9" i="117"/>
  <c r="G9" i="117" s="1"/>
  <c r="C38" i="79"/>
  <c r="C28" i="117"/>
  <c r="J67" i="26"/>
  <c r="O34" i="78"/>
  <c r="H71" i="26"/>
  <c r="F75" i="78" s="1"/>
  <c r="B45" i="79"/>
  <c r="G45" i="79" s="1"/>
  <c r="B47" i="79"/>
  <c r="G47" i="79" s="1"/>
  <c r="D28" i="117"/>
  <c r="G28" i="117" s="1"/>
  <c r="H68" i="26"/>
  <c r="F72" i="78" s="1"/>
  <c r="D221" i="115"/>
  <c r="D56" i="117"/>
  <c r="G56" i="117" s="1"/>
  <c r="F17" i="111"/>
  <c r="D220" i="115"/>
  <c r="G18" i="111"/>
  <c r="C48" i="117"/>
  <c r="D20" i="117"/>
  <c r="G20" i="117" s="1"/>
  <c r="B15" i="117"/>
  <c r="C225" i="115"/>
  <c r="D44" i="117"/>
  <c r="G44" i="117" s="1"/>
  <c r="I68" i="26"/>
  <c r="G72" i="78" s="1"/>
  <c r="D14" i="111"/>
  <c r="B68" i="117"/>
  <c r="J68" i="26"/>
  <c r="K69" i="26"/>
  <c r="C19" i="79"/>
  <c r="D14" i="79"/>
  <c r="D14" i="117"/>
  <c r="G14" i="117" s="1"/>
  <c r="C226" i="115"/>
  <c r="B67" i="79"/>
  <c r="G67" i="79" s="1"/>
  <c r="C71" i="117"/>
  <c r="D10" i="79"/>
  <c r="D45" i="79"/>
  <c r="D18" i="117"/>
  <c r="G18" i="117" s="1"/>
  <c r="D18" i="79"/>
  <c r="B15" i="79"/>
  <c r="G15" i="79" s="1"/>
  <c r="B69" i="79"/>
  <c r="G69" i="79" s="1"/>
  <c r="E21" i="111"/>
  <c r="B51" i="79"/>
  <c r="G51" i="79" s="1"/>
  <c r="B51" i="117"/>
  <c r="D29" i="79"/>
  <c r="D29" i="117"/>
  <c r="G29" i="117" s="1"/>
  <c r="D32" i="79"/>
  <c r="D32" i="117"/>
  <c r="G32" i="117" s="1"/>
  <c r="F65" i="78"/>
  <c r="E61" i="79" s="1"/>
  <c r="D17" i="79"/>
  <c r="D17" i="117"/>
  <c r="G17" i="117" s="1"/>
  <c r="G21" i="111"/>
  <c r="J17" i="78"/>
  <c r="J66" i="26"/>
  <c r="G20" i="111"/>
  <c r="I66" i="26"/>
  <c r="G70" i="78" s="1"/>
  <c r="E13" i="117"/>
  <c r="H69" i="26"/>
  <c r="F73" i="78" s="1"/>
  <c r="O66" i="26"/>
  <c r="D10" i="117"/>
  <c r="G10" i="117" s="1"/>
  <c r="K17" i="78"/>
  <c r="J69" i="26"/>
  <c r="E16" i="111"/>
  <c r="D16" i="111"/>
  <c r="D21" i="79"/>
  <c r="D39" i="79"/>
  <c r="K66" i="26"/>
  <c r="L129" i="78"/>
  <c r="G24" i="111"/>
  <c r="G26" i="111"/>
  <c r="G17" i="78"/>
  <c r="F13" i="117" s="1"/>
  <c r="D16" i="117"/>
  <c r="G16" i="117" s="1"/>
  <c r="G25" i="111"/>
  <c r="G22" i="111"/>
  <c r="G23" i="111"/>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D223" i="115" l="1"/>
  <c r="C227" i="115"/>
  <c r="D225" i="115"/>
  <c r="D226" i="115"/>
  <c r="E3" i="79"/>
  <c r="F3" i="117"/>
  <c r="B8" i="78"/>
  <c r="D14" i="114"/>
  <c r="C266" i="115" s="1"/>
  <c r="D266" i="115"/>
  <c r="D15" i="114"/>
  <c r="C267" i="115" s="1"/>
  <c r="D267" i="115"/>
  <c r="D16" i="114"/>
  <c r="D268" i="115"/>
  <c r="D10" i="114"/>
  <c r="C262" i="115" s="1"/>
  <c r="D262" i="115"/>
  <c r="D265" i="115"/>
  <c r="D13" i="114"/>
  <c r="C265" i="115" s="1"/>
  <c r="D222" i="115"/>
  <c r="F4" i="79"/>
  <c r="B12" i="78"/>
  <c r="B31" i="78"/>
  <c r="B18" i="78"/>
  <c r="B7" i="78"/>
  <c r="E4" i="117"/>
  <c r="B28" i="78"/>
  <c r="B13" i="78"/>
  <c r="E10" i="79"/>
  <c r="E10" i="117"/>
  <c r="B11" i="78"/>
  <c r="B24" i="78"/>
  <c r="B22" i="78"/>
  <c r="B17" i="78"/>
  <c r="B21" i="78"/>
  <c r="B10" i="78"/>
  <c r="B19" i="78"/>
  <c r="B26" i="78"/>
  <c r="B27" i="78"/>
  <c r="B9" i="78"/>
  <c r="B30" i="78"/>
  <c r="E5" i="117"/>
  <c r="A8" i="79"/>
  <c r="F12" i="79"/>
  <c r="F6" i="117"/>
  <c r="B32" i="78"/>
  <c r="B33" i="78"/>
  <c r="B16" i="78"/>
  <c r="B29" i="78"/>
  <c r="B25" i="78"/>
  <c r="B14" i="78"/>
  <c r="B15" i="78"/>
  <c r="B23" i="78"/>
  <c r="B20" i="78"/>
  <c r="A4" i="117"/>
  <c r="A7" i="79"/>
  <c r="E6" i="79"/>
  <c r="F5" i="117"/>
  <c r="E62" i="79"/>
  <c r="F8" i="79"/>
  <c r="B34" i="78"/>
  <c r="A9" i="117"/>
  <c r="A8" i="117"/>
  <c r="A7" i="117"/>
  <c r="A6" i="117"/>
  <c r="D1542" i="23"/>
  <c r="D1548" i="23" s="1"/>
  <c r="D1444" i="23"/>
  <c r="D1445" i="23" s="1"/>
  <c r="I1637" i="23"/>
  <c r="A1637" i="23" s="1"/>
  <c r="E36" i="78"/>
  <c r="A1634" i="23"/>
  <c r="D219" i="115"/>
  <c r="I17" i="111"/>
  <c r="E8" i="117"/>
  <c r="C224" i="115"/>
  <c r="F14" i="117"/>
  <c r="F14" i="79"/>
  <c r="C222" i="115"/>
  <c r="F10" i="79"/>
  <c r="F11" i="117"/>
  <c r="A10" i="79"/>
  <c r="B42" i="78"/>
  <c r="A12" i="79"/>
  <c r="B61" i="78"/>
  <c r="A9" i="79"/>
  <c r="B44" i="78"/>
  <c r="A13" i="79"/>
  <c r="B36" i="78"/>
  <c r="A14" i="79"/>
  <c r="A39" i="79"/>
  <c r="E61" i="117"/>
  <c r="A11" i="79"/>
  <c r="A10" i="117"/>
  <c r="A57" i="79"/>
  <c r="E11" i="79"/>
  <c r="A76" i="79"/>
  <c r="B80" i="78"/>
  <c r="A40" i="79"/>
  <c r="A19" i="79"/>
  <c r="E14" i="79"/>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C223" i="115"/>
  <c r="A15" i="117"/>
  <c r="A26" i="117"/>
  <c r="C221" i="115"/>
  <c r="A11" i="117"/>
  <c r="C220" i="115"/>
  <c r="E13" i="79"/>
  <c r="A19" i="117"/>
  <c r="A29" i="117"/>
  <c r="F61" i="117"/>
  <c r="A18" i="117"/>
  <c r="A24" i="117"/>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8" i="78"/>
  <c r="G13" i="110"/>
  <c r="P14" i="78"/>
  <c r="G14" i="110"/>
  <c r="G21" i="110"/>
  <c r="P16" i="78"/>
  <c r="G10" i="110"/>
  <c r="P18" i="78"/>
  <c r="F12" i="110"/>
  <c r="I12" i="110" s="1"/>
  <c r="P12" i="78"/>
  <c r="F21" i="110"/>
  <c r="D200" i="115"/>
  <c r="P15" i="78"/>
  <c r="G23" i="110"/>
  <c r="F14" i="110"/>
  <c r="I14" i="110" s="1"/>
  <c r="G15" i="110"/>
  <c r="G11" i="110"/>
  <c r="F17"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50" i="1"/>
  <c r="I7" i="110" l="1"/>
  <c r="C201" i="115"/>
  <c r="I8" i="110"/>
  <c r="C202" i="115"/>
  <c r="I6" i="110"/>
  <c r="C200" i="115"/>
  <c r="J9" i="78"/>
  <c r="J8" i="78"/>
  <c r="K9" i="78"/>
  <c r="J13" i="78"/>
  <c r="K8" i="78"/>
  <c r="K13" i="78"/>
  <c r="G64" i="78" l="1"/>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O81" i="26"/>
  <c r="K76" i="26"/>
  <c r="K74" i="26"/>
  <c r="O42" i="26"/>
  <c r="O35" i="26"/>
  <c r="O24" i="26"/>
  <c r="O19" i="26"/>
  <c r="H89" i="26"/>
  <c r="O78" i="26"/>
  <c r="I74" i="26"/>
  <c r="O26" i="26"/>
  <c r="O38" i="26"/>
  <c r="I83" i="26"/>
  <c r="G87" i="78" s="1"/>
  <c r="I79" i="26"/>
  <c r="G83" i="78" s="1"/>
  <c r="J76" i="26"/>
  <c r="J74" i="26"/>
  <c r="O59" i="26"/>
  <c r="O47" i="26"/>
  <c r="O37" i="26"/>
  <c r="O28" i="26"/>
  <c r="O23" i="26"/>
  <c r="K82" i="26"/>
  <c r="I76" i="26"/>
  <c r="G80" i="78" s="1"/>
  <c r="O52" i="26"/>
  <c r="O46" i="26"/>
  <c r="O22" i="26"/>
  <c r="O74" i="26"/>
  <c r="O44" i="26"/>
  <c r="O20" i="26"/>
  <c r="K85" i="26"/>
  <c r="J82" i="26"/>
  <c r="H78" i="26"/>
  <c r="F82" i="78" s="1"/>
  <c r="O75" i="26"/>
  <c r="H74" i="26"/>
  <c r="F78" i="78" s="1"/>
  <c r="O50" i="26"/>
  <c r="O43" i="26"/>
  <c r="O31" i="26"/>
  <c r="K77" i="26"/>
  <c r="O29" i="26"/>
  <c r="O76" i="26"/>
  <c r="J85" i="26"/>
  <c r="I82" i="26"/>
  <c r="G86" i="78" s="1"/>
  <c r="K78" i="26"/>
  <c r="K75" i="26"/>
  <c r="O55" i="26"/>
  <c r="O45" i="26"/>
  <c r="O36" i="26"/>
  <c r="O30" i="26"/>
  <c r="O21" i="26"/>
  <c r="O17" i="26"/>
  <c r="H85" i="26"/>
  <c r="H75" i="26"/>
  <c r="O51" i="26"/>
  <c r="O39" i="26"/>
  <c r="H81" i="26"/>
  <c r="F85" i="78" s="1"/>
  <c r="O53" i="26"/>
  <c r="I85" i="26"/>
  <c r="H82" i="26"/>
  <c r="F86" i="78" s="1"/>
  <c r="O77" i="26"/>
  <c r="I75" i="26"/>
  <c r="O73" i="26"/>
  <c r="O54" i="26"/>
  <c r="O34" i="26"/>
  <c r="O27" i="26"/>
  <c r="K81" i="26"/>
  <c r="O58" i="26"/>
  <c r="I84" i="26"/>
  <c r="G88" i="78" s="1"/>
  <c r="O15" i="26"/>
  <c r="K88" i="26"/>
  <c r="O56" i="26"/>
  <c r="J88" i="26"/>
  <c r="I78" i="26"/>
  <c r="G82" i="78" s="1"/>
  <c r="I77" i="26"/>
  <c r="G81" i="78" s="1"/>
  <c r="J79" i="26"/>
  <c r="K86" i="26"/>
  <c r="O40" i="26"/>
  <c r="O49" i="26"/>
  <c r="O80" i="26"/>
  <c r="K83" i="26"/>
  <c r="O25" i="26"/>
  <c r="K80" i="26"/>
  <c r="O32" i="26"/>
  <c r="K79" i="26"/>
  <c r="H83" i="26"/>
  <c r="F87" i="78" s="1"/>
  <c r="J77" i="26"/>
  <c r="J75" i="26"/>
  <c r="H79" i="26"/>
  <c r="F83" i="78" s="1"/>
  <c r="J84" i="26"/>
  <c r="O33" i="26"/>
  <c r="O79" i="26"/>
  <c r="O82" i="26"/>
  <c r="H80" i="26"/>
  <c r="F84" i="78" s="1"/>
  <c r="I80" i="26"/>
  <c r="G84" i="78" s="1"/>
  <c r="O41" i="26"/>
  <c r="H86" i="26"/>
  <c r="F90" i="78" s="1"/>
  <c r="I86" i="26"/>
  <c r="G90" i="78" s="1"/>
  <c r="J86" i="26"/>
  <c r="J89" i="26"/>
  <c r="H77" i="26"/>
  <c r="F81" i="78" s="1"/>
  <c r="H76" i="26"/>
  <c r="F80" i="78" s="1"/>
  <c r="O48" i="26"/>
  <c r="K89" i="26"/>
  <c r="I81" i="26"/>
  <c r="G85" i="78" s="1"/>
  <c r="J81" i="26"/>
  <c r="J80" i="26"/>
  <c r="K87" i="26"/>
  <c r="J78" i="26"/>
  <c r="J87" i="26"/>
  <c r="I88" i="26"/>
  <c r="G92" i="78" s="1"/>
  <c r="H87" i="26"/>
  <c r="F91" i="78" s="1"/>
  <c r="H84" i="26"/>
  <c r="F88" i="78" s="1"/>
  <c r="O57" i="26"/>
  <c r="I89" i="26"/>
  <c r="I87" i="26"/>
  <c r="G91" i="78" s="1"/>
  <c r="K84" i="26"/>
  <c r="H88" i="26"/>
  <c r="F92" i="78" s="1"/>
  <c r="J12" i="78"/>
  <c r="K12" i="78"/>
  <c r="O6" i="26"/>
  <c r="J19" i="78"/>
  <c r="K19" i="78"/>
  <c r="G12" i="78"/>
  <c r="E15" i="79"/>
  <c r="G10" i="78"/>
  <c r="F7" i="117" s="1"/>
  <c r="E7" i="79"/>
  <c r="G19" i="78"/>
  <c r="F15" i="79" s="1"/>
  <c r="J29" i="26"/>
  <c r="J38" i="26"/>
  <c r="J30" i="26"/>
  <c r="K50" i="26"/>
  <c r="J39" i="26"/>
  <c r="J21" i="78"/>
  <c r="K58" i="26"/>
  <c r="K21" i="78"/>
  <c r="J40" i="26"/>
  <c r="J25" i="26"/>
  <c r="J58" i="26"/>
  <c r="J46" i="26"/>
  <c r="K25" i="26"/>
  <c r="J54" i="26"/>
  <c r="J32" i="26"/>
  <c r="K28" i="26"/>
  <c r="K10" i="78"/>
  <c r="J31" i="26"/>
  <c r="K40" i="26"/>
  <c r="K22" i="78"/>
  <c r="K23" i="26"/>
  <c r="K22" i="26"/>
  <c r="K53" i="26"/>
  <c r="K59" i="26"/>
  <c r="J22" i="78"/>
  <c r="J49" i="26"/>
  <c r="K35" i="26"/>
  <c r="K46" i="26"/>
  <c r="J47" i="26"/>
  <c r="K45" i="26"/>
  <c r="J51" i="26"/>
  <c r="K41" i="26"/>
  <c r="J56" i="26"/>
  <c r="J57" i="26"/>
  <c r="K52" i="26"/>
  <c r="J10" i="78"/>
  <c r="J21" i="26"/>
  <c r="J45" i="26"/>
  <c r="K20" i="78"/>
  <c r="K56" i="26"/>
  <c r="J50" i="26"/>
  <c r="K33" i="26"/>
  <c r="K57" i="26"/>
  <c r="K37" i="26"/>
  <c r="J36" i="26"/>
  <c r="J59" i="26"/>
  <c r="K44" i="26"/>
  <c r="K31" i="26"/>
  <c r="K48" i="26"/>
  <c r="J23" i="26"/>
  <c r="J55" i="26"/>
  <c r="J34" i="26"/>
  <c r="J20" i="78"/>
  <c r="J33" i="26"/>
  <c r="J35" i="26"/>
  <c r="K24" i="26"/>
  <c r="K21" i="26"/>
  <c r="K32" i="26"/>
  <c r="J26" i="26"/>
  <c r="J23" i="78"/>
  <c r="K23" i="78"/>
  <c r="J24" i="26"/>
  <c r="K38" i="26"/>
  <c r="K39" i="26"/>
  <c r="J42" i="26"/>
  <c r="J53" i="26"/>
  <c r="K49" i="26"/>
  <c r="K27" i="26"/>
  <c r="K47" i="26"/>
  <c r="J27" i="26"/>
  <c r="J52" i="26"/>
  <c r="K42" i="26"/>
  <c r="K36" i="26"/>
  <c r="J43" i="26"/>
  <c r="K55" i="26"/>
  <c r="J37" i="26"/>
  <c r="K43" i="26"/>
  <c r="K29" i="26"/>
  <c r="K54" i="26"/>
  <c r="J22" i="26"/>
  <c r="J41" i="26"/>
  <c r="J48" i="26"/>
  <c r="J28" i="26"/>
  <c r="K34" i="26"/>
  <c r="J44" i="26"/>
  <c r="K26" i="26"/>
  <c r="K51" i="26"/>
  <c r="K73" i="26"/>
  <c r="J73" i="26"/>
  <c r="H43" i="26"/>
  <c r="F47" i="78" s="1"/>
  <c r="E43" i="79" s="1"/>
  <c r="I40" i="26"/>
  <c r="G44" i="78" s="1"/>
  <c r="F40" i="79" s="1"/>
  <c r="H58" i="26"/>
  <c r="F62" i="78" s="1"/>
  <c r="I47" i="26"/>
  <c r="G51" i="78" s="1"/>
  <c r="F47" i="79" s="1"/>
  <c r="E19" i="79"/>
  <c r="I24" i="26"/>
  <c r="G28" i="78" s="1"/>
  <c r="F24" i="117" s="1"/>
  <c r="I43" i="26"/>
  <c r="G47" i="78" s="1"/>
  <c r="H22" i="26"/>
  <c r="F26" i="78" s="1"/>
  <c r="E22" i="79" s="1"/>
  <c r="H45" i="26"/>
  <c r="F49" i="78" s="1"/>
  <c r="E45" i="117" s="1"/>
  <c r="H41" i="26"/>
  <c r="F45" i="78" s="1"/>
  <c r="E41" i="117" s="1"/>
  <c r="I57" i="26"/>
  <c r="G61" i="78" s="1"/>
  <c r="F57" i="117" s="1"/>
  <c r="H27" i="26"/>
  <c r="F31" i="78" s="1"/>
  <c r="E27" i="117" s="1"/>
  <c r="I56" i="26"/>
  <c r="G60" i="78" s="1"/>
  <c r="H23" i="26"/>
  <c r="F27" i="78" s="1"/>
  <c r="E23" i="117" s="1"/>
  <c r="G22" i="78"/>
  <c r="F18" i="117" s="1"/>
  <c r="I21" i="26"/>
  <c r="G25" i="78" s="1"/>
  <c r="F21" i="79" s="1"/>
  <c r="I36" i="26"/>
  <c r="G40" i="78" s="1"/>
  <c r="F36" i="79" s="1"/>
  <c r="I52" i="26"/>
  <c r="G56" i="78" s="1"/>
  <c r="F52" i="79" s="1"/>
  <c r="E18" i="79"/>
  <c r="G23" i="78"/>
  <c r="F19" i="117" s="1"/>
  <c r="G20" i="78"/>
  <c r="F16" i="117" s="1"/>
  <c r="I31" i="26"/>
  <c r="G35" i="78" s="1"/>
  <c r="I34" i="26"/>
  <c r="G38" i="78" s="1"/>
  <c r="F34" i="117" s="1"/>
  <c r="H28" i="26"/>
  <c r="F32" i="78" s="1"/>
  <c r="I54" i="26"/>
  <c r="G58" i="78" s="1"/>
  <c r="F54" i="117" s="1"/>
  <c r="I41" i="26"/>
  <c r="G45" i="78" s="1"/>
  <c r="F41" i="79" s="1"/>
  <c r="E17" i="117"/>
  <c r="H24" i="26"/>
  <c r="F28" i="78" s="1"/>
  <c r="I39" i="26"/>
  <c r="G43" i="78" s="1"/>
  <c r="H55" i="26"/>
  <c r="F59" i="78" s="1"/>
  <c r="E55" i="117" s="1"/>
  <c r="I42" i="26"/>
  <c r="G46" i="78" s="1"/>
  <c r="I48" i="26"/>
  <c r="G52" i="78" s="1"/>
  <c r="H50" i="26"/>
  <c r="F54" i="78" s="1"/>
  <c r="H44" i="26"/>
  <c r="F48" i="78" s="1"/>
  <c r="E44" i="117" s="1"/>
  <c r="G21" i="78"/>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H21" i="26"/>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G24" i="78"/>
  <c r="F20" i="117" s="1"/>
  <c r="K30" i="26"/>
  <c r="H31" i="26"/>
  <c r="F35" i="78" s="1"/>
  <c r="E31" i="117" s="1"/>
  <c r="F94" i="78" l="1"/>
  <c r="E91" i="117" s="1"/>
  <c r="F93" i="78"/>
  <c r="E90" i="117" s="1"/>
  <c r="G94" i="78"/>
  <c r="G93" i="78"/>
  <c r="G15" i="111"/>
  <c r="E83" i="79"/>
  <c r="F122" i="78"/>
  <c r="E77" i="117"/>
  <c r="E78" i="117"/>
  <c r="F79" i="78"/>
  <c r="E76" i="79" s="1"/>
  <c r="F77" i="78"/>
  <c r="E74" i="117" s="1"/>
  <c r="E86" i="79"/>
  <c r="F127" i="78"/>
  <c r="F124" i="78"/>
  <c r="F118" i="78"/>
  <c r="E84" i="117"/>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E37" i="79"/>
  <c r="E57" i="79"/>
  <c r="F120" i="78"/>
  <c r="E79" i="79"/>
  <c r="F107" i="78"/>
  <c r="F22" i="79"/>
  <c r="F94" i="117"/>
  <c r="F123" i="78"/>
  <c r="F119" i="78"/>
  <c r="F54" i="79"/>
  <c r="E18" i="117"/>
  <c r="E45" i="79"/>
  <c r="G111" i="78"/>
  <c r="G78" i="78"/>
  <c r="F75" i="79" s="1"/>
  <c r="F24" i="79"/>
  <c r="E75" i="79"/>
  <c r="F16" i="79"/>
  <c r="F108" i="78"/>
  <c r="F126" i="78"/>
  <c r="F117" i="78"/>
  <c r="F15" i="117"/>
  <c r="E92" i="117"/>
  <c r="E25" i="79"/>
  <c r="F36" i="117"/>
  <c r="E43" i="117"/>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F55" i="117"/>
  <c r="G120" i="78"/>
  <c r="G116" i="78"/>
  <c r="G127" i="78"/>
  <c r="G77" i="78"/>
  <c r="G124" i="78"/>
  <c r="G126" i="78"/>
  <c r="G109" i="78"/>
  <c r="G118" i="78"/>
  <c r="G125" i="78"/>
  <c r="E35" i="79"/>
  <c r="F28" i="117"/>
  <c r="F35" i="117"/>
  <c r="F29" i="117"/>
  <c r="F41" i="117"/>
  <c r="G107" i="78"/>
  <c r="G123" i="78"/>
  <c r="E24" i="117"/>
  <c r="E24" i="79"/>
  <c r="G117" i="78"/>
  <c r="E40" i="79"/>
  <c r="E40" i="117"/>
  <c r="F42" i="117"/>
  <c r="F42" i="79"/>
  <c r="F20" i="79"/>
  <c r="E39" i="79"/>
  <c r="F26" i="79"/>
  <c r="E59" i="117"/>
  <c r="F50" i="117"/>
  <c r="E44" i="79"/>
  <c r="E55" i="79"/>
  <c r="E17" i="79"/>
  <c r="G112" i="78"/>
  <c r="G110" i="78"/>
  <c r="E56" i="79"/>
  <c r="E56" i="117"/>
  <c r="F58" i="79"/>
  <c r="G119" i="78"/>
  <c r="G115" i="78"/>
  <c r="F32" i="117"/>
  <c r="E29" i="79"/>
  <c r="G113" i="78"/>
  <c r="G121" i="78"/>
  <c r="F112" i="78"/>
  <c r="F115" i="78"/>
  <c r="F111" i="78"/>
  <c r="F121" i="78"/>
  <c r="F113" i="78"/>
  <c r="F125" i="78"/>
  <c r="F110"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0E00-000001000000}">
      <text>
        <r>
          <rPr>
            <b/>
            <sz val="12"/>
            <color indexed="81"/>
            <rFont val="Times New Roman"/>
            <family val="1"/>
          </rPr>
          <t xml:space="preserve">Lưu ý: cáp hạ thế 0,6kV
</t>
        </r>
      </text>
    </comment>
    <comment ref="B1385" authorId="0" shapeId="0" xr:uid="{00000000-0006-0000-0E00-000002000000}">
      <text>
        <r>
          <rPr>
            <b/>
            <sz val="12"/>
            <color indexed="81"/>
            <rFont val="Times New Roman"/>
            <family val="1"/>
          </rPr>
          <t xml:space="preserve">Lưu ý: cáp hạ thế 0,6kV
</t>
        </r>
      </text>
    </comment>
    <comment ref="B1615" authorId="0" shapeId="0" xr:uid="{00000000-0006-0000-0E00-000003000000}">
      <text>
        <r>
          <rPr>
            <b/>
            <sz val="12"/>
            <color indexed="81"/>
            <rFont val="Times New Roman"/>
            <family val="1"/>
          </rPr>
          <t xml:space="preserve">Lưu ý: cáp hạ thế 0,6kV
</t>
        </r>
      </text>
    </comment>
    <comment ref="B1845" authorId="0" shapeId="0" xr:uid="{00000000-0006-0000-0E00-000004000000}">
      <text>
        <r>
          <rPr>
            <b/>
            <sz val="12"/>
            <color indexed="81"/>
            <rFont val="Times New Roman"/>
            <family val="1"/>
          </rPr>
          <t xml:space="preserve">Lưu ý: cáp hạ thế 0,6kV
</t>
        </r>
      </text>
    </comment>
    <comment ref="B2071" authorId="0" shapeId="0" xr:uid="{00000000-0006-0000-0E00-000005000000}">
      <text>
        <r>
          <rPr>
            <b/>
            <sz val="12"/>
            <color indexed="81"/>
            <rFont val="Times New Roman"/>
            <family val="1"/>
          </rPr>
          <t xml:space="preserve">Lưu ý: cáp hạ thế 0,6kV
</t>
        </r>
      </text>
    </comment>
    <comment ref="B2073" authorId="0" shapeId="0" xr:uid="{00000000-0006-0000-0E00-000006000000}">
      <text>
        <r>
          <rPr>
            <b/>
            <sz val="12"/>
            <color indexed="81"/>
            <rFont val="Times New Roman"/>
            <family val="1"/>
          </rPr>
          <t xml:space="preserve">Lưu ý: cáp hạ thế 0,6kV
</t>
        </r>
      </text>
    </comment>
    <comment ref="B2074" authorId="0" shapeId="0" xr:uid="{00000000-0006-0000-0E00-000007000000}">
      <text>
        <r>
          <rPr>
            <b/>
            <sz val="12"/>
            <color indexed="81"/>
            <rFont val="Times New Roman"/>
            <family val="1"/>
          </rPr>
          <t xml:space="preserve">Lưu ý: cáp hạ thế 0,6kV
</t>
        </r>
      </text>
    </comment>
    <comment ref="B2303"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00000000-0006-0000-1600-000001000000}">
      <text>
        <r>
          <rPr>
            <b/>
            <sz val="9"/>
            <color indexed="81"/>
            <rFont val="Tahoma"/>
            <family val="2"/>
          </rPr>
          <t>Author:</t>
        </r>
        <r>
          <rPr>
            <sz val="9"/>
            <color indexed="81"/>
            <rFont val="Tahoma"/>
            <family val="2"/>
          </rPr>
          <t xml:space="preserve">
Chưa có bản vẽ</t>
        </r>
      </text>
    </comment>
    <comment ref="H23" authorId="0" shapeId="0" xr:uid="{00000000-0006-0000-1600-00000200000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<sst xmlns="http://schemas.openxmlformats.org/spreadsheetml/2006/main" count="17578" uniqueCount="5325">
  <si>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</si>
  <si>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</si>
  <si>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</si>
  <si>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</si>
  <si>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</si>
  <si>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</si>
  <si>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</si>
  <si>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</si>
  <si>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</si>
  <si>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</si>
  <si>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</si>
  <si>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</si>
  <si>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</si>
  <si>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</si>
  <si>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</si>
  <si>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</si>
  <si>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</si>
  <si>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</si>
  <si>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</si>
  <si>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</si>
  <si>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</si>
  <si>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</si>
  <si>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</si>
  <si>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</si>
  <si>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</si>
  <si>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</si>
  <si>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</si>
  <si>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</si>
  <si>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</si>
  <si>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</si>
  <si>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</si>
  <si>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</si>
  <si>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</si>
  <si>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</si>
  <si>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</si>
  <si>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</si>
  <si>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</si>
  <si>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</si>
  <si>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</si>
  <si>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</si>
  <si>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</si>
  <si>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</si>
  <si>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</si>
  <si>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</si>
  <si>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</si>
  <si>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</si>
  <si>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</si>
  <si>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</si>
  <si>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</si>
  <si>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</si>
  <si>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</si>
  <si>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</si>
  <si>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</si>
  <si>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</si>
  <si>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</si>
  <si>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</si>
  <si>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</si>
  <si>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</si>
  <si>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</si>
  <si>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</si>
  <si>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</si>
  <si>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</si>
  <si>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</si>
  <si>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</si>
  <si>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</si>
  <si>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</si>
  <si>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</si>
  <si>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</si>
  <si>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</si>
  <si>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</si>
  <si>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</si>
  <si>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</si>
  <si>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</si>
  <si>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</si>
  <si>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</si>
  <si>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</si>
  <si>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</si>
  <si>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</si>
  <si>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</si>
  <si>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</si>
  <si>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</si>
  <si>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</si>
  <si>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</si>
  <si>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</si>
  <si>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</si>
  <si>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</si>
  <si>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</si>
  <si>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</si>
  <si>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</si>
  <si>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</si>
  <si>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</si>
  <si>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</si>
  <si>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</si>
  <si>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</si>
  <si>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</si>
  <si>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</si>
  <si>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</si>
  <si>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</si>
  <si>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</si>
  <si>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</si>
  <si>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</si>
  <si>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</si>
  <si>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</si>
  <si>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</si>
  <si>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</si>
  <si>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</si>
  <si>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</si>
  <si>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</si>
  <si>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</si>
  <si>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</si>
  <si>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</si>
  <si>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</si>
  <si>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</si>
  <si>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</si>
  <si>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</si>
  <si>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</si>
  <si>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</si>
  <si>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</si>
  <si>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</si>
  <si>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</si>
  <si>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</si>
  <si>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</si>
  <si>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</si>
  <si>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</si>
  <si>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</si>
  <si>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</si>
  <si>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</si>
  <si>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</si>
  <si>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</si>
  <si>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</si>
  <si>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</si>
  <si>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</si>
  <si>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</si>
  <si>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</si>
  <si>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</si>
  <si>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</si>
  <si>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</si>
  <si>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</si>
  <si>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</si>
  <si>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</si>
  <si>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</si>
  <si>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</si>
  <si>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</si>
  <si>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</si>
  <si>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</si>
  <si>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</si>
  <si>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</si>
  <si>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</si>
  <si>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</si>
  <si>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</si>
  <si>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</si>
  <si>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</si>
  <si>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</si>
  <si>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</si>
  <si>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</si>
  <si>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</si>
  <si>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</si>
  <si>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</si>
  <si>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</si>
  <si>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</si>
  <si>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</si>
  <si>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</si>
  <si>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</si>
  <si>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</si>
  <si>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</si>
  <si>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</si>
  <si>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</si>
  <si>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</si>
  <si>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</si>
  <si>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</si>
  <si>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</si>
  <si>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</si>
  <si>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</si>
  <si>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</si>
  <si>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</si>
  <si>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</si>
  <si>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</si>
  <si>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</si>
  <si>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</si>
  <si>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</si>
  <si>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</si>
  <si>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</si>
  <si>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</si>
  <si>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</si>
  <si>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</si>
  <si>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</si>
  <si>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</si>
  <si>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</si>
  <si>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</si>
  <si>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</si>
  <si>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</si>
  <si>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</si>
  <si>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</si>
  <si>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</si>
  <si>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</si>
  <si>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</si>
  <si>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</si>
  <si>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</si>
  <si>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</si>
  <si>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</si>
  <si>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</si>
  <si>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</si>
  <si>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</si>
  <si>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</si>
  <si>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</si>
  <si>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</si>
  <si>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</si>
  <si>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</si>
  <si>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</si>
  <si>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</si>
  <si>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</si>
  <si>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</si>
  <si>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</si>
  <si>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</si>
  <si>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</si>
  <si>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</si>
  <si>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</si>
  <si>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</si>
  <si>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</si>
  <si>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</si>
  <si>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</si>
  <si>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</si>
  <si>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</si>
  <si>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</si>
  <si>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</si>
  <si>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</si>
  <si>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</si>
  <si>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</si>
  <si>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</si>
  <si>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</si>
  <si>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</si>
  <si>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</si>
  <si>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</si>
  <si>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</si>
  <si>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</si>
  <si>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</si>
  <si>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</si>
  <si>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</si>
  <si>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</si>
  <si>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</si>
  <si>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</si>
  <si>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</si>
  <si>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</si>
  <si>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</si>
  <si>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</si>
  <si>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</si>
  <si>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</si>
  <si>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</si>
  <si>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</si>
  <si>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</si>
  <si>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</si>
  <si>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</si>
  <si>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</si>
  <si>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</si>
  <si>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</si>
  <si>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</si>
  <si>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</si>
  <si>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</si>
  <si>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</si>
  <si>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</si>
  <si>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</si>
  <si>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</si>
  <si>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</si>
  <si>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</si>
  <si>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</si>
  <si>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</si>
  <si>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</si>
  <si>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</si>
  <si>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</si>
  <si>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</si>
  <si>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</si>
  <si>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</si>
  <si>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</si>
  <si>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</si>
  <si>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</si>
  <si>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</si>
  <si>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</si>
  <si>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</si>
  <si>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</si>
  <si>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</si>
  <si>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</si>
  <si>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</si>
  <si>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</si>
  <si>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</si>
  <si>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</si>
  <si>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</si>
  <si>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</si>
  <si>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</si>
  <si>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</si>
  <si>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</si>
  <si>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</si>
  <si>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</si>
  <si>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</si>
  <si>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</si>
  <si>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</si>
  <si>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</si>
  <si>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</si>
  <si>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</si>
  <si>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</si>
  <si>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</si>
  <si>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</si>
  <si>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</si>
  <si>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</si>
  <si>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</si>
  <si>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</si>
  <si>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</si>
  <si>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</si>
  <si>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</si>
  <si>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</si>
  <si>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</si>
  <si>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</si>
  <si>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</si>
  <si>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</si>
  <si>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</si>
  <si>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</si>
  <si>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</si>
  <si>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</si>
  <si>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</si>
  <si>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</si>
  <si>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</si>
  <si>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</si>
  <si>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</si>
  <si>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</si>
  <si>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</si>
  <si>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</si>
  <si>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</si>
  <si>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</si>
  <si>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</si>
  <si>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</si>
  <si>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</si>
  <si>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</si>
  <si>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</si>
  <si>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</si>
  <si>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</si>
  <si>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</si>
  <si>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</si>
  <si>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</si>
  <si>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</si>
  <si>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</si>
  <si>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</si>
  <si>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</si>
  <si>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</si>
  <si>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</si>
  <si>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</si>
  <si>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</si>
  <si>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</si>
  <si>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</si>
  <si>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</si>
  <si>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</si>
  <si>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</si>
  <si>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</si>
  <si>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</si>
  <si>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</si>
  <si>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</si>
  <si>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</si>
  <si>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</si>
  <si>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</si>
  <si>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</si>
  <si>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</si>
  <si>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</si>
  <si>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</si>
  <si>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</si>
  <si>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</si>
  <si>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</si>
  <si>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</si>
  <si>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</si>
  <si>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</si>
  <si>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</si>
  <si>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</si>
  <si>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</si>
  <si>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</si>
  <si>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</si>
  <si>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</si>
  <si>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</si>
  <si>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</si>
  <si>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</si>
  <si>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</si>
  <si>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</si>
  <si>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</si>
  <si>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</si>
  <si>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</si>
  <si>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</si>
  <si>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</si>
  <si>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</si>
  <si>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</si>
  <si>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</si>
  <si>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</si>
  <si>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</si>
  <si>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</si>
  <si>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</si>
  <si>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</si>
  <si>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</si>
  <si>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</si>
  <si>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</si>
  <si>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</si>
  <si>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</si>
  <si>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</si>
  <si>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</si>
  <si>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</si>
  <si>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</si>
  <si>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</si>
  <si>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</si>
  <si>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</si>
  <si>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</si>
  <si>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</si>
  <si>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</si>
  <si>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</si>
  <si>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</si>
  <si>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</si>
  <si>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</si>
  <si>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</si>
  <si>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</si>
  <si>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</si>
  <si>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</si>
  <si>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</si>
  <si>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</si>
  <si>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</si>
  <si>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</si>
  <si>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</si>
  <si>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</si>
  <si>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</si>
  <si>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</si>
  <si>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</si>
  <si>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</si>
  <si>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</si>
  <si>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</si>
  <si>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</si>
  <si>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</si>
  <si>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</si>
  <si>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</si>
  <si>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</si>
  <si>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</si>
  <si>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</si>
  <si>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</si>
  <si>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</si>
  <si>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</si>
  <si>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</si>
  <si>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</si>
  <si>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</si>
  <si>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</si>
  <si>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</si>
  <si>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</si>
  <si>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</si>
  <si>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</si>
  <si>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</si>
  <si>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</si>
  <si>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</si>
  <si>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</si>
  <si>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</si>
  <si>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</si>
  <si>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</si>
  <si>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</si>
  <si>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</si>
  <si>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</si>
  <si>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</si>
  <si>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</si>
  <si>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</si>
  <si>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</si>
  <si>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</si>
  <si>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</si>
  <si>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</si>
  <si>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</si>
  <si>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</si>
  <si>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</si>
  <si>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</si>
  <si>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</si>
  <si>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</si>
  <si>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</si>
  <si>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</si>
  <si>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</si>
  <si>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</si>
  <si>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</si>
  <si>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</si>
  <si>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</si>
  <si>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</si>
  <si>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</si>
  <si>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</si>
  <si>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</si>
  <si>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</si>
  <si>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</si>
  <si>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</si>
  <si>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</si>
  <si>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</si>
  <si>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</si>
  <si>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</si>
  <si>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</si>
  <si>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</si>
  <si>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</si>
  <si>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</si>
  <si>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</si>
  <si>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</si>
  <si>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</si>
  <si>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</si>
  <si>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</si>
  <si>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</si>
  <si>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</si>
  <si>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</si>
  <si>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</si>
  <si>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</si>
  <si>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</si>
  <si>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</si>
  <si>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</si>
  <si>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</si>
  <si>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</si>
  <si>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</si>
  <si>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</si>
  <si>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</si>
  <si>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</si>
  <si>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</si>
  <si>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</si>
  <si>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</si>
  <si>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</si>
  <si>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</si>
  <si>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</si>
  <si>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</si>
  <si>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</si>
  <si>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</si>
  <si>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</si>
  <si>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</si>
  <si>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</si>
  <si>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</si>
  <si>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</si>
  <si>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</si>
  <si>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</si>
  <si>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</si>
  <si>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</si>
  <si>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</si>
  <si>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</si>
  <si>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</si>
  <si>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</si>
  <si>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</si>
  <si>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</si>
  <si>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</si>
  <si>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</si>
  <si>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</si>
  <si>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</si>
  <si>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</si>
  <si>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</si>
  <si>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</si>
  <si>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</si>
  <si>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</si>
  <si>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</si>
  <si>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</si>
  <si>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</si>
  <si>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</si>
  <si>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</si>
  <si>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</si>
  <si>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</si>
  <si>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</si>
  <si>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</si>
  <si>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</si>
  <si>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</si>
  <si>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</si>
  <si>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</si>
  <si>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</si>
  <si>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</si>
  <si>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</si>
  <si>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</si>
  <si>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</si>
  <si>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</si>
  <si>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</si>
  <si>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</si>
  <si>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</si>
  <si>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</si>
  <si>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</si>
  <si>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</si>
  <si>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</si>
  <si>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</si>
  <si>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</si>
  <si>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</si>
  <si>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</si>
  <si>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</si>
  <si>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</si>
  <si>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</si>
  <si>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</si>
  <si>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</si>
  <si>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</si>
  <si>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</si>
  <si>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</si>
  <si>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</si>
  <si>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</si>
  <si>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</si>
  <si>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</si>
  <si>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</si>
  <si>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</si>
  <si>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</si>
  <si>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</si>
  <si>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</si>
  <si>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</si>
  <si>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</si>
  <si>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</si>
  <si>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</si>
  <si>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</si>
  <si>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</si>
  <si>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</si>
  <si>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</si>
  <si>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</si>
  <si>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</si>
  <si>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</si>
  <si>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</si>
  <si>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</si>
  <si>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</si>
  <si>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</si>
  <si>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</si>
  <si>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</si>
  <si>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</si>
  <si>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</si>
  <si>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</si>
  <si>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</si>
  <si>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</si>
  <si>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</si>
  <si>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</si>
  <si>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</si>
  <si>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</si>
  <si>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</si>
  <si>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</si>
  <si>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</si>
  <si>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</si>
  <si>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</si>
  <si>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</si>
  <si>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</si>
  <si>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</si>
  <si>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</si>
  <si>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</si>
  <si>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</si>
  <si>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</si>
  <si>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</si>
  <si>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</si>
  <si>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</si>
  <si>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</si>
  <si>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</si>
  <si>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</si>
  <si>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</si>
  <si>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</si>
  <si>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</si>
  <si>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</si>
  <si>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</si>
  <si>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</si>
  <si>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</si>
  <si>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</si>
  <si>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</si>
  <si>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</si>
  <si>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</si>
  <si>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</si>
  <si>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</si>
  <si>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</si>
  <si>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</si>
  <si>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</si>
  <si>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</si>
  <si>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</si>
  <si>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</si>
  <si>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</si>
  <si>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</si>
  <si>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</si>
  <si>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</si>
  <si>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</si>
  <si>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</si>
  <si>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</si>
  <si>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</si>
  <si>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</si>
  <si>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</si>
  <si>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</si>
  <si>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</si>
  <si>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</si>
  <si>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</si>
  <si>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</si>
  <si>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</si>
  <si>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</si>
  <si>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</si>
  <si>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</si>
  <si>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</si>
  <si>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</si>
  <si>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</si>
  <si>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</si>
  <si>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</si>
  <si>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</si>
  <si>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</si>
  <si>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</si>
  <si>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</si>
  <si>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</si>
  <si>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</si>
  <si>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</si>
  <si>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</si>
  <si>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</si>
  <si>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</si>
  <si>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</si>
  <si>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</si>
  <si>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</si>
  <si>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</si>
  <si>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</si>
  <si>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</si>
  <si>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</si>
  <si>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</si>
  <si>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</si>
  <si>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</si>
  <si>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</si>
  <si>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</si>
  <si>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</si>
  <si>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</si>
  <si>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</si>
  <si>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</si>
  <si>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</si>
  <si>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</si>
  <si>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</si>
  <si>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</si>
  <si>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</si>
  <si>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</si>
  <si>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</si>
  <si>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</si>
  <si>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</si>
  <si>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</si>
  <si>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</si>
  <si>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</si>
  <si>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</si>
  <si>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</si>
  <si>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</si>
  <si>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</si>
  <si>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</si>
  <si>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</si>
  <si>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</si>
  <si>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</si>
  <si>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</si>
  <si>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</si>
  <si>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</si>
  <si>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</si>
  <si>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</si>
  <si>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</si>
  <si>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</si>
  <si>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</si>
  <si>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</si>
  <si>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</si>
  <si>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</si>
  <si>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</si>
  <si>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</si>
  <si>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</si>
  <si>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</si>
  <si>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</si>
  <si>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</si>
  <si>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</si>
  <si>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</si>
  <si>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</si>
  <si>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</si>
  <si>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</si>
  <si>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</si>
  <si>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</si>
  <si>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</si>
  <si>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</si>
  <si>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</si>
  <si>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</si>
  <si>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</si>
  <si>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</si>
  <si>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</si>
  <si>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</si>
  <si>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</si>
  <si>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</si>
  <si>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</si>
  <si>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</si>
  <si>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</si>
  <si>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</si>
  <si>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</si>
  <si>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</si>
  <si>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</si>
  <si>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</si>
  <si>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</si>
  <si>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</si>
  <si>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</si>
  <si>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</si>
  <si>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</si>
  <si>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</si>
  <si>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</si>
  <si>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</si>
  <si>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</si>
  <si>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</si>
  <si>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</si>
  <si>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</si>
  <si>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</si>
  <si>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</si>
  <si>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</si>
  <si>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</si>
  <si>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</si>
  <si>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</si>
  <si>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</si>
  <si>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</si>
  <si>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</si>
  <si>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</si>
  <si>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</si>
  <si>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</si>
  <si>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</si>
  <si>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</si>
  <si>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</si>
  <si>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</si>
  <si>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</si>
  <si>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</si>
  <si>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</si>
  <si>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</si>
  <si>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</si>
  <si>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</si>
  <si>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</si>
  <si>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</si>
  <si>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</si>
  <si>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</si>
  <si>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</si>
  <si>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</si>
  <si>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</si>
  <si>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</si>
  <si>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</si>
  <si>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</si>
  <si>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</si>
  <si>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</si>
  <si>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</si>
  <si>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</si>
  <si>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</si>
  <si>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</si>
  <si>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</si>
  <si>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</si>
  <si>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</si>
  <si>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</si>
  <si>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</si>
  <si>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</si>
  <si>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</si>
  <si>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</si>
  <si>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</si>
  <si>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</si>
  <si>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</si>
  <si>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</si>
  <si>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</si>
  <si>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</si>
  <si>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</si>
  <si>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</si>
  <si>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</si>
  <si>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</si>
  <si>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</si>
  <si>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</si>
  <si>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</si>
  <si>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</si>
  <si>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</si>
  <si>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</si>
  <si>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</si>
  <si>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</si>
  <si>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</si>
  <si>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</si>
  <si>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</si>
  <si>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</si>
  <si>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</si>
  <si>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</si>
  <si>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</si>
  <si>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</si>
  <si>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</si>
  <si>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</si>
  <si>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</si>
  <si>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</si>
  <si>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</si>
  <si>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</si>
  <si>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</si>
  <si>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</si>
  <si>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</si>
  <si>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</si>
  <si>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</si>
  <si>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</si>
  <si>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</si>
  <si>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</si>
  <si>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</si>
  <si>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</si>
  <si>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</si>
  <si>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</si>
  <si>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</si>
  <si>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</si>
  <si>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</si>
  <si>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</si>
  <si>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</si>
  <si>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</si>
  <si>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</si>
  <si>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</si>
  <si>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</si>
  <si>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</si>
  <si>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</si>
  <si>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</si>
  <si>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</si>
  <si>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</si>
  <si>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</si>
  <si>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</si>
  <si>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</si>
  <si>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</si>
  <si>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</si>
  <si>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</si>
  <si>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</si>
  <si>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</si>
  <si>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</si>
  <si>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</si>
  <si>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</si>
  <si>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</si>
  <si>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</si>
  <si>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</si>
  <si>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</si>
  <si>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</si>
  <si>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</si>
  <si>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</si>
  <si>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</si>
  <si>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</si>
  <si>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</si>
  <si>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</si>
  <si>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</si>
  <si>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</si>
  <si>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</si>
  <si>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</si>
  <si>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</si>
  <si>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</si>
  <si>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</si>
  <si>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</si>
  <si>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</si>
  <si>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</si>
  <si>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</si>
  <si>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</si>
  <si>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</si>
  <si>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</si>
  <si>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</si>
  <si>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</si>
  <si>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</si>
  <si>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</si>
  <si>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</si>
  <si>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</si>
  <si>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</si>
  <si>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</si>
  <si>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</si>
  <si>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</si>
  <si>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</si>
  <si>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</si>
  <si>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</si>
  <si>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</si>
  <si>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</si>
  <si>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</si>
  <si>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</si>
  <si>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</si>
  <si>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</si>
  <si>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</si>
  <si>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</si>
  <si>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</si>
  <si>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</si>
  <si>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</si>
  <si>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</si>
  <si>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</si>
  <si>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</si>
  <si>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</si>
  <si>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</si>
  <si>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</si>
  <si>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</si>
  <si>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</si>
  <si>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</si>
  <si>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</si>
  <si>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</si>
  <si>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</si>
  <si>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</si>
  <si>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</si>
  <si>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</si>
  <si>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</si>
  <si>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</si>
  <si>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</si>
  <si>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</si>
  <si>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</si>
  <si>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</si>
  <si>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</si>
  <si>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</si>
  <si>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</si>
  <si>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</si>
  <si>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</si>
  <si>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</si>
  <si>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</si>
  <si>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</si>
  <si>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</si>
  <si>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</si>
  <si>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</si>
  <si>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</si>
  <si>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</si>
  <si>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</si>
  <si>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</si>
  <si>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</si>
  <si>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</si>
  <si>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</si>
  <si>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</si>
  <si>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</si>
  <si>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</si>
  <si>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</si>
  <si>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</si>
  <si>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</si>
  <si>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</si>
  <si>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</si>
  <si>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</si>
  <si>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</si>
  <si>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</si>
  <si>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</si>
  <si>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</si>
  <si>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</si>
  <si>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</si>
  <si>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</si>
  <si>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</si>
  <si>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</si>
  <si>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</si>
  <si>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</si>
  <si>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</si>
  <si>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</si>
  <si>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</si>
  <si>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</si>
  <si>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</si>
  <si>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</si>
  <si>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</si>
  <si>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</si>
  <si>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</si>
  <si>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</si>
  <si>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</si>
  <si>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</si>
  <si>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</si>
  <si>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</si>
  <si>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</si>
  <si>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</si>
  <si>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</si>
  <si>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</si>
  <si>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</si>
  <si>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</si>
  <si>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</si>
  <si>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</si>
  <si>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</si>
  <si>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</si>
  <si>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</si>
  <si>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</si>
  <si>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</si>
  <si>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</si>
  <si>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</si>
  <si>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</si>
  <si>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</si>
  <si>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</si>
  <si>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</si>
  <si>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</si>
  <si>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</si>
  <si>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</si>
  <si>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</si>
  <si>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</si>
  <si>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</si>
  <si>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</si>
  <si>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</si>
  <si>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</si>
  <si>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</si>
  <si>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</si>
  <si>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</si>
  <si>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</si>
  <si>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</si>
  <si>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</si>
  <si>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</si>
  <si>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</si>
  <si>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</si>
  <si>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</si>
  <si>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</si>
  <si>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</si>
  <si>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</si>
  <si>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</si>
  <si>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</si>
  <si>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</si>
  <si>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</si>
  <si>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</si>
  <si>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</si>
  <si>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</si>
  <si>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</si>
  <si>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</si>
  <si>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</si>
  <si>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</si>
  <si>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</si>
  <si>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</si>
  <si>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</si>
  <si>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</si>
  <si>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</si>
  <si>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</si>
  <si>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</si>
  <si>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</si>
  <si>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</si>
  <si>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</si>
  <si>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</si>
  <si>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</si>
  <si>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</si>
  <si>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</si>
  <si>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</si>
  <si>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</si>
  <si>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</si>
  <si>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</si>
  <si>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</si>
  <si>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</si>
  <si>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</si>
  <si>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</si>
  <si>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</si>
  <si>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</si>
  <si>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</si>
  <si>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</si>
  <si>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</si>
  <si>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</si>
  <si>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</si>
  <si>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</si>
  <si>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</si>
  <si>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</si>
  <si>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</si>
  <si>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</si>
  <si>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</si>
  <si>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</si>
  <si>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</si>
  <si>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</si>
  <si>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</si>
  <si>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</si>
  <si>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</si>
  <si>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</si>
  <si>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</si>
  <si>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</si>
  <si>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</si>
  <si>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</si>
  <si>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</si>
  <si>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</si>
  <si>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</si>
  <si>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</si>
  <si>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</si>
  <si>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</si>
  <si>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</si>
  <si>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</si>
  <si>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</si>
  <si>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</si>
  <si>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</si>
  <si>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</si>
  <si>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</si>
  <si>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</si>
  <si>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</si>
  <si>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</si>
  <si>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</si>
  <si>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</si>
  <si>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</si>
  <si>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</si>
  <si>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</si>
  <si>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</si>
  <si>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</si>
  <si>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</si>
  <si>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</si>
  <si>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</si>
  <si>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</si>
  <si>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</si>
  <si>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</si>
  <si>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</si>
  <si>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</si>
  <si>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</si>
  <si>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</si>
  <si>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</si>
  <si>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</si>
  <si>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</si>
  <si>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</si>
  <si>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</si>
  <si>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</si>
  <si>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</si>
  <si>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</si>
  <si>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</si>
  <si>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</si>
  <si>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</si>
  <si>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</si>
  <si>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</si>
  <si>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</si>
  <si>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</si>
  <si>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</si>
  <si>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</si>
  <si>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</si>
  <si>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</si>
  <si>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</si>
  <si>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</si>
  <si>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</si>
  <si>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</si>
  <si>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</si>
  <si>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</si>
  <si>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</si>
  <si>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</si>
  <si>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</si>
  <si>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</si>
  <si>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</si>
  <si>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</si>
  <si>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</si>
  <si>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</si>
  <si>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</si>
  <si>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</si>
  <si>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</si>
  <si>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</si>
  <si>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</si>
  <si>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</si>
  <si>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</si>
  <si>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</si>
  <si>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</si>
  <si>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</si>
  <si>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</si>
  <si>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</si>
  <si>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</si>
  <si>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</si>
  <si>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</si>
  <si>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</si>
  <si>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</si>
  <si>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</si>
  <si>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</si>
  <si>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</si>
  <si>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</si>
  <si>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</si>
  <si>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</si>
  <si>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</si>
  <si>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</si>
  <si>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</si>
  <si>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</si>
  <si>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</si>
  <si>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</si>
  <si>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</si>
  <si>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</si>
  <si>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</si>
  <si>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</si>
  <si>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</si>
  <si>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</si>
  <si>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</si>
  <si>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</si>
  <si>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</si>
  <si>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</si>
  <si>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</si>
  <si>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</si>
  <si>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</si>
  <si>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</si>
  <si>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</si>
  <si>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</si>
  <si>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</si>
  <si>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</si>
  <si>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</si>
  <si>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</si>
  <si>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</si>
  <si>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</si>
  <si>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</si>
  <si>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</si>
  <si>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</si>
  <si>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</si>
  <si>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</si>
  <si>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</si>
  <si>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</si>
  <si>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</si>
  <si>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</si>
  <si>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</si>
  <si>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</si>
  <si>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</si>
  <si>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</si>
  <si>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</si>
  <si>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</si>
  <si>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</si>
  <si>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</si>
  <si>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</si>
  <si>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</si>
  <si>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</si>
  <si>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</si>
  <si>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</si>
  <si>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</si>
  <si>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</si>
  <si>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</si>
  <si>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</si>
  <si>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</si>
  <si>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</si>
  <si>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</si>
  <si>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</si>
  <si>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</si>
  <si>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</si>
  <si>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</si>
  <si>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</si>
  <si>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</si>
  <si>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</si>
  <si>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</si>
  <si>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</si>
  <si>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</si>
  <si>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</si>
  <si>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</si>
  <si>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</si>
  <si>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</si>
  <si>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</si>
  <si>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</si>
  <si>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</si>
  <si>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</si>
  <si>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</si>
  <si>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</si>
  <si>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</si>
  <si>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</si>
  <si>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</si>
  <si>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</si>
  <si>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</si>
  <si>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</si>
  <si>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</si>
  <si>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</si>
  <si>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</si>
  <si>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</si>
  <si>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</si>
  <si>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</si>
  <si>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</si>
  <si>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</si>
  <si>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</si>
  <si>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</si>
  <si>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</si>
  <si>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</si>
  <si>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</si>
  <si>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</si>
  <si>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</si>
  <si>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</si>
  <si>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</si>
  <si>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</si>
  <si>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</si>
  <si>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</si>
  <si>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</si>
  <si>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</si>
  <si>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</si>
  <si>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</si>
  <si>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</si>
  <si>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</si>
  <si>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</si>
  <si>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</si>
  <si>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</si>
  <si>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</si>
  <si>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</si>
  <si>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</si>
  <si>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</si>
  <si>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</si>
  <si>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</si>
  <si>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</si>
  <si>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</si>
  <si>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</si>
  <si>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</si>
  <si>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</si>
  <si>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</si>
  <si>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</si>
  <si>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</si>
  <si>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</si>
  <si>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</si>
  <si>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</si>
  <si>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</si>
  <si>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</si>
  <si>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</si>
  <si>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</si>
  <si>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</si>
  <si>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</si>
  <si>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</si>
  <si>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</si>
  <si>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</si>
  <si>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</si>
  <si>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</si>
  <si>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</si>
  <si>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</si>
  <si>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</si>
  <si>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</si>
  <si>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</si>
  <si>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</si>
  <si>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</si>
  <si>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</si>
  <si>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</si>
  <si>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</si>
  <si>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</si>
  <si>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</si>
  <si>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</si>
  <si>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</si>
  <si>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</si>
  <si>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</si>
  <si>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</si>
  <si>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</si>
  <si>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</si>
  <si>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</si>
  <si>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</si>
  <si>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</si>
  <si>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</si>
  <si>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</si>
  <si>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</si>
  <si>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</si>
  <si>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</si>
  <si>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</si>
  <si>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</si>
  <si>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</si>
  <si>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</si>
  <si>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</si>
  <si>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</si>
  <si>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</si>
  <si>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</si>
  <si>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</si>
  <si>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</si>
  <si>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</si>
  <si>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</si>
  <si>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</si>
  <si>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</si>
  <si>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</si>
  <si>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</si>
  <si>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</si>
  <si>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</si>
  <si>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</si>
  <si>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</si>
  <si>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</si>
  <si>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</si>
  <si>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</si>
  <si>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</si>
  <si>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</si>
  <si>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</si>
  <si>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</si>
  <si>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</si>
  <si>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</si>
  <si>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</si>
  <si>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</si>
  <si>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</si>
  <si>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</si>
  <si>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</si>
  <si>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</si>
  <si>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</si>
  <si>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</si>
  <si>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</si>
  <si>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</si>
  <si>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</si>
  <si>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</si>
  <si>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</si>
  <si>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</si>
  <si>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</si>
  <si>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</si>
  <si>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</si>
  <si>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</si>
  <si>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</si>
  <si>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</si>
  <si>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</si>
  <si>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</si>
  <si>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</si>
  <si>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</si>
  <si>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</si>
  <si>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</si>
  <si>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</si>
  <si>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</si>
  <si>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</si>
  <si>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</si>
  <si>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</si>
  <si>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</si>
  <si>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</si>
  <si>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</si>
  <si>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</si>
  <si>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</si>
  <si>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</si>
  <si>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</si>
  <si>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</si>
  <si>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</si>
  <si>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</si>
  <si>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</si>
  <si>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</si>
  <si>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</si>
  <si>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</si>
  <si>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</si>
  <si>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</si>
  <si>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</si>
  <si>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</si>
  <si>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</si>
  <si>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</si>
  <si>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</si>
  <si>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</si>
  <si>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</si>
  <si>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</si>
  <si>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</si>
  <si>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</si>
  <si>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</si>
  <si>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</si>
  <si>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</si>
  <si>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</si>
  <si>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</si>
  <si>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</si>
  <si>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</si>
  <si>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</si>
  <si>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</si>
  <si>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</si>
  <si>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</si>
  <si>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</si>
  <si>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</si>
  <si>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</si>
  <si>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</si>
  <si>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</si>
  <si>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</si>
  <si>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</si>
  <si>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</si>
  <si>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</si>
  <si>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</si>
  <si>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</si>
  <si>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</si>
  <si>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</si>
  <si>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</si>
  <si>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</si>
  <si>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</si>
  <si>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</si>
  <si>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</si>
  <si>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</si>
  <si>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</si>
  <si>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</si>
  <si>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</si>
  <si>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</si>
  <si>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</si>
  <si>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</si>
  <si>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</si>
  <si>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</si>
  <si>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</si>
  <si>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</si>
  <si>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</si>
  <si>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</si>
  <si>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</si>
  <si>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</si>
  <si>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</si>
  <si>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</si>
  <si>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</si>
  <si>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</si>
  <si>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</si>
  <si>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</si>
  <si>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</si>
  <si>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</si>
  <si>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</si>
  <si>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</si>
  <si>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</si>
  <si>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</si>
  <si>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</si>
  <si>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</si>
  <si>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</si>
  <si>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</si>
  <si>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</si>
  <si>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</si>
  <si>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</si>
  <si>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</si>
  <si>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</si>
  <si>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</si>
  <si>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</si>
  <si>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</si>
  <si>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</si>
  <si>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</si>
  <si>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</si>
  <si>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</si>
  <si>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</si>
  <si>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</si>
  <si>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</si>
  <si>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</si>
  <si>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</si>
  <si>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</si>
  <si>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</si>
  <si>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</si>
  <si>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</si>
  <si>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</si>
  <si>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</si>
  <si>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</si>
  <si>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</si>
  <si>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</si>
  <si>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</si>
  <si>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</si>
  <si>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</si>
  <si>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</si>
  <si>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</si>
  <si>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</si>
  <si>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</si>
  <si>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</si>
  <si>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</si>
  <si>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</si>
  <si>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</si>
  <si>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</si>
  <si>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</si>
  <si>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</si>
  <si>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</si>
  <si>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</si>
  <si>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</si>
  <si>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</si>
  <si>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</si>
  <si>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</si>
  <si>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</si>
  <si>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</si>
  <si>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</si>
  <si>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</si>
  <si>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</si>
  <si>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</si>
  <si>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</si>
  <si>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</si>
  <si>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</si>
  <si>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</si>
  <si>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</si>
  <si>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</si>
  <si>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</si>
  <si>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</si>
  <si>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</si>
  <si>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</si>
  <si>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</si>
  <si>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</si>
  <si>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</si>
  <si>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</si>
  <si>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</si>
  <si>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</si>
  <si>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</si>
  <si>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</si>
  <si>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</si>
  <si>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</si>
  <si>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</si>
  <si>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</si>
  <si>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</si>
  <si>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</si>
  <si>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</si>
  <si>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</si>
  <si>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</si>
  <si>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</si>
  <si>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</si>
  <si>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</si>
  <si>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</si>
  <si>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</si>
  <si>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</si>
  <si>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</si>
  <si>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</si>
  <si>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</si>
  <si>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</si>
  <si>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</si>
  <si>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</si>
  <si>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</si>
  <si>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</si>
  <si>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</si>
  <si>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</si>
  <si>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</si>
  <si>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</si>
  <si>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</si>
  <si>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</si>
  <si>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</si>
  <si>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</si>
  <si>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</si>
  <si>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</si>
  <si>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</si>
  <si>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</si>
  <si>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</si>
  <si>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</si>
  <si>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</si>
  <si>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</si>
  <si>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</si>
  <si>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</si>
  <si>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</si>
  <si>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</si>
  <si>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</si>
  <si>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</si>
  <si>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</si>
  <si>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</si>
  <si>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</si>
  <si>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</si>
  <si>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</si>
  <si>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</si>
  <si>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</si>
  <si>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</si>
  <si>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</si>
  <si>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</si>
  <si>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</si>
  <si>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</si>
  <si>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</si>
  <si>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</si>
  <si>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</si>
  <si>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</si>
  <si>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</si>
  <si>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</si>
  <si>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</si>
  <si>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</si>
  <si>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</si>
  <si>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</si>
  <si>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</si>
  <si>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</si>
  <si>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</si>
  <si>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</si>
  <si>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</si>
  <si>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</si>
  <si>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</si>
  <si>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</si>
  <si>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</si>
  <si>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</si>
  <si>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</si>
  <si>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</si>
  <si>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</si>
  <si>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</si>
  <si>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</si>
  <si>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</si>
  <si>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</si>
  <si>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</si>
  <si>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</si>
  <si>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</si>
  <si>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</si>
  <si>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</si>
  <si>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</si>
  <si>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</si>
  <si>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</si>
  <si>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</si>
  <si>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</si>
  <si>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</si>
  <si>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</si>
  <si>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</si>
  <si>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</si>
  <si>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</si>
  <si>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</si>
  <si>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</si>
  <si>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</si>
  <si>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</si>
  <si>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</si>
  <si>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</si>
  <si>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</si>
  <si>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</si>
  <si>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</si>
  <si>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</si>
  <si>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</si>
  <si>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</si>
  <si>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</si>
  <si>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</si>
  <si>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</si>
  <si>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</si>
  <si>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</si>
  <si>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</si>
  <si>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</si>
  <si>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</si>
  <si>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</si>
  <si>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</si>
  <si>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</si>
  <si>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</si>
  <si>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</si>
  <si>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</si>
  <si>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</si>
  <si>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</si>
  <si>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</si>
  <si>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</si>
  <si>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</si>
  <si>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</si>
  <si>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</si>
  <si>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</si>
  <si>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</si>
  <si>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</si>
  <si>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</si>
  <si>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</si>
  <si>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</si>
  <si>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</si>
  <si>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</si>
  <si>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</si>
  <si>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</si>
  <si>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</si>
  <si>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</si>
  <si>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</si>
  <si>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</si>
  <si>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</si>
  <si>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</si>
  <si>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</si>
  <si>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</si>
  <si>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</si>
  <si>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</si>
  <si>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</si>
  <si>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</si>
  <si>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</si>
  <si>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</si>
  <si>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</si>
  <si>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</si>
  <si>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</si>
  <si>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</si>
  <si>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</si>
  <si>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</si>
  <si>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</si>
  <si>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</si>
  <si>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</si>
  <si>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</si>
  <si>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</si>
  <si>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</si>
  <si>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</si>
  <si>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</si>
  <si>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</si>
  <si>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</si>
  <si>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</si>
  <si>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</si>
  <si>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</si>
  <si>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</si>
  <si>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</si>
  <si>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</si>
  <si>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</si>
  <si>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</si>
  <si>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</si>
  <si>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</si>
  <si>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</si>
  <si>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</si>
  <si>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</si>
  <si>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</si>
  <si>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</si>
  <si>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</si>
  <si>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</si>
  <si>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</si>
  <si>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</si>
  <si>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</si>
  <si>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</si>
  <si>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</si>
  <si>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</si>
  <si>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</si>
  <si>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</si>
  <si>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</si>
  <si>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</si>
  <si>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</si>
  <si>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</si>
  <si>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</si>
  <si>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</si>
  <si>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</si>
  <si>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</si>
  <si>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</si>
  <si>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</si>
  <si>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</si>
  <si>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</si>
  <si>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</si>
  <si>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</si>
  <si>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</si>
  <si>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</si>
  <si>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</si>
  <si>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</si>
  <si>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</si>
  <si>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</si>
  <si>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</si>
  <si>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</si>
  <si>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</si>
  <si>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</si>
  <si>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</si>
  <si>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</si>
  <si>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</si>
  <si>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</si>
  <si>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</si>
  <si>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</si>
  <si>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</si>
  <si>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</si>
  <si>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</si>
  <si>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</si>
  <si>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</si>
  <si>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</si>
  <si>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</si>
  <si>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</si>
  <si>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</si>
  <si>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</si>
  <si>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</si>
  <si>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</si>
  <si>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</si>
  <si>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</si>
  <si>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</si>
  <si>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</si>
  <si>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</si>
  <si>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</si>
  <si>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</si>
  <si>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</si>
  <si>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</si>
  <si>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</si>
  <si>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</si>
  <si>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</si>
  <si>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</si>
  <si>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</si>
  <si>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</si>
  <si>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</si>
  <si>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</si>
  <si>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</si>
  <si>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</si>
  <si>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</si>
  <si>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</si>
  <si>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</si>
  <si>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</si>
  <si>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</si>
  <si>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</si>
  <si>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</si>
  <si>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</si>
  <si>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</si>
  <si>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</si>
  <si>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</si>
  <si>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</si>
  <si>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</si>
  <si>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</si>
  <si>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</si>
  <si>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</si>
  <si>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</si>
  <si>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</si>
  <si>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</si>
  <si>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</si>
  <si>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</si>
  <si>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</si>
  <si>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</si>
  <si>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</si>
  <si>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</si>
  <si>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</si>
  <si>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</si>
  <si>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</si>
  <si>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</si>
  <si>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</si>
  <si>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</si>
  <si>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</si>
  <si>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</si>
  <si>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</si>
  <si>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</si>
  <si>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</si>
  <si>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</si>
  <si>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</si>
  <si>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</si>
  <si>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</si>
  <si>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</si>
  <si>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</si>
  <si>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</si>
  <si>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</si>
  <si>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</si>
  <si>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</si>
  <si>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</si>
  <si>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</si>
  <si>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</si>
  <si>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</si>
  <si>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</si>
  <si>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</si>
  <si>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</si>
  <si>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</si>
  <si>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</si>
  <si>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</si>
  <si>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</si>
  <si>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</si>
  <si>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</si>
  <si>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</si>
  <si>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</si>
  <si>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</si>
  <si>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</si>
  <si>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</si>
  <si>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</si>
  <si>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</si>
  <si>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</si>
  <si>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</si>
  <si>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</si>
  <si>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</si>
  <si>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</si>
  <si>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</si>
  <si>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</si>
  <si>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</si>
  <si>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</si>
  <si>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</si>
  <si>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</si>
  <si>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</si>
  <si>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</si>
  <si>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</si>
  <si>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</si>
  <si>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</si>
  <si>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</si>
  <si>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</si>
  <si>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</si>
  <si>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</si>
  <si>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</si>
  <si>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</si>
  <si>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</si>
  <si>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</si>
  <si>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</si>
  <si>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</si>
  <si>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</si>
  <si>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</si>
  <si>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</si>
  <si>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</si>
  <si>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</si>
  <si>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</si>
  <si>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</si>
  <si>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</si>
  <si>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</si>
  <si>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</si>
  <si>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</si>
  <si>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</si>
  <si>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</si>
  <si>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</si>
  <si>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</si>
  <si>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</si>
  <si>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</si>
  <si>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</si>
  <si>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</si>
  <si>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</si>
  <si>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</si>
  <si>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</si>
  <si>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</si>
  <si>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</si>
  <si>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</si>
  <si>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</si>
  <si>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</si>
  <si>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</si>
  <si>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</si>
  <si>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</si>
  <si>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</si>
  <si>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</si>
  <si>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</si>
  <si>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</si>
  <si>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</si>
  <si>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</si>
  <si>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</si>
  <si>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</si>
  <si>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</si>
  <si>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</si>
  <si>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</si>
  <si>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</si>
  <si>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</si>
  <si>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</si>
  <si>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</si>
  <si>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</si>
  <si>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</si>
  <si>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</si>
  <si>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</si>
  <si>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</si>
  <si>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</si>
  <si>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</si>
  <si>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</si>
  <si>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</si>
  <si>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</si>
  <si>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</si>
  <si>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</si>
  <si>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</si>
  <si>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</si>
  <si>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</si>
  <si>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</si>
  <si>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</si>
  <si>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</si>
  <si>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</si>
  <si>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</si>
  <si>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</si>
  <si>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</si>
  <si>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</si>
  <si>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</si>
  <si>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</si>
  <si>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</si>
  <si>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</si>
  <si>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</si>
  <si>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</si>
  <si>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</si>
  <si>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</si>
  <si>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</si>
  <si>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</si>
  <si>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</si>
  <si>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</si>
  <si>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</si>
  <si>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</si>
  <si>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</si>
  <si>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</si>
  <si>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</si>
  <si>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</si>
  <si>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</si>
  <si>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</si>
  <si>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</si>
  <si>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</si>
  <si>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</si>
  <si>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</si>
  <si>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</si>
  <si>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</si>
  <si>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</si>
  <si>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</si>
  <si>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</si>
  <si>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</si>
  <si>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</si>
  <si>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</si>
  <si>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</si>
  <si>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</si>
  <si>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</si>
  <si>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</si>
  <si>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</si>
  <si>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</si>
  <si>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</si>
  <si>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</si>
  <si>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</si>
  <si>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</si>
  <si>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</si>
  <si>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</si>
  <si>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</si>
  <si>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</si>
  <si>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</si>
  <si>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</si>
  <si>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</si>
  <si>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</si>
  <si>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</si>
  <si>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</si>
  <si>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</si>
  <si>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</si>
  <si>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</si>
  <si>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</si>
  <si>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</si>
  <si>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</si>
  <si>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</si>
  <si>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</si>
  <si>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</si>
  <si>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</si>
  <si>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</si>
  <si>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</si>
  <si>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</si>
  <si>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</si>
  <si>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</si>
  <si>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</si>
  <si>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</si>
  <si>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</si>
  <si>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</si>
  <si>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</si>
  <si>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</si>
  <si>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</si>
  <si>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</si>
  <si>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</si>
  <si>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</si>
  <si>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</si>
  <si>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</si>
  <si>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</si>
  <si>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</si>
  <si>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</si>
  <si>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</si>
  <si>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</si>
  <si>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</si>
  <si>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</si>
  <si>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</si>
  <si>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</si>
  <si>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</si>
  <si>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</si>
  <si>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</si>
  <si>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</si>
  <si>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</si>
  <si>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</si>
  <si>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</si>
  <si>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</si>
  <si>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</si>
  <si>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</si>
  <si>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</si>
  <si>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</si>
  <si>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</si>
  <si>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</si>
  <si>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</si>
  <si>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</si>
  <si>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</si>
  <si>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</si>
  <si>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</si>
  <si>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</si>
  <si>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</si>
  <si>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</si>
  <si>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</si>
  <si>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</si>
  <si>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</si>
  <si>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</si>
  <si>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</si>
  <si>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</si>
  <si>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</si>
  <si>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</si>
  <si>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</si>
  <si>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</si>
  <si>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</si>
  <si>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</si>
  <si>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</si>
  <si>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</si>
  <si>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</si>
  <si>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</si>
  <si>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</si>
  <si>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</si>
  <si>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</si>
  <si>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</si>
  <si>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</si>
  <si>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</si>
  <si>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</si>
  <si>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</si>
  <si>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</si>
  <si>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</si>
  <si>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</si>
  <si>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</si>
  <si>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</si>
  <si>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</si>
  <si>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</si>
  <si>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</si>
  <si>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</si>
  <si>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</si>
  <si>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</si>
  <si>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</si>
  <si>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</si>
  <si>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</si>
  <si>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</si>
  <si>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</si>
  <si>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</si>
  <si>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</si>
  <si>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</si>
  <si>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</si>
  <si>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</si>
  <si>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</si>
  <si>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</si>
  <si>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</si>
  <si>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</si>
  <si>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</si>
  <si>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</si>
  <si>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</si>
  <si>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</si>
  <si>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</si>
  <si>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</si>
  <si>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</si>
  <si>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</si>
  <si>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</si>
  <si>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</si>
  <si>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</si>
  <si>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</si>
  <si>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</si>
  <si>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</si>
  <si>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</si>
  <si>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</si>
  <si>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</si>
  <si>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</si>
  <si>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</si>
  <si>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</si>
  <si>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</si>
  <si>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</si>
  <si>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</si>
  <si>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</si>
  <si>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</si>
  <si>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</si>
  <si>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</si>
  <si>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</si>
  <si>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</si>
  <si>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</si>
  <si>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</si>
  <si>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</si>
  <si>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</si>
  <si>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</si>
  <si>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</si>
  <si>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</si>
  <si>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</si>
  <si>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</si>
  <si>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</si>
  <si>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</si>
  <si>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</si>
  <si>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</si>
  <si>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</si>
  <si>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</si>
  <si>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</si>
  <si>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</si>
  <si>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</si>
  <si>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</si>
  <si>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</si>
  <si>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</si>
  <si>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</si>
  <si>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</si>
  <si>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</si>
  <si>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</si>
  <si>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</si>
  <si>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</si>
  <si>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</si>
  <si>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</si>
  <si>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</si>
  <si>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</si>
  <si>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</si>
  <si>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</si>
  <si>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</si>
  <si>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</si>
  <si>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</si>
  <si>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</si>
  <si>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</si>
  <si>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</si>
  <si>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</si>
  <si>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</si>
  <si>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</si>
  <si>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</si>
  <si>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</si>
  <si>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</si>
  <si>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</si>
  <si>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</si>
  <si>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</si>
  <si>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</si>
  <si>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</si>
  <si>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</si>
  <si>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</si>
  <si>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</si>
  <si>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</si>
  <si>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</si>
  <si>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</si>
  <si>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</si>
  <si>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</si>
  <si>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</si>
  <si>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</si>
  <si>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</si>
  <si>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</si>
  <si>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</si>
  <si>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</si>
  <si>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</si>
  <si>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</si>
  <si>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</si>
  <si>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</si>
  <si>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</si>
  <si>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</si>
  <si>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</si>
  <si>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</si>
  <si>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</si>
  <si>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</si>
  <si>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</si>
  <si>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</si>
  <si>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</si>
  <si>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</si>
  <si>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</si>
  <si>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</si>
  <si>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</si>
  <si>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</si>
  <si>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</si>
  <si>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</si>
  <si>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</si>
  <si>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</si>
  <si>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</si>
  <si>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</si>
  <si>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</si>
  <si>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</si>
  <si>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</si>
  <si>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</si>
  <si>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</si>
  <si>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</si>
  <si>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</si>
  <si>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</si>
  <si>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</si>
  <si>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</si>
  <si>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</si>
  <si>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</si>
  <si>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</si>
  <si>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</si>
  <si>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</si>
  <si>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</si>
  <si>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</si>
  <si>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</si>
  <si>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</si>
  <si>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</si>
  <si>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</si>
  <si>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</si>
  <si>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</si>
  <si>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</si>
  <si>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</si>
  <si>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</si>
  <si>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</si>
  <si>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</si>
  <si>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</si>
  <si>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</si>
  <si>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</si>
  <si>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</si>
  <si>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</si>
  <si>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</si>
  <si>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</si>
  <si>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</si>
  <si>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</si>
  <si>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</si>
  <si>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</si>
  <si>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</si>
  <si>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</si>
  <si>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</si>
  <si>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</si>
  <si>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</si>
  <si>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</si>
  <si>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</si>
  <si>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</si>
  <si>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</si>
  <si>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</si>
  <si>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</si>
  <si>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</si>
  <si>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</si>
  <si>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</si>
  <si>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</si>
  <si>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</si>
  <si>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</si>
  <si>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</si>
  <si>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</si>
  <si>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</si>
  <si>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</si>
  <si>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</si>
  <si>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</si>
  <si>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</si>
  <si>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</si>
  <si>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</si>
  <si>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</si>
  <si>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</si>
  <si>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</si>
  <si>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</si>
  <si>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</si>
  <si>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</si>
  <si>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</si>
  <si>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</si>
  <si>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</si>
  <si>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</si>
  <si>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</si>
  <si>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</si>
  <si>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</si>
  <si>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</si>
  <si>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</si>
  <si>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</si>
  <si>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</si>
  <si>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</si>
  <si>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</si>
  <si>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</si>
  <si>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</si>
  <si>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</si>
  <si>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</si>
  <si>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</si>
  <si>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</si>
  <si>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</si>
  <si>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</si>
  <si>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</si>
  <si>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</si>
  <si>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</si>
  <si>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</si>
  <si>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</si>
  <si>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</si>
  <si>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</si>
  <si>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</si>
  <si>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</si>
  <si>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</si>
  <si>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</si>
  <si>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</si>
  <si>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</si>
  <si>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</si>
  <si>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</si>
  <si>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</si>
  <si>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</si>
  <si>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</si>
  <si>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</si>
  <si>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</si>
  <si>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</si>
  <si>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</si>
  <si>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</si>
  <si>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</si>
  <si>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</si>
  <si>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</si>
  <si>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</si>
  <si>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</si>
  <si>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</si>
  <si>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</si>
  <si>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</si>
  <si>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</si>
  <si>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</si>
  <si>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</si>
  <si>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</si>
  <si>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</si>
  <si>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</si>
  <si>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</si>
  <si>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</si>
  <si>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</si>
  <si>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</si>
  <si>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</si>
  <si>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</si>
  <si>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</si>
  <si>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</si>
  <si>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</si>
  <si>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</si>
  <si>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</si>
  <si>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</si>
  <si>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</si>
  <si>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</si>
  <si>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</si>
  <si>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</si>
  <si>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</si>
  <si>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</si>
  <si>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</si>
  <si>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</si>
  <si>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</si>
  <si>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</si>
  <si>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</si>
  <si>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</si>
  <si>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</si>
  <si>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</si>
  <si>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</si>
  <si>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</si>
  <si>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</si>
  <si>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</si>
  <si>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</si>
  <si>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</si>
  <si>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</si>
  <si>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</si>
  <si>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</si>
  <si>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</si>
  <si>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</si>
  <si>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</si>
  <si>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</si>
  <si>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</si>
  <si>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</si>
  <si>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</si>
  <si>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</si>
  <si>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</si>
  <si>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</si>
  <si>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</si>
  <si>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</si>
  <si>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</si>
  <si>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</si>
  <si>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</si>
  <si>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</si>
  <si>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</si>
  <si>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</si>
  <si>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</si>
  <si>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</si>
  <si>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</si>
  <si>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</si>
  <si>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</si>
  <si>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</si>
  <si>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</si>
  <si>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</si>
  <si>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</si>
  <si>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</si>
  <si>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</si>
  <si>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</si>
  <si>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</si>
  <si>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</si>
  <si>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</si>
  <si>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</si>
  <si>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</si>
  <si>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</si>
  <si>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</si>
  <si>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</si>
  <si>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</si>
  <si>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</si>
  <si>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</si>
  <si>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</si>
  <si>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</si>
  <si>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</si>
  <si>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</si>
  <si>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</si>
  <si>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</si>
  <si>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</si>
  <si>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</si>
  <si>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</si>
  <si>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</si>
  <si>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</si>
  <si>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</si>
  <si>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</si>
  <si>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</si>
  <si>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</si>
  <si>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</si>
  <si>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</si>
  <si>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</si>
  <si>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</si>
  <si>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</si>
  <si>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</si>
  <si>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</si>
  <si>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</si>
  <si>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</si>
  <si>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</si>
  <si>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</si>
  <si>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</si>
  <si>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</si>
  <si>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</si>
  <si>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</si>
  <si>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</si>
  <si>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</si>
  <si>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</si>
  <si>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</si>
  <si>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</si>
  <si>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</si>
  <si>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</si>
  <si>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</si>
  <si>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</si>
  <si>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</si>
  <si>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</si>
  <si>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</si>
  <si>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</si>
  <si>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</si>
  <si>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</si>
  <si>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</si>
  <si>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</si>
  <si>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</si>
  <si>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</si>
  <si>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</si>
  <si>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</si>
  <si>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</si>
  <si>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</si>
  <si>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</si>
  <si>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</si>
  <si>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</si>
  <si>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</si>
  <si>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</si>
  <si>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</si>
  <si>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</si>
  <si>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</si>
  <si>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</si>
  <si>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</si>
  <si>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</si>
  <si>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</si>
  <si>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</si>
  <si>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</si>
  <si>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</si>
  <si>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</si>
  <si>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</si>
  <si>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</si>
  <si>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</si>
  <si>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</si>
  <si>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</si>
  <si>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</si>
  <si>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</si>
  <si>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</si>
  <si>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</si>
  <si>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</si>
  <si>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</si>
  <si>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</si>
  <si>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</si>
  <si>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</si>
  <si>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</si>
  <si>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</si>
  <si>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</si>
  <si>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</si>
  <si>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</si>
  <si>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</si>
  <si>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</si>
  <si>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</si>
  <si>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</si>
  <si>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</si>
  <si>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</si>
  <si>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</si>
  <si>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</si>
  <si>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</si>
  <si>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</si>
  <si>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</si>
  <si>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</si>
  <si>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</si>
  <si>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</si>
  <si>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</si>
  <si>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</si>
  <si>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</si>
  <si>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</si>
  <si>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</si>
  <si>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</si>
  <si>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</si>
  <si>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</si>
  <si>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</si>
  <si>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</si>
  <si>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</si>
  <si>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</si>
  <si>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</si>
  <si>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</si>
  <si>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</si>
  <si>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</si>
  <si>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</si>
  <si>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</si>
  <si>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</si>
  <si>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</si>
  <si>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</si>
  <si>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</si>
  <si>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</si>
  <si>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</si>
  <si>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</si>
  <si>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</si>
  <si>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</si>
  <si>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</si>
  <si>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</si>
  <si>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</si>
  <si>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</si>
  <si>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</si>
  <si>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</si>
  <si>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</si>
  <si>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</si>
  <si>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</si>
  <si>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</si>
  <si>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</si>
  <si>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</si>
  <si>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</si>
  <si>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</si>
  <si>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</si>
  <si>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</si>
  <si>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</si>
  <si>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</si>
  <si>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</si>
  <si>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</si>
  <si>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</si>
  <si>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</si>
  <si>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</si>
  <si>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</si>
  <si>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</si>
  <si>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</si>
  <si>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</si>
  <si>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</si>
  <si>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</si>
  <si>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</si>
  <si>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</si>
  <si>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</si>
  <si>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</si>
  <si>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</si>
  <si>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</si>
  <si>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</si>
  <si>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</si>
  <si>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</si>
  <si>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</si>
  <si>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</si>
  <si>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</si>
  <si>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</si>
  <si>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</si>
  <si>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</si>
  <si>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</si>
  <si>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</si>
  <si>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</si>
  <si>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</si>
  <si>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</si>
  <si>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</si>
  <si>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</si>
  <si>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</si>
  <si>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</si>
  <si>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</si>
  <si>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</si>
  <si>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</si>
  <si>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</si>
  <si>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</si>
  <si>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</si>
  <si>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</si>
  <si>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</si>
  <si>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</si>
  <si>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</si>
  <si>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</si>
  <si>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</si>
  <si>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</si>
  <si>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</si>
  <si>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</si>
  <si>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</si>
  <si>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</si>
  <si>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</si>
  <si>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</si>
  <si>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</si>
  <si>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</si>
  <si>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</si>
  <si>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</si>
  <si>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</si>
  <si>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</si>
  <si>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</si>
  <si>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</si>
  <si>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</si>
  <si>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</si>
  <si>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</si>
  <si>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</si>
  <si>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</si>
  <si>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</si>
  <si>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</si>
  <si>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</si>
  <si>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</si>
  <si>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</si>
  <si>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</si>
  <si>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</si>
  <si>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</si>
  <si>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</si>
  <si>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</si>
  <si>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</si>
  <si>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</si>
  <si>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</si>
  <si>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</si>
  <si>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</si>
  <si>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</si>
  <si>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</si>
  <si>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</si>
  <si>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</si>
  <si>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</si>
  <si>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</si>
  <si>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</si>
  <si>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</si>
  <si>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</si>
  <si>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</si>
  <si>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</si>
  <si>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</si>
  <si>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</si>
  <si>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</si>
  <si>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</si>
  <si>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</si>
  <si>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</si>
  <si>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</si>
  <si>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</si>
  <si>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</si>
  <si>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</si>
  <si>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</si>
  <si>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</si>
  <si>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</si>
  <si>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</si>
  <si>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</si>
  <si>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</si>
  <si>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</si>
  <si>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</si>
  <si>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</si>
  <si>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</si>
  <si>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</si>
  <si>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</si>
  <si>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</si>
  <si>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</si>
  <si>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</si>
  <si>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</si>
  <si>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</si>
  <si>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</si>
  <si>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</si>
  <si>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</si>
  <si>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</si>
  <si>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</si>
  <si>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</si>
  <si>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</si>
  <si>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</si>
  <si>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</si>
  <si>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</si>
  <si>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</si>
  <si>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</si>
  <si>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</si>
  <si>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</si>
  <si>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</si>
  <si>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</si>
  <si>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</si>
  <si>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</si>
  <si>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</si>
  <si>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</si>
  <si>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</si>
  <si>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</si>
  <si>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</si>
  <si>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</si>
  <si>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</si>
  <si>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</si>
  <si>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</si>
  <si>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</si>
  <si>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</si>
  <si>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</si>
  <si>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</si>
  <si>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</si>
  <si>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</si>
  <si>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</si>
  <si>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</si>
  <si>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</si>
  <si>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</si>
  <si>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</si>
  <si>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</si>
  <si>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</si>
  <si>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</si>
  <si>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</si>
  <si>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</si>
  <si>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</si>
  <si>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</si>
  <si>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</si>
  <si>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</si>
  <si>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</si>
  <si>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</si>
  <si>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</si>
  <si>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</si>
  <si>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</si>
  <si>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</si>
  <si>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</si>
  <si>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</si>
  <si>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</si>
  <si>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</si>
  <si>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</si>
  <si>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</si>
  <si>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</si>
  <si>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</si>
  <si>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</si>
  <si>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</si>
  <si>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</si>
  <si>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</si>
  <si>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</si>
  <si>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</si>
  <si>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</si>
  <si>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</si>
  <si>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</si>
  <si>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</si>
  <si>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</si>
  <si>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</si>
  <si>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</si>
  <si>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</si>
  <si>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</si>
  <si>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</si>
  <si>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</si>
  <si>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</si>
  <si>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</si>
  <si>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</si>
  <si>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</si>
  <si>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</si>
  <si>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</si>
  <si>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</si>
  <si>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</si>
  <si>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</si>
  <si>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</si>
  <si>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</si>
  <si>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</si>
  <si>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</si>
  <si>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</si>
  <si>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</si>
  <si>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</si>
  <si>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</si>
  <si>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</si>
  <si>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</si>
  <si>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</si>
  <si>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</si>
  <si>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</si>
  <si>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</si>
  <si>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</si>
  <si>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</si>
  <si>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</si>
  <si>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</si>
  <si>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</si>
  <si>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</si>
  <si>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</si>
  <si>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</si>
  <si>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</si>
  <si>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</si>
  <si>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</si>
  <si>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</si>
  <si>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</si>
  <si>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</si>
  <si>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</si>
  <si>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</si>
  <si>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</si>
  <si>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</si>
  <si>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</si>
  <si>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</si>
  <si>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</si>
  <si>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</si>
  <si>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</si>
  <si>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</si>
  <si>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</si>
  <si>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</si>
  <si>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</si>
  <si>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</si>
  <si>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</si>
  <si>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</si>
  <si>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</si>
  <si>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</si>
  <si>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</si>
  <si>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</si>
  <si>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</si>
  <si>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</si>
  <si>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</si>
  <si>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</si>
  <si>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</si>
  <si>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</si>
  <si>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</si>
  <si>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</si>
  <si>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</si>
  <si>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</si>
  <si>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</si>
  <si>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</si>
  <si>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</si>
  <si>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</si>
  <si>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</si>
  <si>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</si>
  <si>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</si>
  <si>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</si>
  <si>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</si>
  <si>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</si>
  <si>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</si>
  <si>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</si>
  <si>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</si>
  <si>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</si>
  <si>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</si>
  <si>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</si>
  <si>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</si>
  <si>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</si>
  <si>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</si>
  <si>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</si>
  <si>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</si>
  <si>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</si>
  <si>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</si>
  <si>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</si>
  <si>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</si>
  <si>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</si>
  <si>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</si>
  <si>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</si>
  <si>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</si>
  <si>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</si>
  <si>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</si>
  <si>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</si>
  <si>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</si>
  <si>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</si>
  <si>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</si>
  <si>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</si>
  <si>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</si>
  <si>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</si>
  <si>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</si>
  <si>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</si>
  <si>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</si>
  <si>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</si>
  <si>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</si>
  <si>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</si>
  <si>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</si>
  <si>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</si>
  <si>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</si>
  <si>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</si>
  <si>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</si>
  <si>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</si>
  <si>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</si>
  <si>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</si>
  <si>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</si>
  <si>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</si>
  <si>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</si>
  <si>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</si>
  <si>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</si>
  <si>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</si>
  <si>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</si>
  <si>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</si>
  <si>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</si>
  <si>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</si>
  <si>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</si>
  <si>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</si>
  <si>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</si>
  <si>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</si>
  <si>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</si>
  <si>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</si>
  <si>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</si>
  <si>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</si>
  <si>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</si>
  <si>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</si>
  <si>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</si>
  <si>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</si>
  <si>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</si>
  <si>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</si>
  <si>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</si>
  <si>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</si>
  <si>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</si>
  <si>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</si>
  <si>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</si>
  <si>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</si>
  <si>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</si>
  <si>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</si>
  <si>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</si>
  <si>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</si>
  <si>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</si>
  <si>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</si>
  <si>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</si>
  <si>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</si>
  <si>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</si>
  <si>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</si>
  <si>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</si>
  <si>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</si>
  <si>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</si>
  <si>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</si>
  <si>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</si>
  <si>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</si>
  <si>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</si>
  <si>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</si>
  <si>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</si>
  <si>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</si>
  <si>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</si>
  <si>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</si>
  <si>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</si>
  <si>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</si>
  <si>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</si>
  <si>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</si>
  <si>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</si>
  <si>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</si>
  <si>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</si>
  <si>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</si>
  <si>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</si>
  <si>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</si>
  <si>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</si>
  <si>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</si>
  <si>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</si>
  <si>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</si>
  <si>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</si>
  <si>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</si>
  <si>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</si>
  <si>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</si>
  <si>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</si>
  <si>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</si>
  <si>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</si>
  <si>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</si>
  <si>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</si>
  <si>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</si>
  <si>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</si>
  <si>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</si>
  <si>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</si>
  <si>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</si>
  <si>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</si>
  <si>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</si>
  <si>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</si>
  <si>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</si>
  <si>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</si>
  <si>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</si>
  <si>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</si>
  <si>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</si>
  <si>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</si>
  <si>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</si>
  <si>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</si>
  <si>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</si>
  <si>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</si>
  <si>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</si>
  <si>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</si>
  <si>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</si>
  <si>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</si>
  <si>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</si>
  <si>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</si>
  <si>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</si>
  <si>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</si>
  <si>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</si>
  <si>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</si>
  <si>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</si>
  <si>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</si>
  <si>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</si>
  <si>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</si>
  <si>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</si>
  <si>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</si>
  <si>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</si>
  <si>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</si>
  <si>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</si>
  <si>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</si>
  <si>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</si>
  <si>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</si>
  <si>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</si>
  <si>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</si>
  <si>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</si>
  <si>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</si>
  <si>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</si>
  <si>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</si>
  <si>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</si>
  <si>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</si>
  <si>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</si>
  <si>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</si>
  <si>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</si>
  <si>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</si>
  <si>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</si>
  <si>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</si>
  <si>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</si>
  <si>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</si>
  <si>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</si>
  <si>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</si>
  <si>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</si>
  <si>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</si>
  <si>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</si>
  <si>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</si>
  <si>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</si>
  <si>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</si>
  <si>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</si>
  <si>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</si>
  <si>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</si>
  <si>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</si>
  <si>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</si>
  <si>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</si>
  <si>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</si>
  <si>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</si>
  <si>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</si>
  <si>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</si>
  <si>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</si>
  <si>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</si>
  <si>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</si>
  <si>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</si>
  <si>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</si>
  <si>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</si>
  <si>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</si>
  <si>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</si>
  <si>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</si>
  <si>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</si>
  <si>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</si>
  <si>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</si>
  <si>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</si>
  <si>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</si>
  <si>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</si>
  <si>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</si>
  <si>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</si>
  <si>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</si>
  <si>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</si>
  <si>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</si>
  <si>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</si>
  <si>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</si>
  <si>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</si>
  <si>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</si>
  <si>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</si>
  <si>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</si>
  <si>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</si>
  <si>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</si>
  <si>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</si>
  <si>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</si>
  <si>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</si>
  <si>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</si>
  <si>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</si>
  <si>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</si>
  <si>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</si>
  <si>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</si>
  <si>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</si>
  <si>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</si>
  <si>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</si>
  <si>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</si>
  <si>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</si>
  <si>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</si>
  <si>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</si>
  <si>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</si>
  <si>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</si>
  <si>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</si>
  <si>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</si>
  <si>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</si>
  <si>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</si>
  <si>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</si>
  <si>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</si>
  <si>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</si>
  <si>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</si>
  <si>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</si>
  <si>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</si>
  <si>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</si>
  <si>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</si>
  <si>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</si>
  <si>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</si>
  <si>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</si>
  <si>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</si>
  <si>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</si>
  <si>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</si>
  <si>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</si>
  <si>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</si>
  <si>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</si>
  <si>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</si>
  <si>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</si>
  <si>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</si>
  <si>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</si>
  <si>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</si>
  <si>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</si>
  <si>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</si>
  <si>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</si>
  <si>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</si>
  <si>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</si>
  <si>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</si>
  <si>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</si>
  <si>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</si>
  <si>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</si>
  <si>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</si>
  <si>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</si>
  <si>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</si>
  <si>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</si>
  <si>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</si>
  <si>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</si>
  <si>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</si>
  <si>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</si>
  <si>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</si>
  <si>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</si>
  <si>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</si>
  <si>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</si>
  <si>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</si>
  <si>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</si>
  <si>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</si>
  <si>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</si>
  <si>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</si>
  <si>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</si>
  <si>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</si>
  <si>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</si>
  <si>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</si>
  <si>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</si>
  <si>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</si>
  <si>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</si>
  <si>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</si>
  <si>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</si>
  <si>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</si>
  <si>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</si>
  <si>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</si>
  <si>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</si>
  <si>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</si>
  <si>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</si>
  <si>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</si>
  <si>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</si>
  <si>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</si>
  <si>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</si>
  <si>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</si>
  <si>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</si>
  <si>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</si>
  <si>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</si>
  <si>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</si>
  <si>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</si>
  <si>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</si>
  <si>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</si>
  <si>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</si>
  <si>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</si>
  <si>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</si>
  <si>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</si>
  <si>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</si>
  <si>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</si>
  <si>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</si>
  <si>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</si>
  <si>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</si>
  <si>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</si>
  <si>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</si>
  <si>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</si>
  <si>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</si>
  <si>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</si>
  <si>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</si>
  <si>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</si>
  <si>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</si>
  <si>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</si>
  <si>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</si>
  <si>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</si>
  <si>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</si>
  <si>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</si>
  <si>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</si>
  <si>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</si>
  <si>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</si>
  <si>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</si>
  <si>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</si>
  <si>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</si>
  <si>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</si>
  <si>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</si>
  <si>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</si>
  <si>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</si>
  <si>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</si>
  <si>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</si>
  <si>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</si>
  <si>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</si>
  <si>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</si>
  <si>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</si>
  <si>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</si>
  <si>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</si>
  <si>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</si>
  <si>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</si>
  <si>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</si>
  <si>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</si>
  <si>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</si>
  <si>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</si>
  <si>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</si>
  <si>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</si>
  <si>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</si>
  <si>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</si>
  <si>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</si>
  <si>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</si>
  <si>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</si>
  <si>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</si>
  <si>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</si>
  <si>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</si>
  <si>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</si>
  <si>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</si>
  <si>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</si>
  <si>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</si>
  <si>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</si>
  <si>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</si>
  <si>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</si>
  <si>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</si>
  <si>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</si>
  <si>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</si>
  <si>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</si>
  <si>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</si>
  <si>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</si>
  <si>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</si>
  <si>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</si>
  <si>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</si>
  <si>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</si>
  <si>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</si>
  <si>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</si>
  <si>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</si>
  <si>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</si>
  <si>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</si>
  <si>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</si>
  <si>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</si>
  <si>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</si>
  <si>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</si>
  <si>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</si>
  <si>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</si>
  <si>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</si>
  <si>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</si>
  <si>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</si>
  <si>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</si>
  <si>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</si>
  <si>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</si>
  <si>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</si>
  <si>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</si>
  <si>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</si>
  <si>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</si>
  <si>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</si>
  <si>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</si>
  <si>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</si>
  <si>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</si>
  <si>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</si>
  <si>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</si>
  <si>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</si>
  <si>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</si>
  <si>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</si>
  <si>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</si>
  <si>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</si>
  <si>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</si>
  <si>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</si>
  <si>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</si>
  <si>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</si>
  <si>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</si>
  <si>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</si>
  <si>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</si>
  <si>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</si>
  <si>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</si>
  <si>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</si>
  <si>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</si>
  <si>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</si>
  <si>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</si>
  <si>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</si>
  <si>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</si>
  <si>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</si>
  <si>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</si>
  <si>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</si>
  <si>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</si>
  <si>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</si>
  <si>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</si>
  <si>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</si>
  <si>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</si>
  <si>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</si>
  <si>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</si>
  <si>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</si>
  <si>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</si>
  <si>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</si>
  <si>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</si>
  <si>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</si>
  <si>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</si>
  <si>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</si>
  <si>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</si>
  <si>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</si>
  <si>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</si>
  <si>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</si>
  <si>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</si>
  <si>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</si>
  <si>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</si>
  <si>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</si>
  <si>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</si>
  <si>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</si>
  <si>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</si>
  <si>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</si>
  <si>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</si>
  <si>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</si>
  <si>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</si>
  <si>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</si>
  <si>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</si>
  <si>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</si>
  <si>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</si>
  <si>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</si>
  <si>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</si>
  <si>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</si>
  <si>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</si>
  <si>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</si>
  <si>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</si>
  <si>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</si>
  <si>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</si>
  <si>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</si>
  <si>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</si>
  <si>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</si>
  <si>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</si>
  <si>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</si>
  <si>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</si>
  <si>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</si>
  <si>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</si>
  <si>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</si>
  <si>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</si>
  <si>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</si>
  <si>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</si>
  <si>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</si>
  <si>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</si>
  <si>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</si>
  <si>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</si>
  <si>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</si>
  <si>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</si>
  <si>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</si>
  <si>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</si>
  <si>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</si>
  <si>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</si>
  <si>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</si>
  <si>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</si>
  <si>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</si>
  <si>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</si>
  <si>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</si>
  <si>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</si>
  <si>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</si>
  <si>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</si>
  <si>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</si>
  <si>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</si>
  <si>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</si>
  <si>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</si>
  <si>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</si>
  <si>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</si>
  <si>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</si>
  <si>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</si>
  <si>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</si>
  <si>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</si>
  <si>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</si>
  <si>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</si>
  <si>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</si>
  <si>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</si>
  <si>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</si>
  <si>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</si>
  <si>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</si>
  <si>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</si>
  <si>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</si>
  <si>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</si>
  <si>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</si>
  <si>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</si>
  <si>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</si>
  <si>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</si>
  <si>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</si>
  <si>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</si>
  <si>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</si>
  <si>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</si>
  <si>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</si>
  <si>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</si>
  <si>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</si>
  <si>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</si>
  <si>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</si>
  <si>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</si>
  <si>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</si>
  <si>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</si>
  <si>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</si>
  <si>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</si>
  <si>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</si>
  <si>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</si>
  <si>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</si>
  <si>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</si>
  <si>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</si>
  <si>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</si>
  <si>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</si>
  <si>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</si>
  <si>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</si>
  <si>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</si>
  <si>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</si>
  <si>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</si>
  <si>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</si>
  <si>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</si>
  <si>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</si>
  <si>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</si>
  <si>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</si>
  <si>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</si>
  <si>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</si>
  <si>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</si>
  <si>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</si>
  <si>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</si>
  <si>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</si>
  <si>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</si>
  <si>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</si>
  <si>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</si>
  <si>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</si>
  <si>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</si>
  <si>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</si>
  <si>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</si>
  <si>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</si>
  <si>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</si>
  <si>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</si>
  <si>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</si>
  <si>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</si>
  <si>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</si>
  <si>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</si>
  <si>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</si>
  <si>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</si>
  <si>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</si>
  <si>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</si>
  <si>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</si>
  <si>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</si>
  <si>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</si>
  <si>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</si>
  <si>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</si>
  <si>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</si>
  <si>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</si>
  <si>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</si>
  <si>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</si>
  <si>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</si>
  <si>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</si>
  <si>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</si>
  <si>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</si>
  <si>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</si>
  <si>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</si>
  <si>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</si>
  <si>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</si>
  <si>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</si>
  <si>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</si>
  <si>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</si>
  <si>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</si>
  <si>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</si>
  <si>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</si>
  <si>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</si>
  <si>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</si>
  <si>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</si>
  <si>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</si>
  <si>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</si>
  <si>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</si>
  <si>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</si>
  <si>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</si>
  <si>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</si>
  <si>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</si>
  <si>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</si>
  <si>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</si>
  <si>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</si>
  <si>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</si>
  <si>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</si>
  <si>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</si>
  <si>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</si>
  <si>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</si>
  <si>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</si>
  <si>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</si>
  <si>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</si>
  <si>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</si>
  <si>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</si>
  <si>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</si>
  <si>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</si>
  <si>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</si>
  <si>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</si>
  <si>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</si>
  <si>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</si>
  <si>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</si>
  <si>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</si>
  <si>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</si>
  <si>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</si>
  <si>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</si>
  <si>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</si>
  <si>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</si>
  <si>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</si>
  <si>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</si>
  <si>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</si>
  <si>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</si>
  <si>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</si>
  <si>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</si>
  <si>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</si>
  <si>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</si>
  <si>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</si>
  <si>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</si>
  <si>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</si>
  <si>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</si>
  <si>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</si>
  <si>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</si>
  <si>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</si>
  <si>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</si>
  <si>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</si>
  <si>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</si>
  <si>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</si>
  <si>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</si>
  <si>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</si>
  <si>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</si>
  <si>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</si>
  <si>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</si>
  <si>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</si>
  <si>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</si>
  <si>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</si>
  <si>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</si>
  <si>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</si>
  <si>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</si>
  <si>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</si>
  <si>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</si>
  <si>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</si>
  <si>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</si>
  <si>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</si>
  <si>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</si>
  <si>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</si>
  <si>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</si>
  <si>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</si>
  <si>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</si>
  <si>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</si>
  <si>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</si>
  <si>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</si>
  <si>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</si>
  <si>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</si>
  <si>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</si>
  <si>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</si>
  <si>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</si>
  <si>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</si>
  <si>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</si>
  <si>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</si>
  <si>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</si>
  <si>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</si>
  <si>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</si>
  <si>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</si>
  <si>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</si>
  <si>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</si>
  <si>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</si>
  <si>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</si>
  <si>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</si>
  <si>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</si>
  <si>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</si>
  <si>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</si>
  <si>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</si>
  <si>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</si>
  <si>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</si>
  <si>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</si>
  <si>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</si>
  <si>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</si>
  <si>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</si>
  <si>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</si>
  <si>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</si>
  <si>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</si>
  <si>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</si>
  <si>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</si>
  <si>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</si>
  <si>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</si>
  <si>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</si>
  <si>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</si>
  <si>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</si>
  <si>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</si>
  <si>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</si>
  <si>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</si>
  <si>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</si>
  <si>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</si>
  <si>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</si>
  <si>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</si>
  <si>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</si>
  <si>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</si>
  <si>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</si>
  <si>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</si>
  <si>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</si>
  <si>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</si>
  <si>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</si>
  <si>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</si>
  <si>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</si>
  <si>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</si>
  <si>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</si>
  <si>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</si>
  <si>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</si>
  <si>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</si>
  <si>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</si>
  <si>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</si>
  <si>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</si>
  <si>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</si>
  <si>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</si>
  <si>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</si>
  <si>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</si>
  <si>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</si>
  <si>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</si>
  <si>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</si>
  <si>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</si>
  <si>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</si>
  <si>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</si>
  <si>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</si>
  <si>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</si>
  <si>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</si>
  <si>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</si>
  <si>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</si>
  <si>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</si>
  <si>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</si>
  <si>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</si>
  <si>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</si>
  <si>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</si>
  <si>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</si>
  <si>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</si>
  <si>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</si>
  <si>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</si>
  <si>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</si>
  <si>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</si>
  <si>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</si>
  <si>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</si>
  <si>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</si>
  <si>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</si>
  <si>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</si>
  <si>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</si>
  <si>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</si>
  <si>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</si>
  <si>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</si>
  <si>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</si>
  <si>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</si>
  <si>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</si>
  <si>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</si>
  <si>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</si>
  <si>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</si>
  <si>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</si>
  <si>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</si>
  <si>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</si>
  <si>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</si>
  <si>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</si>
  <si>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</si>
  <si>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</si>
  <si>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</si>
  <si>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</si>
  <si>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</si>
  <si>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</si>
  <si>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</si>
  <si>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</si>
  <si>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</si>
  <si>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</si>
  <si>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</si>
  <si>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</si>
  <si>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</si>
  <si>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</si>
  <si>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</si>
  <si>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</si>
  <si>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</si>
  <si>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</si>
  <si>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</si>
  <si>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</si>
  <si>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</si>
  <si>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</si>
  <si>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</si>
  <si>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</si>
  <si>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</si>
  <si>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</si>
  <si>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</si>
  <si>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</si>
  <si>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</si>
  <si>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</si>
  <si>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</si>
  <si>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</si>
  <si>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</si>
  <si>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</si>
  <si>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</si>
  <si>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</si>
  <si>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</si>
  <si>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</si>
  <si>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</si>
  <si>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</si>
  <si>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</si>
  <si>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</si>
  <si>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</si>
  <si>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</si>
  <si>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</si>
  <si>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</si>
  <si>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</si>
  <si>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</si>
  <si>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</si>
  <si>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</si>
  <si>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</si>
  <si>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</si>
  <si>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</si>
  <si>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</si>
  <si>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</si>
  <si>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</si>
  <si>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</si>
  <si>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</si>
  <si>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</si>
  <si>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</si>
  <si>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</si>
  <si>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</si>
  <si>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</si>
  <si>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</si>
  <si>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</si>
  <si>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</si>
  <si>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</si>
  <si>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</si>
  <si>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</si>
  <si>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</si>
  <si>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</si>
  <si>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</si>
  <si>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</si>
  <si>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</si>
  <si>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</si>
  <si>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</si>
  <si>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</si>
  <si>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</si>
  <si>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</si>
  <si>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</si>
  <si>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</si>
  <si>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</si>
  <si>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</si>
  <si>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</si>
  <si>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</si>
  <si>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</si>
  <si>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</si>
  <si>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</si>
  <si>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</si>
  <si>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</si>
  <si>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</si>
  <si>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</si>
  <si>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</si>
  <si>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</si>
  <si>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</si>
  <si>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</si>
  <si>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</si>
  <si>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</si>
  <si>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</si>
  <si>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</si>
  <si>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</si>
  <si>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</si>
  <si>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</si>
  <si>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</si>
  <si>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</si>
  <si>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</si>
  <si>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</si>
  <si>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</si>
  <si>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</si>
  <si>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</si>
  <si>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</si>
  <si>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</si>
  <si>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</si>
  <si>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</si>
  <si>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</si>
  <si>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</si>
  <si>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</si>
  <si>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</si>
  <si>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</si>
  <si>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</si>
  <si>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</si>
  <si>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</si>
  <si>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</si>
  <si>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</si>
  <si>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</si>
  <si>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</si>
  <si>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</si>
  <si>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</si>
  <si>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</si>
  <si>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</si>
  <si>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</si>
  <si>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</si>
  <si>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</si>
  <si>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</si>
  <si>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</si>
  <si>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</si>
  <si>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</si>
  <si>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</si>
  <si>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</si>
  <si>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</si>
  <si>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</si>
  <si>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</si>
  <si>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</si>
  <si>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</si>
  <si>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</si>
  <si>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</si>
  <si>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</si>
  <si>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</si>
  <si>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</si>
  <si>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</si>
  <si>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</si>
  <si>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</si>
  <si>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</si>
  <si>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</si>
  <si>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</si>
  <si>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</si>
  <si>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</si>
  <si>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</si>
  <si>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</si>
  <si>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</si>
  <si>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</si>
  <si>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</si>
  <si>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</si>
  <si>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</si>
  <si>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</si>
  <si>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</si>
  <si>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</si>
  <si>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</si>
  <si>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</si>
  <si>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</si>
  <si>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</si>
  <si>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</si>
  <si>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</si>
  <si>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</si>
  <si>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</si>
  <si>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</si>
  <si>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</si>
  <si>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</si>
  <si>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</si>
  <si>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</si>
  <si>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</si>
  <si>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</si>
  <si>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</si>
  <si>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</si>
  <si>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</si>
  <si>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</si>
  <si>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</si>
  <si>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</si>
  <si>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</si>
  <si>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</si>
  <si>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</si>
  <si>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</si>
  <si>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</si>
  <si>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</si>
  <si>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</si>
  <si>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</si>
  <si>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</si>
  <si>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</si>
  <si>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</si>
  <si>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</si>
  <si>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</si>
  <si>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</si>
  <si>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</si>
  <si>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</si>
  <si>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</si>
  <si>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</si>
  <si>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</si>
  <si>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</si>
  <si>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</si>
  <si>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</si>
  <si>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</si>
  <si>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</si>
  <si>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</si>
  <si>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</si>
  <si>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</si>
  <si>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</si>
  <si>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</si>
  <si>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</si>
  <si>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</si>
  <si>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</si>
  <si>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</si>
  <si>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</si>
  <si>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</si>
  <si>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</si>
  <si>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</si>
  <si>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</si>
  <si>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</si>
  <si>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</si>
  <si>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</si>
  <si>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</si>
  <si>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</si>
  <si>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</si>
  <si>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</si>
  <si>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</si>
  <si>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</si>
  <si>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</si>
  <si>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</si>
  <si>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</si>
  <si>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</si>
  <si>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</si>
  <si>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</si>
  <si>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</si>
  <si>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</si>
  <si>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</si>
  <si>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</si>
  <si>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</si>
  <si>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</si>
  <si>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</si>
  <si>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</si>
  <si>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</si>
  <si>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</si>
  <si>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</si>
  <si>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</si>
  <si>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</si>
  <si>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</si>
  <si>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</si>
  <si>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</si>
  <si>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</si>
  <si>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</si>
  <si>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</si>
  <si>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</si>
  <si>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</si>
  <si>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</si>
  <si>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</si>
  <si>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</si>
  <si>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</si>
  <si>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</si>
  <si>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</si>
  <si>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</si>
  <si>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</si>
  <si>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</si>
  <si>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</si>
  <si>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</si>
  <si>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</si>
  <si>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</si>
  <si>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</si>
  <si>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</si>
  <si>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</si>
  <si>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</si>
  <si>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</si>
  <si>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</si>
  <si>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</si>
  <si>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</si>
  <si>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</si>
  <si>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</si>
  <si>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</si>
  <si>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</si>
  <si>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</si>
  <si>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</si>
  <si>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</si>
  <si>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</si>
  <si>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</si>
  <si>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</si>
  <si>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</si>
  <si>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</si>
  <si>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</si>
  <si>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</si>
  <si>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</si>
  <si>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</si>
  <si>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</si>
  <si>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</si>
  <si>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</si>
  <si>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</si>
  <si>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</si>
  <si>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</si>
  <si>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</si>
  <si>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</si>
  <si>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</si>
  <si>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</si>
  <si>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</si>
  <si>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</si>
  <si>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</si>
  <si>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</si>
  <si>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</si>
  <si>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</si>
  <si>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</si>
  <si>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</si>
  <si>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</si>
  <si>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</si>
  <si>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</si>
  <si>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</si>
  <si>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</si>
  <si>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</si>
  <si>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</si>
  <si>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</si>
  <si>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</si>
  <si>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</si>
  <si>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</si>
  <si>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</si>
  <si>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</si>
  <si>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</si>
  <si>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</si>
  <si>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</si>
  <si>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</si>
  <si>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</si>
  <si>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</si>
  <si>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</si>
  <si>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</si>
  <si>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</si>
  <si>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</si>
  <si>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</si>
  <si>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</si>
  <si>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</si>
  <si>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</si>
  <si>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</si>
  <si>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</si>
  <si>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</si>
  <si>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</si>
  <si>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</si>
  <si>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</si>
  <si>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</si>
  <si>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</si>
  <si>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</si>
  <si>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</si>
  <si>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</si>
  <si>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</si>
  <si>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</si>
  <si>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</si>
  <si>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</si>
  <si>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</si>
  <si>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</si>
  <si>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</si>
  <si>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</si>
  <si>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</si>
  <si>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</si>
  <si>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</si>
  <si>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</si>
  <si>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</si>
  <si>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</si>
  <si>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</si>
  <si>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</si>
  <si>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</si>
  <si>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</si>
  <si>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</si>
  <si>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</si>
  <si>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</si>
  <si>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</si>
  <si>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</si>
  <si>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</si>
  <si>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</si>
  <si>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</si>
  <si>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</si>
  <si>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</si>
  <si>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</si>
  <si>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</si>
  <si>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</si>
  <si>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</si>
  <si>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</si>
  <si>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</si>
  <si>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</si>
  <si>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</si>
  <si>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</si>
  <si>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</si>
  <si>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</si>
  <si>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</si>
  <si>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</si>
  <si>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</si>
  <si>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</si>
  <si>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</si>
  <si>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</si>
  <si>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</si>
  <si>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</si>
  <si>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</si>
  <si>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</si>
  <si>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</si>
  <si>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</si>
  <si>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</si>
  <si>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</si>
  <si>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</si>
  <si>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</si>
  <si>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</si>
  <si>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</si>
  <si>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</si>
  <si>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</si>
  <si>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</si>
  <si>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</si>
  <si>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</si>
  <si>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</si>
  <si>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</si>
  <si>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</si>
  <si>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</si>
  <si>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</si>
  <si>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</si>
  <si>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</si>
  <si>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</si>
  <si>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</si>
  <si>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</si>
  <si>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</si>
  <si>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</si>
  <si>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</si>
  <si>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</si>
  <si>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</si>
  <si>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</si>
  <si>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</si>
  <si>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</si>
  <si>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</si>
  <si>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</si>
  <si>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</si>
  <si>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</si>
  <si>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</si>
  <si>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</si>
  <si>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</si>
  <si>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</si>
  <si>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</si>
  <si>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</si>
  <si>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</si>
  <si>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</si>
  <si>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</si>
  <si>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</si>
  <si>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</si>
  <si>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</si>
  <si>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</si>
  <si>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</si>
  <si>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</si>
  <si>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</si>
  <si>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</si>
  <si>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</si>
  <si>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</si>
  <si>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</si>
  <si>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</si>
  <si>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</si>
  <si>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</si>
  <si>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</si>
  <si>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</si>
  <si>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</si>
  <si>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</si>
  <si>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</si>
  <si>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</si>
  <si>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</si>
  <si>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</si>
  <si>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</si>
  <si>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</si>
  <si>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</si>
  <si>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</si>
  <si>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</si>
  <si>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</si>
  <si>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</si>
  <si>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</si>
  <si>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</si>
  <si>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</si>
  <si>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</si>
  <si>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</si>
  <si>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</si>
  <si>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</si>
  <si>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</si>
  <si>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</si>
  <si>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</si>
  <si>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</si>
  <si>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</si>
  <si>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</si>
  <si>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</si>
  <si>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</si>
  <si>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</si>
  <si>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</si>
  <si>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</si>
  <si>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</si>
  <si>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</si>
  <si>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</si>
  <si>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</si>
  <si>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</si>
  <si>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</si>
  <si>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</si>
  <si>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</si>
  <si>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</si>
  <si>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</si>
  <si>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</si>
  <si>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</si>
  <si>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</si>
  <si>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</si>
  <si>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</si>
  <si>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</si>
  <si>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</si>
  <si>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</si>
  <si>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</si>
  <si>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</si>
  <si>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</si>
  <si>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</si>
  <si>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</si>
  <si>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</si>
  <si>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</si>
  <si>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</si>
  <si>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</si>
  <si>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</si>
  <si>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</si>
  <si>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</si>
  <si>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</si>
  <si>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</si>
  <si>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</si>
  <si>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</si>
  <si>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</si>
  <si>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</si>
  <si>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</si>
  <si>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</si>
  <si>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</si>
  <si>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</si>
  <si>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</si>
  <si>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</si>
  <si>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</si>
  <si>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</si>
  <si>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</si>
  <si>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</si>
  <si>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</si>
  <si>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</si>
  <si>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</si>
  <si>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</si>
  <si>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</si>
  <si>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</si>
  <si>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</si>
  <si>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</si>
  <si>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</si>
  <si>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</si>
  <si>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</si>
  <si>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</si>
  <si>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</si>
  <si>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</si>
  <si>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</si>
  <si>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</si>
  <si>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</si>
  <si>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</si>
  <si>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</si>
  <si>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</si>
  <si>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</si>
  <si>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</si>
  <si>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</si>
  <si>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</si>
  <si>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</si>
  <si>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</si>
  <si>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</si>
  <si>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</si>
  <si>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</si>
  <si>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</si>
  <si>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</si>
  <si>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</si>
  <si>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</si>
  <si>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</si>
  <si>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</si>
  <si>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</si>
  <si>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</si>
  <si>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</si>
  <si>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</si>
  <si>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</si>
  <si>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</si>
  <si>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</si>
  <si>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</si>
  <si>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</si>
  <si>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</si>
  <si>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</si>
  <si>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</si>
  <si>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</si>
  <si>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</si>
  <si>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</si>
  <si>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</si>
  <si>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</si>
  <si>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</si>
  <si>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</si>
  <si>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</si>
  <si>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</si>
  <si>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</si>
  <si>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</si>
  <si>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</si>
  <si>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</si>
  <si>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</si>
  <si>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</si>
  <si>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</si>
  <si>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</si>
  <si>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</si>
  <si>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</si>
  <si>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</si>
  <si>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</si>
  <si>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</si>
  <si>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</si>
  <si>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</si>
  <si>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</si>
  <si>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</si>
  <si>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</si>
  <si>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</si>
  <si>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</si>
  <si>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</si>
  <si>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</si>
  <si>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</si>
  <si>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</si>
  <si>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</si>
  <si>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</si>
  <si>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</si>
  <si>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</si>
  <si>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</si>
  <si>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</si>
  <si>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</si>
  <si>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</si>
  <si>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</si>
  <si>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</si>
  <si>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</si>
  <si>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</si>
  <si>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</si>
  <si>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</si>
  <si>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</si>
  <si>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</si>
  <si>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</si>
  <si>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</si>
  <si>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</si>
  <si>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</si>
  <si>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</si>
  <si>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</si>
  <si>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</si>
  <si>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</si>
  <si>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</si>
  <si>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</si>
  <si>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</si>
  <si>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</si>
  <si>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</si>
  <si>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</si>
  <si>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</si>
  <si>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</si>
  <si>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</si>
  <si>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</si>
  <si>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</si>
  <si>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</si>
  <si>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</si>
  <si>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</si>
  <si>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</si>
  <si>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</si>
  <si>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</si>
  <si>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</si>
  <si>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</si>
  <si>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</si>
  <si>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</si>
  <si>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</si>
  <si>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</si>
  <si>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</si>
  <si>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</si>
  <si>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</si>
  <si>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</si>
  <si>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</si>
  <si>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</si>
  <si>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</si>
  <si>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</si>
  <si>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</si>
  <si>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</si>
  <si>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</si>
  <si>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</si>
  <si>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</si>
  <si>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</si>
  <si>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</si>
  <si>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</si>
  <si>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</si>
  <si>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</si>
  <si>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</si>
  <si>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</si>
  <si>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</si>
  <si>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</si>
  <si>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</si>
  <si>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</si>
  <si>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</si>
  <si>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</si>
  <si>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</si>
  <si>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</si>
  <si>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</si>
  <si>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</si>
  <si>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</si>
  <si>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</si>
  <si>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</si>
  <si>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</si>
  <si>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</si>
  <si>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</si>
  <si>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</si>
  <si>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</si>
  <si>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</si>
  <si>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</si>
  <si>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</si>
  <si>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</si>
  <si>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</si>
  <si>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</si>
  <si>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</si>
  <si>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</si>
  <si>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</si>
  <si>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</si>
  <si>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</si>
  <si>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</si>
  <si>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</si>
  <si>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</si>
  <si>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</si>
  <si>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</si>
  <si>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</si>
  <si>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</si>
  <si>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</si>
  <si>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</si>
  <si>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</si>
  <si>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</si>
  <si>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</si>
  <si>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</si>
  <si>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</si>
  <si>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</si>
  <si>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</si>
  <si>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</si>
  <si>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</si>
  <si>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</si>
  <si>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</si>
  <si>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</si>
  <si>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</si>
  <si>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</si>
  <si>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</si>
  <si>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</si>
  <si>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</si>
  <si>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</si>
  <si>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</si>
  <si>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</si>
  <si>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</si>
  <si>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</si>
  <si>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</si>
  <si>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</si>
  <si>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</si>
  <si>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</si>
  <si>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</si>
  <si>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</si>
  <si>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</si>
  <si>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</si>
  <si>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</si>
  <si>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</si>
  <si>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</si>
  <si>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</si>
  <si>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</si>
  <si>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</si>
  <si>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</si>
  <si>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</si>
  <si>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</si>
  <si>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</si>
  <si>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</si>
  <si>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</si>
  <si>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</si>
  <si>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</si>
  <si>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</si>
  <si>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</si>
  <si>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</si>
  <si>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</si>
  <si>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</si>
  <si>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</si>
  <si>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</si>
  <si>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</si>
  <si>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</si>
  <si>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</si>
  <si>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</si>
  <si>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</si>
  <si>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</si>
  <si>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</si>
  <si>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</si>
  <si>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</si>
  <si>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</si>
  <si>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</si>
  <si>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</si>
  <si>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</si>
  <si>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</si>
  <si>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</si>
  <si>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</si>
  <si>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</si>
  <si>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</si>
  <si>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</si>
  <si>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</si>
  <si>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</si>
  <si>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</si>
  <si>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</si>
  <si>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</si>
  <si>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</si>
  <si>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</si>
  <si>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</si>
  <si>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</si>
  <si>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</si>
  <si>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</si>
  <si>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</si>
  <si>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</si>
  <si>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</si>
  <si>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</si>
  <si>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</si>
  <si>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</si>
  <si>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</si>
  <si>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</si>
  <si>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</si>
  <si>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</si>
  <si>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</si>
  <si>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</si>
  <si>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</si>
  <si>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</si>
  <si>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</si>
  <si>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</si>
  <si>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</si>
  <si>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</si>
  <si>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</si>
  <si>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</si>
  <si>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</si>
  <si>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</si>
  <si>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</si>
  <si>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</si>
  <si>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</si>
  <si>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</si>
  <si>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</si>
  <si>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</si>
  <si>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</si>
  <si>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</si>
  <si>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</si>
  <si>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</si>
  <si>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</si>
  <si>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</si>
  <si>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</si>
  <si>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</si>
  <si>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</si>
  <si>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</si>
  <si>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</si>
  <si>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</si>
  <si>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</si>
  <si>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</si>
  <si>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</si>
  <si>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</si>
  <si>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</si>
  <si>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</si>
  <si>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</si>
  <si>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</si>
  <si>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</si>
  <si>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</si>
  <si>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</si>
  <si>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</si>
  <si>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</si>
  <si>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</si>
  <si>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</si>
  <si>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</si>
  <si>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</si>
  <si>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</si>
  <si>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</si>
  <si>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</si>
  <si>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</si>
  <si>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</si>
  <si>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</si>
  <si>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</si>
  <si>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</si>
  <si>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</si>
  <si>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</si>
  <si>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</si>
  <si>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</si>
  <si>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</si>
  <si>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</si>
  <si>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</si>
  <si>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</si>
  <si>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</si>
  <si>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</si>
  <si>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</si>
  <si>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</si>
  <si>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</si>
  <si>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</si>
  <si>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</si>
  <si>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</si>
  <si>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</si>
  <si>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</si>
  <si>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</si>
  <si>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</si>
  <si>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</si>
  <si>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</si>
  <si>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</si>
  <si>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</si>
  <si>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</si>
  <si>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</si>
  <si>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</si>
  <si>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</si>
  <si>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</si>
  <si>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</si>
  <si>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</si>
  <si>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</si>
  <si>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</si>
  <si>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</si>
  <si>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</si>
  <si>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</si>
  <si>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</si>
  <si>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</si>
  <si>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</si>
  <si>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</si>
  <si>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</si>
  <si>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</si>
  <si>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</si>
  <si>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</si>
  <si>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</si>
  <si>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</si>
  <si>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</si>
  <si>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</si>
  <si>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</si>
  <si>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</si>
  <si>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</si>
  <si>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</si>
  <si>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</si>
  <si>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</si>
  <si>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</si>
  <si>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</si>
  <si>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</si>
  <si>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</si>
  <si>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</si>
  <si>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</si>
  <si>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</si>
  <si>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</si>
  <si>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</si>
  <si>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</si>
  <si>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</si>
  <si>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</si>
  <si>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</si>
  <si>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</si>
  <si>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</si>
  <si>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</si>
  <si>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</si>
  <si>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</si>
  <si>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</si>
  <si>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</si>
  <si>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</si>
  <si>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</si>
  <si>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</si>
  <si>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</si>
  <si>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</si>
  <si>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</si>
  <si>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</si>
  <si>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</si>
  <si>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</si>
  <si>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</si>
  <si>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</si>
  <si>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</si>
  <si>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Trần Văn Sỹ</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</si>
  <si>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</si>
  <si>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</si>
  <si>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</si>
  <si>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</si>
  <si>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</si>
  <si>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</si>
  <si>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</si>
  <si>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</si>
  <si>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</si>
  <si>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</si>
  <si>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</si>
  <si>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</si>
  <si>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</si>
  <si>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</si>
  <si>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</si>
  <si>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</si>
  <si>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</si>
  <si>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</si>
  <si>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</si>
  <si>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</si>
  <si>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</si>
  <si>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</si>
  <si>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</si>
  <si>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</si>
  <si>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</si>
  <si>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</si>
  <si>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</si>
  <si>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</si>
  <si>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</si>
  <si>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</si>
  <si>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</si>
  <si>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</si>
  <si>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</si>
  <si>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</si>
  <si>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</si>
  <si>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</si>
  <si>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</si>
  <si>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</si>
  <si>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</si>
  <si>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</si>
  <si>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</si>
  <si>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</si>
  <si>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</si>
  <si>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</si>
  <si>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</si>
  <si>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</si>
  <si>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</si>
  <si>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</si>
  <si>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</si>
  <si>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</si>
  <si>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</si>
  <si>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</si>
  <si>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</si>
  <si>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</si>
  <si>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</si>
  <si>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</si>
  <si>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</si>
  <si>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</si>
  <si>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</si>
  <si>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</si>
  <si>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</si>
  <si>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</si>
  <si>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</si>
  <si>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</si>
  <si>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</si>
  <si>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</si>
  <si>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</si>
  <si>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</si>
  <si>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</si>
  <si>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</si>
  <si>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</si>
  <si>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</si>
  <si>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</si>
  <si>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</si>
  <si>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</si>
  <si>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</si>
  <si>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</si>
  <si>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</si>
  <si>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</si>
  <si>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</si>
  <si>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</si>
  <si>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</si>
  <si>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</si>
  <si>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</si>
  <si>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</si>
  <si>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</si>
  <si>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</si>
  <si>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</si>
  <si>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</si>
  <si>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</si>
  <si>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</si>
  <si>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</si>
  <si>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</si>
  <si>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</si>
  <si>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</si>
  <si>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</si>
  <si>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</si>
  <si>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</si>
  <si>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</si>
  <si>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</si>
  <si>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</si>
  <si>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</si>
  <si>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</si>
  <si>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</si>
  <si>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</si>
  <si>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</si>
  <si>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</si>
  <si>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</si>
  <si>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</si>
  <si>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</si>
  <si>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</si>
  <si>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</si>
  <si>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</si>
  <si>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</si>
  <si>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</si>
  <si>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</si>
  <si>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</si>
  <si>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</si>
  <si>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</si>
  <si>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</si>
  <si>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</si>
  <si>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</si>
  <si>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</si>
  <si>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</si>
  <si>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</si>
  <si>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</si>
  <si>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</si>
  <si>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</si>
  <si>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</si>
  <si>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</si>
  <si>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</si>
  <si>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</si>
  <si>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</si>
  <si>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</si>
  <si>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</si>
  <si>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</si>
  <si>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</si>
  <si>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</si>
  <si>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</si>
  <si>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</si>
  <si>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</si>
  <si>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</si>
  <si>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</si>
  <si>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</si>
  <si>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</si>
  <si>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</si>
  <si>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</si>
  <si>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</si>
  <si>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</si>
  <si>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</si>
  <si>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</si>
  <si>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</si>
  <si>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</si>
  <si>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</si>
  <si>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</si>
  <si>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</si>
  <si>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</si>
  <si>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</si>
  <si>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</si>
  <si>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</si>
  <si>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</si>
  <si>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</si>
  <si>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</si>
  <si>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</si>
  <si>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</si>
  <si>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</si>
  <si>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</si>
  <si>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</si>
  <si>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</si>
  <si>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</si>
  <si>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</si>
  <si>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</si>
  <si>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</si>
  <si>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</si>
  <si>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</si>
  <si>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</si>
  <si>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</si>
  <si>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</si>
  <si>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</si>
  <si>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</si>
  <si>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</si>
  <si>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</si>
  <si>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</si>
  <si>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</si>
  <si>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</si>
  <si>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</si>
  <si>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</si>
  <si>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</si>
  <si>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</si>
  <si>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</si>
  <si>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</si>
  <si>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</si>
  <si>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</si>
  <si>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</si>
  <si>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</si>
  <si>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</si>
  <si>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</si>
  <si>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</si>
  <si>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</si>
  <si>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</si>
  <si>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</si>
  <si>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</si>
  <si>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</si>
  <si>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</si>
  <si>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</si>
  <si>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</si>
  <si>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</si>
  <si>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</si>
  <si>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</si>
  <si>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</si>
  <si>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</si>
  <si>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</si>
  <si>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</si>
  <si>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</si>
  <si>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</si>
  <si>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</si>
  <si>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</si>
  <si>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</si>
  <si>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</si>
  <si>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</si>
  <si>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</si>
  <si>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</si>
  <si>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</si>
  <si>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</si>
  <si>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</si>
  <si>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</si>
  <si>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</si>
  <si>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</si>
  <si>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</si>
  <si>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</si>
  <si>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</si>
  <si>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</si>
  <si>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</si>
  <si>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</si>
  <si>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</si>
  <si>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</si>
  <si>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</si>
  <si>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</si>
  <si>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</si>
  <si>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</si>
  <si>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</si>
  <si>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</si>
  <si>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</si>
  <si>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</si>
  <si>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</si>
  <si>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</si>
  <si>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</si>
  <si>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</si>
  <si>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</si>
  <si>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</si>
  <si>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</si>
  <si>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</si>
  <si>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</si>
  <si>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</si>
  <si>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</si>
  <si>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</si>
  <si>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</si>
  <si>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</si>
  <si>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</si>
  <si>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</si>
  <si>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</si>
  <si>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</si>
  <si>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</si>
  <si>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</si>
  <si>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</si>
  <si>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</si>
  <si>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</si>
  <si>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</si>
  <si>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</si>
  <si>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</si>
  <si>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</si>
  <si>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</si>
  <si>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</si>
  <si>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</si>
  <si>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</si>
  <si>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</si>
  <si>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</si>
  <si>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</si>
  <si>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</si>
  <si>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</si>
  <si>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</si>
  <si>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</si>
  <si>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</si>
  <si>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</si>
  <si>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</si>
  <si>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</si>
  <si>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</si>
  <si>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</si>
  <si>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</si>
  <si>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</si>
  <si>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</si>
  <si>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</si>
  <si>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</si>
  <si>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</si>
  <si>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</si>
  <si>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</si>
  <si>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</si>
  <si>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</si>
  <si>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</si>
  <si>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</si>
  <si>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</si>
  <si>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</si>
  <si>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</si>
  <si>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</si>
  <si>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</si>
  <si>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</si>
  <si>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</si>
  <si>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</si>
  <si>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</si>
  <si>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</si>
  <si>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</si>
  <si>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</si>
  <si>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</si>
  <si>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</si>
  <si>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</si>
  <si>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</si>
  <si>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</si>
  <si>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</si>
  <si>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</si>
  <si>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</si>
  <si>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</si>
  <si>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</si>
  <si>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</si>
  <si>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</si>
  <si>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</si>
  <si>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</si>
  <si>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</si>
  <si>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</si>
  <si>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</si>
  <si>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</si>
  <si>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</si>
  <si>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</si>
  <si>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</si>
  <si>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</si>
  <si>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</si>
  <si>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</si>
  <si>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</si>
  <si>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</si>
  <si>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</si>
  <si>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</si>
  <si>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</si>
  <si>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</si>
  <si>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</si>
  <si>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</si>
  <si>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</si>
  <si>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</si>
  <si>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</si>
  <si>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</si>
  <si>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</si>
  <si>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</si>
  <si>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</si>
  <si>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</si>
  <si>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</si>
  <si>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</si>
  <si>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</si>
  <si>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</si>
  <si>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</si>
  <si>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</si>
  <si>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</si>
  <si>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</si>
  <si>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</si>
  <si>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</si>
  <si>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</si>
  <si>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</si>
  <si>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</si>
  <si>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</si>
  <si>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</si>
  <si>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</si>
  <si>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</si>
  <si>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</si>
  <si>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</si>
  <si>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</si>
  <si>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</si>
  <si>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</si>
  <si>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</si>
  <si>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</si>
  <si>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</si>
  <si>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</si>
  <si>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</si>
  <si>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</si>
  <si>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</si>
  <si>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</si>
  <si>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</si>
  <si>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</si>
  <si>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</si>
  <si>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</si>
  <si>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</si>
  <si>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</si>
  <si>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</si>
  <si>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</si>
  <si>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</si>
  <si>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</si>
  <si>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</si>
  <si>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</si>
  <si>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</si>
  <si>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</si>
  <si>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</si>
  <si>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</si>
  <si>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</si>
  <si>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</si>
  <si>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</si>
  <si>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</si>
  <si>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</si>
  <si>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</si>
  <si>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</si>
  <si>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</si>
  <si>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</si>
  <si>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</si>
  <si>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</si>
  <si>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</si>
  <si>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</si>
  <si>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</si>
  <si>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</si>
  <si>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</si>
  <si>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</si>
  <si>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</si>
  <si>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</si>
  <si>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</si>
  <si>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</si>
  <si>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</si>
  <si>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</si>
  <si>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</si>
  <si>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</si>
  <si>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</si>
  <si>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</si>
  <si>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</si>
  <si>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</si>
  <si>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</si>
  <si>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</si>
  <si>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</si>
  <si>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</si>
  <si>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</si>
  <si>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</si>
  <si>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</si>
  <si>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</si>
  <si>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</si>
  <si>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</si>
  <si>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</si>
  <si>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</si>
  <si>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</si>
  <si>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</si>
  <si>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</si>
  <si>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</si>
  <si>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</si>
  <si>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</si>
  <si>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</si>
  <si>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</si>
  <si>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</si>
  <si>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</si>
  <si>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</si>
  <si>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</si>
  <si>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GIÁM SÁT THI CÔNG</t>
  </si>
  <si>
    <t>GIÁM SÁT B</t>
  </si>
  <si>
    <t xml:space="preserve">        ĐƠN VỊ GIÁM SÁT</t>
  </si>
  <si>
    <t>ĐƠN VỊ THI CÔNG</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</si>
  <si>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</si>
  <si>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</si>
  <si>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</si>
  <si>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</si>
  <si>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</si>
  <si>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</si>
  <si>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</si>
  <si>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</si>
  <si>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</si>
  <si>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</si>
  <si>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</si>
  <si>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</si>
  <si>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</si>
  <si>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</si>
  <si>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</si>
  <si>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</si>
  <si>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</si>
  <si>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</si>
  <si>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</si>
  <si>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</si>
  <si>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</si>
  <si>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</si>
  <si>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</si>
  <si>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</si>
  <si>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</si>
  <si>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</si>
  <si>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</si>
  <si>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</si>
  <si>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</si>
  <si>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</si>
  <si>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</si>
  <si>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</si>
  <si>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</si>
  <si>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</si>
  <si>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</si>
  <si>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</si>
  <si>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</si>
  <si>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</si>
  <si>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</si>
  <si>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</si>
  <si>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</si>
  <si>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</si>
  <si>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</si>
  <si>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</si>
  <si>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</si>
  <si>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</si>
  <si>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</si>
  <si>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</si>
  <si>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</si>
  <si>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</si>
  <si>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</si>
  <si>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</si>
  <si>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</si>
  <si>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</si>
  <si>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</si>
  <si>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</si>
  <si>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</si>
  <si>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</si>
  <si>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</si>
  <si>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</si>
  <si>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</si>
  <si>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</si>
  <si>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</si>
  <si>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</si>
  <si>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</si>
  <si>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</si>
  <si>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bl16450v</t>
  </si>
  <si>
    <t>bl16550v</t>
  </si>
  <si>
    <t>bl16700v</t>
  </si>
  <si>
    <t>b16300</t>
  </si>
  <si>
    <t>bake</t>
  </si>
  <si>
    <t>kh2/0</t>
  </si>
  <si>
    <t>cd30x3</t>
  </si>
  <si>
    <t>keo</t>
  </si>
  <si>
    <t>bangkeo</t>
  </si>
  <si>
    <t>cxv25</t>
  </si>
  <si>
    <t>Cáp đồng bọc 24KV-CXV-25</t>
  </si>
  <si>
    <t>cvx25</t>
  </si>
  <si>
    <t>kep3u</t>
  </si>
  <si>
    <t>kep5u</t>
  </si>
  <si>
    <t>Kep5U</t>
  </si>
  <si>
    <t>Kẹo dừng 5 U</t>
  </si>
  <si>
    <t>bm16300</t>
  </si>
  <si>
    <t>bm16350</t>
  </si>
  <si>
    <t>BM16350</t>
  </si>
  <si>
    <t>Boulon mắt 16x350+ 2 long đền vuông D18-50x50x3/Zn</t>
  </si>
  <si>
    <t>mang</t>
  </si>
  <si>
    <t>Nx</t>
  </si>
  <si>
    <t>giá</t>
  </si>
  <si>
    <t>/BB-PECJC</t>
  </si>
  <si>
    <t>16/17/TĐ/TDC1</t>
  </si>
  <si>
    <t>0315-10</t>
  </si>
  <si>
    <t>0315-04</t>
  </si>
  <si>
    <t>SL50-810</t>
  </si>
  <si>
    <t>SL75-1990</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</si>
  <si>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</si>
  <si>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</si>
  <si>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</si>
  <si>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</si>
  <si>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</si>
  <si>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</si>
  <si>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</si>
  <si>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</si>
  <si>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</si>
  <si>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</si>
  <si>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</si>
  <si>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</si>
  <si>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</si>
  <si>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</si>
  <si>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</si>
  <si>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</si>
  <si>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</si>
  <si>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</si>
  <si>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</si>
  <si>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</si>
  <si>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</si>
  <si>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</si>
  <si>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</si>
  <si>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</si>
  <si>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</si>
  <si>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</si>
  <si>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</si>
  <si>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TNHH Lộc Lan Anh</t>
  </si>
  <si>
    <t>CÔNG TY TNHH
LỘC LAN ANH</t>
  </si>
  <si>
    <t>Bùi Duy Lộc</t>
  </si>
  <si>
    <t>Gói Thầu Số 07 (Xây Dựng): Hệ thống pano, đèn led trang trí, camera an ninh - Thuộc dự án: Đường Nguyễn Thị Minh Khai, Huyện Xuân Lộc</t>
  </si>
  <si>
    <t>MÃ HIỆU 
ĐƠN GIÁ</t>
  </si>
  <si>
    <t>HỢP ĐỒNG</t>
  </si>
  <si>
    <t>ĐƠN GIÁ DỰ TOÁN XD</t>
  </si>
  <si>
    <t>THÀNH TIỀN DỰ TOÁN XD</t>
  </si>
  <si>
    <t>ĐƠN GIÁ VL,NC,MTC</t>
  </si>
  <si>
    <t>THÀNH PHẦN CP KHÁC</t>
  </si>
  <si>
    <t>ĐƠN GIÁ TỔNG HỢP</t>
  </si>
  <si>
    <t xml:space="preserve">THÀNH TIỀN </t>
  </si>
  <si>
    <t>MÃ ĐỊNH MỨC</t>
  </si>
  <si>
    <t>MÃ VỮA</t>
  </si>
  <si>
    <t>ĐG VL
(Gốc)</t>
  </si>
  <si>
    <t>ĐG VLP
(Gốc)</t>
  </si>
  <si>
    <t>ĐG NC
(Gốc)</t>
  </si>
  <si>
    <t>ĐG MTC
(Gốc)</t>
  </si>
  <si>
    <t>HCM1</t>
  </si>
  <si>
    <t>HCM2</t>
  </si>
  <si>
    <t>HCM3</t>
  </si>
  <si>
    <t>HCM</t>
  </si>
  <si>
    <t>DP KLPS</t>
  </si>
  <si>
    <t>DP Trượt giá</t>
  </si>
  <si>
    <t>DP Tổng</t>
  </si>
  <si>
    <t>Đơn giá 
(HMC+DP)</t>
  </si>
  <si>
    <t>ĐƠN GIÁ
 TỔNG HỢP</t>
  </si>
  <si>
    <t>THÀNH TIỀN</t>
  </si>
  <si>
    <t>TỶ LỆ HMC</t>
  </si>
  <si>
    <t>TỶ LỆ DỰ PHÒNG</t>
  </si>
  <si>
    <t>ĐƠN GIÁ GỐC</t>
  </si>
  <si>
    <t>HỆ SỐ</t>
  </si>
  <si>
    <t>Ngày PXX</t>
  </si>
  <si>
    <t>Số BBTN</t>
  </si>
  <si>
    <t>Ngày BBTN</t>
  </si>
  <si>
    <t>I-</t>
  </si>
  <si>
    <t>BẢNG ĐÈN LED P5</t>
  </si>
  <si>
    <t>Phần khung bảng pano</t>
  </si>
  <si>
    <t>TT</t>
  </si>
  <si>
    <t>Kích thước bảng 2,2m x 1m, sử dụng đèn led P5, mỗi vị trí cột đèn gắn 02 bảng
- Khung bảo vệ ca bin nguyên khối.
- Nguồn điện được sử dụng 5V.
- Bộ điều khiển bằng cổng USB,
- Các nội dung tuyên truyền chạy trên bảng tùy theo nội dung tuyên truyền.</t>
  </si>
  <si>
    <t>bảng</t>
  </si>
  <si>
    <t>Phần ống bảo vệ - Cáp dẫn điện</t>
  </si>
  <si>
    <t>Ống ruột gà xám Ø20: 08 mét/ bảng</t>
  </si>
  <si>
    <t>mét</t>
  </si>
  <si>
    <t>Dây điện CV mềm 2x4mm2: 8m/bảng (đi bên trong trụ chiếu sáng luồn ra)</t>
  </si>
  <si>
    <t>201365/BB-TNĐ</t>
  </si>
  <si>
    <t>CS.2.04.11</t>
  </si>
  <si>
    <t>Luồn cáp cửa trụ</t>
  </si>
  <si>
    <t>1 đầu cáp</t>
  </si>
  <si>
    <t>Tiếp đất bảo vệ trụ bảng pano 17 bộ</t>
  </si>
  <si>
    <t>Cọc tiếp đất Φ16x2400mm mạ đồng</t>
  </si>
  <si>
    <t>Kẹp cọc tiếp đất đồng</t>
  </si>
  <si>
    <t>Ốc siết cáp đồng M11mm2</t>
  </si>
  <si>
    <t>Bulông Φ8x30 + long đền: bắt dây nối đất vào đèn</t>
  </si>
  <si>
    <t>Đầu cosse ép đồng Cu11mm2</t>
  </si>
  <si>
    <t>CS.1.07.21</t>
  </si>
  <si>
    <t>Làm tiếp địa bảng trang trí</t>
  </si>
  <si>
    <t>CAMERA AN NINH</t>
  </si>
  <si>
    <t xml:space="preserve">Camera an ninh </t>
  </si>
  <si>
    <t>Nguồn cấp Camera</t>
  </si>
  <si>
    <t>Dây điện nguồn 2x1,5mm2</t>
  </si>
  <si>
    <t>201366/BB-TNĐ</t>
  </si>
  <si>
    <t>Hộp nhựa bảo vệ nguồn</t>
  </si>
  <si>
    <t>Dây điện nguồn CVV 3.5</t>
  </si>
  <si>
    <t>201364/BB-TNĐ</t>
  </si>
  <si>
    <t>Ống nhựa PVC-D21 bảo vệ dây nguồn (cây dài 4m)</t>
  </si>
  <si>
    <t>Nối chữ T</t>
  </si>
  <si>
    <t>Co nối</t>
  </si>
  <si>
    <t>Tủ điện lưu trữ</t>
  </si>
  <si>
    <t>Công nhân lắp đặt</t>
  </si>
  <si>
    <t>Công</t>
  </si>
  <si>
    <t>Xi bi sử dụng cho màn hình Led</t>
  </si>
  <si>
    <t>ĐÈN LED TRANG TRÍ CỘT ĐÈN CHIẾU SÁNG</t>
  </si>
  <si>
    <t>Led dây 50X50mm (20m một trụ) (sử dụng nguồn điện 220V.</t>
  </si>
  <si>
    <t>Bộ chuyển đổi nguồn điện AC sang nguồn điện DC</t>
  </si>
  <si>
    <t>Keo alu (500ml/chai))</t>
  </si>
  <si>
    <t>Keo alu (500ml/chai)</t>
  </si>
  <si>
    <t>Chai</t>
  </si>
  <si>
    <t xml:space="preserve">Nhân công lắp đặt </t>
  </si>
  <si>
    <t>Phiếu thử nghiệm</t>
  </si>
  <si>
    <t>Phiếu xuất xưởng</t>
  </si>
  <si>
    <t>CÔNG TRÌNH: ĐƯỜNG NGUYỄN THỊ MINH KHAI, HUYỆN XUÂN LỘC</t>
  </si>
  <si>
    <t>HẠNG MỤC: PANO HỘP ĐÈN TRANG TRÍ + CAMERA AN NINH + DÂY ĐÈN LED TRANG TRÍ TRỤ ĐÈN CHIẾU SÁNG</t>
  </si>
  <si>
    <t>CÔNG TY TNHH MTV 
THỊNH TOÀN PHÚC</t>
  </si>
  <si>
    <t>Phạm Thế Ngữ</t>
  </si>
  <si>
    <t>Lê Hoàng Linh</t>
  </si>
  <si>
    <t>KHỐI LƯỢNG NGHIỆM THU HOÀN THÀNH</t>
  </si>
  <si>
    <t>bb</t>
  </si>
  <si>
    <t>HẠNG MỤC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</si>
</sst>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 numFmtId="187" formatCode="_-* #,##0.00\ _₫_-;\-* #,##0.00\ _₫_-;_-* &quot;-&quot;??\ _₫_-;_-@_-"/>
  </numFmts>
  <fonts count="193">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
      <b/>
      <sz val="16"/>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5">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xf numFmtId="187" fontId="97" fillId="0" borderId="0" applyFont="0" applyFill="0" applyBorder="0" applyAlignment="0" applyProtection="0"/>
    <xf numFmtId="0" fontId="25" fillId="0" borderId="0"/>
    <xf numFmtId="0" fontId="25" fillId="0" borderId="0"/>
  </cellStyleXfs>
  <cellXfs count="2806">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3" fontId="136" fillId="0" borderId="0" xfId="0" applyNumberFormat="1" applyFont="1" applyBorder="1" applyAlignment="1">
      <alignment horizontal="left" vertical="center"/>
    </xf>
    <xf numFmtId="0" fontId="29" fillId="0" borderId="0" xfId="21" applyFont="1" applyAlignment="1">
      <alignment vertical="center" wrapText="1"/>
    </xf>
    <xf numFmtId="0" fontId="192" fillId="0" borderId="0" xfId="21" applyFont="1" applyAlignment="1">
      <alignment horizontal="centerContinuous" vertical="center" wrapText="1"/>
    </xf>
    <xf numFmtId="0" fontId="29" fillId="0" borderId="0" xfId="21" applyFont="1" applyAlignment="1">
      <alignment horizontal="centerContinuous" vertical="center" wrapText="1"/>
    </xf>
    <xf numFmtId="3" fontId="29" fillId="0" borderId="0" xfId="21" applyNumberFormat="1" applyFont="1" applyAlignment="1">
      <alignment horizontal="centerContinuous" vertical="center" wrapText="1"/>
    </xf>
    <xf numFmtId="14" fontId="29" fillId="0" borderId="0" xfId="21" applyNumberFormat="1" applyFont="1" applyAlignment="1">
      <alignment vertical="center" wrapText="1"/>
    </xf>
    <xf numFmtId="0" fontId="34" fillId="0" borderId="0" xfId="21" applyFont="1" applyAlignment="1">
      <alignment vertical="center" wrapText="1"/>
    </xf>
    <xf numFmtId="0" fontId="34" fillId="0" borderId="0" xfId="21" applyFont="1" applyAlignment="1">
      <alignment horizontal="centerContinuous" vertical="center" wrapText="1"/>
    </xf>
    <xf numFmtId="3" fontId="34" fillId="0" borderId="0" xfId="21" applyNumberFormat="1" applyFont="1" applyAlignment="1">
      <alignment horizontal="centerContinuous" vertical="center" wrapText="1"/>
    </xf>
    <xf numFmtId="14" fontId="34" fillId="0" borderId="0" xfId="21" applyNumberFormat="1" applyFont="1" applyAlignment="1">
      <alignment vertical="center" wrapText="1"/>
    </xf>
    <xf numFmtId="3" fontId="29" fillId="0" borderId="0" xfId="21" applyNumberFormat="1" applyFont="1" applyAlignment="1">
      <alignment vertical="center" wrapText="1"/>
    </xf>
    <xf numFmtId="0" fontId="29" fillId="0" borderId="0" xfId="21" applyFont="1" applyAlignment="1">
      <alignment horizontal="center" vertical="center" wrapText="1"/>
    </xf>
    <xf numFmtId="0" fontId="34" fillId="0" borderId="3" xfId="21" applyFont="1" applyBorder="1" applyAlignment="1" applyProtection="1">
      <alignment horizontal="center" vertical="center" wrapText="1"/>
      <protection locked="0"/>
    </xf>
    <xf numFmtId="3" fontId="34" fillId="0" borderId="3" xfId="21" applyNumberFormat="1" applyFont="1" applyBorder="1" applyAlignment="1">
      <alignment horizontal="center" vertical="center" wrapText="1"/>
    </xf>
    <xf numFmtId="3" fontId="34" fillId="0" borderId="3" xfId="72" applyNumberFormat="1" applyFont="1" applyBorder="1" applyAlignment="1">
      <alignment horizontal="center" vertical="center" wrapText="1"/>
    </xf>
    <xf numFmtId="3" fontId="60" fillId="0" borderId="3" xfId="72" applyNumberFormat="1" applyFont="1" applyBorder="1" applyAlignment="1">
      <alignment horizontal="center" vertical="center" wrapText="1"/>
    </xf>
    <xf numFmtId="14" fontId="29" fillId="0" borderId="0" xfId="21" applyNumberFormat="1" applyFont="1" applyAlignment="1">
      <alignment horizontal="center" vertical="center" wrapText="1"/>
    </xf>
    <xf numFmtId="49" fontId="34" fillId="0" borderId="3" xfId="21" applyNumberFormat="1" applyFont="1" applyBorder="1" applyAlignment="1">
      <alignment horizontal="left" vertical="center" wrapText="1"/>
    </xf>
    <xf numFmtId="49" fontId="29" fillId="0" borderId="3" xfId="21" applyNumberFormat="1" applyFont="1" applyBorder="1" applyAlignment="1">
      <alignment horizontal="center" vertical="center" wrapText="1"/>
    </xf>
    <xf numFmtId="0" fontId="29" fillId="0" borderId="3" xfId="21" applyFont="1" applyBorder="1" applyAlignment="1">
      <alignment vertical="center" wrapText="1"/>
    </xf>
    <xf numFmtId="3" fontId="29" fillId="0" borderId="3" xfId="21" applyNumberFormat="1" applyFont="1" applyBorder="1" applyAlignment="1">
      <alignment vertical="center" wrapText="1"/>
    </xf>
    <xf numFmtId="0" fontId="29" fillId="0" borderId="3" xfId="21" applyFont="1" applyBorder="1" applyAlignment="1">
      <alignment horizontal="center" vertical="center" wrapText="1"/>
    </xf>
    <xf numFmtId="49" fontId="34" fillId="0" borderId="3" xfId="73" applyNumberFormat="1" applyFont="1" applyBorder="1" applyAlignment="1" applyProtection="1">
      <alignment horizontal="center" vertical="center" wrapText="1"/>
      <protection hidden="1"/>
    </xf>
    <xf numFmtId="0" fontId="34" fillId="0" borderId="3" xfId="74" applyFont="1" applyBorder="1" applyAlignment="1">
      <alignment horizontal="center" vertical="center"/>
    </xf>
    <xf numFmtId="49" fontId="29" fillId="0" borderId="3" xfId="21" applyNumberFormat="1" applyFont="1" applyBorder="1" applyAlignment="1">
      <alignment vertical="center" wrapText="1"/>
    </xf>
    <xf numFmtId="3" fontId="34" fillId="0" borderId="3" xfId="74" applyNumberFormat="1" applyFont="1" applyBorder="1" applyAlignment="1">
      <alignment vertical="center"/>
    </xf>
    <xf numFmtId="0" fontId="115" fillId="0" borderId="0" xfId="21" applyFont="1" applyAlignment="1">
      <alignment vertical="center" wrapText="1"/>
    </xf>
    <xf numFmtId="0" fontId="115" fillId="0" borderId="3" xfId="21" applyFont="1" applyBorder="1" applyAlignment="1">
      <alignment horizontal="center" vertical="center" wrapText="1"/>
    </xf>
    <xf numFmtId="3" fontId="115" fillId="0" borderId="3" xfId="21" applyNumberFormat="1" applyFont="1" applyBorder="1" applyAlignment="1">
      <alignment vertical="center" wrapText="1"/>
    </xf>
    <xf numFmtId="0" fontId="115" fillId="0" borderId="3" xfId="21" applyFont="1" applyBorder="1" applyAlignment="1">
      <alignment vertical="center" wrapText="1"/>
    </xf>
    <xf numFmtId="0" fontId="34" fillId="0" borderId="3" xfId="74" quotePrefix="1" applyFont="1" applyBorder="1" applyAlignment="1">
      <alignment horizontal="center" vertical="center" wrapText="1"/>
    </xf>
    <xf numFmtId="164" fontId="34" fillId="0" borderId="3" xfId="72" applyNumberFormat="1" applyFont="1" applyBorder="1" applyAlignment="1">
      <alignment horizontal="right" vertical="center"/>
    </xf>
    <xf numFmtId="0" fontId="29" fillId="0" borderId="3" xfId="74" quotePrefix="1" applyFont="1" applyBorder="1" applyAlignment="1">
      <alignment horizontal="center" vertical="center" wrapText="1"/>
    </xf>
    <xf numFmtId="3" fontId="29" fillId="0" borderId="3" xfId="74" applyNumberFormat="1" applyFont="1" applyBorder="1" applyAlignment="1">
      <alignment vertical="center" wrapText="1"/>
    </xf>
    <xf numFmtId="0" fontId="29" fillId="0" borderId="3" xfId="74" applyFont="1" applyBorder="1" applyAlignment="1">
      <alignment horizontal="left" vertical="center" wrapText="1"/>
    </xf>
    <xf numFmtId="0" fontId="29" fillId="0" borderId="3" xfId="74" applyFont="1" applyBorder="1" applyAlignment="1">
      <alignment horizontal="center" vertical="center"/>
    </xf>
    <xf numFmtId="0" fontId="29" fillId="0" borderId="3" xfId="72" applyNumberFormat="1" applyFont="1" applyBorder="1" applyAlignment="1">
      <alignment horizontal="right" vertical="center"/>
    </xf>
    <xf numFmtId="0" fontId="29" fillId="0" borderId="13" xfId="21" applyFont="1" applyBorder="1" applyAlignment="1">
      <alignment horizontal="center" vertical="center" wrapText="1"/>
    </xf>
    <xf numFmtId="0" fontId="29" fillId="0" borderId="13" xfId="21" applyFont="1" applyBorder="1" applyAlignment="1">
      <alignment vertical="center" wrapText="1"/>
    </xf>
    <xf numFmtId="0" fontId="34" fillId="0" borderId="13" xfId="21" applyFont="1" applyBorder="1" applyAlignment="1">
      <alignment vertical="center" wrapText="1"/>
    </xf>
    <xf numFmtId="3" fontId="29" fillId="0" borderId="13" xfId="21" applyNumberFormat="1" applyFont="1" applyBorder="1" applyAlignment="1">
      <alignment vertical="center" wrapText="1"/>
    </xf>
    <xf numFmtId="3" fontId="34" fillId="0" borderId="13" xfId="21" applyNumberFormat="1" applyFont="1" applyBorder="1" applyAlignment="1">
      <alignment vertical="center" wrapText="1"/>
    </xf>
    <xf numFmtId="0" fontId="34" fillId="0" borderId="0" xfId="21" applyFont="1" applyAlignment="1">
      <alignment horizontal="center" vertical="center" wrapText="1"/>
    </xf>
    <xf numFmtId="3" fontId="34" fillId="0" borderId="0" xfId="21" applyNumberFormat="1" applyFont="1" applyAlignment="1">
      <alignment vertical="center" wrapText="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3" fontId="145" fillId="0" borderId="12" xfId="0" applyNumberFormat="1" applyFont="1" applyFill="1" applyBorder="1" applyAlignment="1" applyProtection="1">
      <alignment horizontal="left" vertical="center"/>
      <protection hidden="1"/>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36" fillId="0" borderId="0" xfId="0" applyNumberFormat="1" applyFont="1" applyBorder="1" applyAlignment="1">
      <alignment horizontal="left" vertical="center" shrinkToFit="1"/>
    </xf>
    <xf numFmtId="49" fontId="136" fillId="0" borderId="0" xfId="0" applyNumberFormat="1" applyFont="1" applyBorder="1" applyAlignment="1">
      <alignment horizontal="left" vertical="center"/>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49"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3" fontId="151" fillId="0" borderId="3" xfId="0" applyNumberFormat="1" applyFont="1" applyBorder="1" applyAlignment="1" applyProtection="1">
      <alignment horizontal="left" vertical="center" wrapText="1"/>
    </xf>
    <xf numFmtId="3" fontId="151" fillId="0" borderId="3" xfId="19" applyNumberFormat="1" applyFont="1" applyFill="1" applyBorder="1" applyAlignment="1">
      <alignment horizontal="center" vertical="center"/>
    </xf>
    <xf numFmtId="3" fontId="151" fillId="0" borderId="3" xfId="19" applyNumberFormat="1" applyFont="1" applyFill="1" applyBorder="1" applyAlignment="1">
      <alignment horizontal="center"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6"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103"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3" xfId="19" applyFont="1" applyBorder="1" applyAlignment="1">
      <alignment horizontal="center" vertical="center" wrapText="1"/>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119" fillId="0" borderId="3" xfId="19" applyFont="1" applyBorder="1" applyAlignment="1">
      <alignment horizontal="center"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center"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36" fillId="0" borderId="0" xfId="21" applyFont="1" applyAlignment="1">
      <alignment horizontal="center" vertical="center" wrapText="1"/>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24" fillId="0" borderId="0" xfId="21" applyFont="1" applyAlignment="1">
      <alignment horizontal="center" vertical="center"/>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3" fontId="34" fillId="0" borderId="3" xfId="21" applyNumberFormat="1" applyFont="1" applyBorder="1" applyAlignment="1">
      <alignment horizontal="center" vertical="center" wrapText="1"/>
    </xf>
    <xf numFmtId="3" fontId="60" fillId="0" borderId="3" xfId="21" applyNumberFormat="1" applyFont="1" applyBorder="1" applyAlignment="1">
      <alignment horizontal="center" vertical="center" wrapText="1"/>
    </xf>
    <xf numFmtId="0" fontId="129" fillId="0" borderId="0" xfId="21" applyFont="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cellXfs>
  <cellStyles count="75">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71" xr:uid="{00000000-0005-0000-0000-000006000000}"/>
    <cellStyle name="Comma 5" xfId="72" xr:uid="{D578175C-BAE0-4F96-8EA9-9FAE2061DCDB}"/>
    <cellStyle name="Grey" xfId="3" xr:uid="{00000000-0005-0000-0000-000007000000}"/>
    <cellStyle name="Grey 2" xfId="33" xr:uid="{00000000-0005-0000-0000-000008000000}"/>
    <cellStyle name="Grey 3" xfId="49" xr:uid="{00000000-0005-0000-0000-000009000000}"/>
    <cellStyle name="HEADER" xfId="4" xr:uid="{00000000-0005-0000-0000-00000A000000}"/>
    <cellStyle name="HEADER 2" xfId="39" xr:uid="{00000000-0005-0000-0000-00000B000000}"/>
    <cellStyle name="Header1" xfId="5" xr:uid="{00000000-0005-0000-0000-00000C000000}"/>
    <cellStyle name="Header1 2" xfId="54" xr:uid="{00000000-0005-0000-0000-00000D000000}"/>
    <cellStyle name="Header2" xfId="6" xr:uid="{00000000-0005-0000-0000-00000E000000}"/>
    <cellStyle name="Header2 2" xfId="55" xr:uid="{00000000-0005-0000-0000-00000F000000}"/>
    <cellStyle name="Hyperlink" xfId="20" builtinId="8"/>
    <cellStyle name="Hyperlink 2" xfId="46" xr:uid="{00000000-0005-0000-0000-000011000000}"/>
    <cellStyle name="Input [yellow]" xfId="7" xr:uid="{00000000-0005-0000-0000-000012000000}"/>
    <cellStyle name="Input [yellow] 2" xfId="36" xr:uid="{00000000-0005-0000-0000-000013000000}"/>
    <cellStyle name="Input [yellow] 3" xfId="53" xr:uid="{00000000-0005-0000-0000-000014000000}"/>
    <cellStyle name="Model" xfId="8" xr:uid="{00000000-0005-0000-0000-000015000000}"/>
    <cellStyle name="Model 2" xfId="30" xr:uid="{00000000-0005-0000-0000-000016000000}"/>
    <cellStyle name="Normal" xfId="0" builtinId="0" customBuiltin="1"/>
    <cellStyle name="Normal - Style1" xfId="9" xr:uid="{00000000-0005-0000-0000-000018000000}"/>
    <cellStyle name="Normal - Style1 2" xfId="21" xr:uid="{00000000-0005-0000-0000-000019000000}"/>
    <cellStyle name="Normal - Style1 2 2" xfId="51" xr:uid="{00000000-0005-0000-0000-00001A000000}"/>
    <cellStyle name="Normal - Style1 3" xfId="52" xr:uid="{00000000-0005-0000-0000-00001B000000}"/>
    <cellStyle name="Normal 10" xfId="60" xr:uid="{00000000-0005-0000-0000-00001C000000}"/>
    <cellStyle name="Normal 11" xfId="61" xr:uid="{00000000-0005-0000-0000-00001D000000}"/>
    <cellStyle name="Normal 12" xfId="62" xr:uid="{00000000-0005-0000-0000-00001E000000}"/>
    <cellStyle name="Normal 13" xfId="63" xr:uid="{00000000-0005-0000-0000-00001F000000}"/>
    <cellStyle name="Normal 14" xfId="64" xr:uid="{00000000-0005-0000-0000-000020000000}"/>
    <cellStyle name="Normal 15" xfId="65" xr:uid="{00000000-0005-0000-0000-000021000000}"/>
    <cellStyle name="Normal 2" xfId="19" xr:uid="{00000000-0005-0000-0000-000022000000}"/>
    <cellStyle name="Normal 2 2" xfId="34" xr:uid="{00000000-0005-0000-0000-000023000000}"/>
    <cellStyle name="Normal 2 3" xfId="50" xr:uid="{00000000-0005-0000-0000-000024000000}"/>
    <cellStyle name="Normal 3" xfId="23" xr:uid="{00000000-0005-0000-0000-000025000000}"/>
    <cellStyle name="Normal 3 2" xfId="35" xr:uid="{00000000-0005-0000-0000-000026000000}"/>
    <cellStyle name="Normal 4" xfId="24" xr:uid="{00000000-0005-0000-0000-000027000000}"/>
    <cellStyle name="Normal 4 2" xfId="32" xr:uid="{00000000-0005-0000-0000-000028000000}"/>
    <cellStyle name="Normal 4 3" xfId="48" xr:uid="{00000000-0005-0000-0000-000029000000}"/>
    <cellStyle name="Normal 5" xfId="28" xr:uid="{00000000-0005-0000-0000-00002A000000}"/>
    <cellStyle name="Normal 5 2" xfId="31" xr:uid="{00000000-0005-0000-0000-00002B000000}"/>
    <cellStyle name="Normal 5 3" xfId="47" xr:uid="{00000000-0005-0000-0000-00002C000000}"/>
    <cellStyle name="Normal 6" xfId="45" xr:uid="{00000000-0005-0000-0000-00002D000000}"/>
    <cellStyle name="Normal 7" xfId="57" xr:uid="{00000000-0005-0000-0000-00002E000000}"/>
    <cellStyle name="Normal 8" xfId="58" xr:uid="{00000000-0005-0000-0000-00002F000000}"/>
    <cellStyle name="Normal 9" xfId="59" xr:uid="{00000000-0005-0000-0000-000030000000}"/>
    <cellStyle name="Normal_ak" xfId="10" xr:uid="{00000000-0005-0000-0000-000031000000}"/>
    <cellStyle name="Normal_DTOAN_Tan Tay" xfId="11" xr:uid="{00000000-0005-0000-0000-000032000000}"/>
    <cellStyle name="Normal_DTOAN_Tan Thanh" xfId="12" xr:uid="{00000000-0005-0000-0000-000033000000}"/>
    <cellStyle name="Normal_DU TOANTICH THIEN2" xfId="13" xr:uid="{00000000-0005-0000-0000-000034000000}"/>
    <cellStyle name="Normal_DU TOANTICH THIEN2 2" xfId="68" xr:uid="{00000000-0005-0000-0000-000035000000}"/>
    <cellStyle name="Normal_DuToan KCN3" xfId="27" xr:uid="{00000000-0005-0000-0000-000036000000}"/>
    <cellStyle name="Normal_HANUL" xfId="70" xr:uid="{00000000-0005-0000-0000-000037000000}"/>
    <cellStyle name="Normal_Vinh Thanh" xfId="14" xr:uid="{00000000-0005-0000-0000-000038000000}"/>
    <cellStyle name="Normal_Vinh Thanh 2" xfId="67" xr:uid="{00000000-0005-0000-0000-000039000000}"/>
    <cellStyle name="Normal_Vinh Trach Dong(hc)" xfId="15" xr:uid="{00000000-0005-0000-0000-00003A000000}"/>
    <cellStyle name="Normal_Vinh Trach Dong(hc) 2" xfId="69" xr:uid="{00000000-0005-0000-0000-00003B000000}"/>
    <cellStyle name="Normal_xuan tan xuan dinh" xfId="74" xr:uid="{BEB44439-22E9-4762-A5CF-1B216EA6AACC}"/>
    <cellStyle name="Normal_xuan tan xuan dinh_7. du toan lap dat bo sung den trang tri" xfId="73" xr:uid="{ADD6962E-C709-42A6-AEDA-929BD93F0D31}"/>
    <cellStyle name="Percent" xfId="66" builtinId="5"/>
    <cellStyle name="Percent [2]" xfId="16" xr:uid="{00000000-0005-0000-0000-00003D000000}"/>
    <cellStyle name="Percent [2] 2" xfId="40" xr:uid="{00000000-0005-0000-0000-00003E000000}"/>
    <cellStyle name="Percent [2] 3" xfId="56" xr:uid="{00000000-0005-0000-0000-00003F000000}"/>
    <cellStyle name="Percent 2" xfId="25" xr:uid="{00000000-0005-0000-0000-000040000000}"/>
    <cellStyle name="Percent 2 2" xfId="41" xr:uid="{00000000-0005-0000-0000-000041000000}"/>
    <cellStyle name="Percent 3" xfId="26" xr:uid="{00000000-0005-0000-0000-000042000000}"/>
    <cellStyle name="Percent 3 2" xfId="42" xr:uid="{00000000-0005-0000-0000-000043000000}"/>
    <cellStyle name="S¬" xfId="17" xr:uid="{00000000-0005-0000-0000-000044000000}"/>
    <cellStyle name="S¬ 2" xfId="43" xr:uid="{00000000-0005-0000-0000-000045000000}"/>
    <cellStyle name="subhead" xfId="18" xr:uid="{00000000-0005-0000-0000-000046000000}"/>
    <cellStyle name="subhead 2" xfId="44" xr:uid="{00000000-0005-0000-0000-000047000000}"/>
  </cellStyles>
  <dxfs count="18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265324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8638</xdr:colOff>
      <xdr:row>37</xdr:row>
      <xdr:rowOff>76200</xdr:rowOff>
    </xdr:from>
    <xdr:to>
      <xdr:col>59</xdr:col>
      <xdr:colOff>906781</xdr:colOff>
      <xdr:row>50</xdr:row>
      <xdr:rowOff>167775</xdr:rowOff>
    </xdr:to>
    <xdr:grpSp>
      <xdr:nvGrpSpPr>
        <xdr:cNvPr id="2" name="Group 1">
          <a:extLst>
            <a:ext uri="{FF2B5EF4-FFF2-40B4-BE49-F238E27FC236}">
              <a16:creationId xmlns:a16="http://schemas.microsoft.com/office/drawing/2014/main" id="{E79DFAE8-E32B-4316-B578-BA224BE13D05}"/>
            </a:ext>
          </a:extLst>
        </xdr:cNvPr>
        <xdr:cNvGrpSpPr/>
      </xdr:nvGrpSpPr>
      <xdr:grpSpPr>
        <a:xfrm>
          <a:off x="1883158" y="15514320"/>
          <a:ext cx="6521703" cy="3528195"/>
          <a:chOff x="2763770" y="21549501"/>
          <a:chExt cx="9750480" cy="3491915"/>
        </a:xfrm>
      </xdr:grpSpPr>
      <xdr:grpSp>
        <xdr:nvGrpSpPr>
          <xdr:cNvPr id="3" name="Group 2">
            <a:extLst>
              <a:ext uri="{FF2B5EF4-FFF2-40B4-BE49-F238E27FC236}">
                <a16:creationId xmlns:a16="http://schemas.microsoft.com/office/drawing/2014/main" id="{7EBD7636-3785-4261-BB88-0871BF2DA1EA}"/>
              </a:ext>
            </a:extLst>
          </xdr:cNvPr>
          <xdr:cNvGrpSpPr/>
        </xdr:nvGrpSpPr>
        <xdr:grpSpPr>
          <a:xfrm>
            <a:off x="2763770" y="21549501"/>
            <a:ext cx="9750480" cy="3491910"/>
            <a:chOff x="2596797" y="23458236"/>
            <a:chExt cx="9712871" cy="3491910"/>
          </a:xfrm>
        </xdr:grpSpPr>
        <xdr:grpSp>
          <xdr:nvGrpSpPr>
            <xdr:cNvPr id="7" name="Group 6">
              <a:extLst>
                <a:ext uri="{FF2B5EF4-FFF2-40B4-BE49-F238E27FC236}">
                  <a16:creationId xmlns:a16="http://schemas.microsoft.com/office/drawing/2014/main" id="{E0A863F9-8534-45B0-9EDB-B7EE2CE020CC}"/>
                </a:ext>
              </a:extLst>
            </xdr:cNvPr>
            <xdr:cNvGrpSpPr/>
          </xdr:nvGrpSpPr>
          <xdr:grpSpPr>
            <a:xfrm>
              <a:off x="2711762" y="23458236"/>
              <a:ext cx="9571874" cy="2068763"/>
              <a:chOff x="2436403" y="12166542"/>
              <a:chExt cx="8784098" cy="2068764"/>
            </a:xfrm>
          </xdr:grpSpPr>
          <xdr:sp macro="" textlink="">
            <xdr:nvSpPr>
              <xdr:cNvPr id="11" name="TextBox 10">
                <a:extLst>
                  <a:ext uri="{FF2B5EF4-FFF2-40B4-BE49-F238E27FC236}">
                    <a16:creationId xmlns:a16="http://schemas.microsoft.com/office/drawing/2014/main" id="{BC792EFE-5B9C-45A1-ACDC-44944FB96206}"/>
                  </a:ext>
                </a:extLst>
              </xdr:cNvPr>
              <xdr:cNvSpPr txBox="1"/>
            </xdr:nvSpPr>
            <xdr:spPr>
              <a:xfrm>
                <a:off x="2610704" y="13737135"/>
                <a:ext cx="2384426"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0972F1DE-EEC9-48BA-B76C-43D7F5BC6F4A}"/>
                  </a:ext>
                </a:extLst>
              </xdr:cNvPr>
              <xdr:cNvSpPr txBox="1"/>
            </xdr:nvSpPr>
            <xdr:spPr>
              <a:xfrm>
                <a:off x="2628267"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3F35AE9-8980-4F53-B788-D17D644B41CE}" type="TxLink">
                  <a:rPr lang="en-US" sz="1400" b="1" i="0" u="none" strike="noStrike">
                    <a:solidFill>
                      <a:srgbClr val="000000"/>
                    </a:solidFill>
                    <a:latin typeface="Times New Roman"/>
                    <a:cs typeface="Times New Roman"/>
                  </a:rPr>
                  <a:t>Phạm Thế Ngữ</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A453D188-C6AC-448E-AC04-A5C234A76B3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
            <xdr:nvSpPr>
              <xdr:cNvPr id="14" name="TextBox 13">
                <a:extLst>
                  <a:ext uri="{FF2B5EF4-FFF2-40B4-BE49-F238E27FC236}">
                    <a16:creationId xmlns:a16="http://schemas.microsoft.com/office/drawing/2014/main" id="{1638D75C-8D37-44DE-AAFB-1C84789FA0D8}"/>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15" name="TextBox 14">
                <a:extLst>
                  <a:ext uri="{FF2B5EF4-FFF2-40B4-BE49-F238E27FC236}">
                    <a16:creationId xmlns:a16="http://schemas.microsoft.com/office/drawing/2014/main" id="{EB02285B-D49B-4868-BE77-2E6595632006}"/>
                  </a:ext>
                </a:extLst>
              </xdr:cNvPr>
              <xdr:cNvSpPr txBox="1"/>
            </xdr:nvSpPr>
            <xdr:spPr>
              <a:xfrm>
                <a:off x="2436403" y="12166543"/>
                <a:ext cx="282838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E5B78F14-960E-4516-8C3F-2FD0563E65EF}"/>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id="{6B6EBFA7-9328-42BA-BE9D-40D8F7EAC89A}"/>
                </a:ext>
              </a:extLst>
            </xdr:cNvPr>
            <xdr:cNvSpPr txBox="1"/>
          </xdr:nvSpPr>
          <xdr:spPr>
            <a:xfrm>
              <a:off x="8680025"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id="{9D011F0B-CF53-4A96-83C0-695244C4A5F9}"/>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id="{82573CC8-5ED9-42F8-9AD7-48DE903B81F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EB233DFF-D8B7-4DCA-A7E6-0273C7FCB88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B7A24D-24B0-4902-941C-E8F73F1D305A}" type="TxLink">
              <a:rPr lang="en-US" sz="1400" b="1" i="0" u="none" strike="noStrike">
                <a:solidFill>
                  <a:srgbClr val="000000"/>
                </a:solidFill>
                <a:latin typeface="Times New Roman"/>
                <a:cs typeface="Times New Roman"/>
              </a:rPr>
              <a:t>CÔNG TY TNHH MTV 
THỊNH TOÀN PHÚC</a:t>
            </a:fld>
            <a:endParaRPr lang="en-US" sz="1400" b="1">
              <a:latin typeface="+mj-lt"/>
            </a:endParaRPr>
          </a:p>
        </xdr:txBody>
      </xdr:sp>
      <xdr:sp macro="" textlink="">
        <xdr:nvSpPr>
          <xdr:cNvPr id="5" name="TextBox 4">
            <a:extLst>
              <a:ext uri="{FF2B5EF4-FFF2-40B4-BE49-F238E27FC236}">
                <a16:creationId xmlns:a16="http://schemas.microsoft.com/office/drawing/2014/main" id="{D25D7963-AD5C-45AE-B383-631EC2625452}"/>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id="{D96D51CD-7B40-4EE4-A1E5-A411F3D2FAE5}"/>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40A785-0A71-4CE3-8841-93A4EE405B30}" type="TxLink">
              <a:rPr lang="en-US" sz="1400" b="1" i="0" u="none" strike="noStrike">
                <a:solidFill>
                  <a:srgbClr val="000000"/>
                </a:solidFill>
                <a:latin typeface="Times New Roman"/>
                <a:cs typeface="Times New Roman"/>
              </a:rPr>
              <a:t>Lê Hoàng Linh</a:t>
            </a:fld>
            <a:endParaRPr lang="en-US" sz="1400" b="1">
              <a:latin typeface="+mj-lt"/>
            </a:endParaRPr>
          </a:p>
        </xdr:txBody>
      </xdr:sp>
    </xdr:grp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1075765</xdr:colOff>
      <xdr:row>127</xdr:row>
      <xdr:rowOff>246530</xdr:rowOff>
    </xdr:from>
    <xdr:to>
      <xdr:col>13</xdr:col>
      <xdr:colOff>233083</xdr:colOff>
      <xdr:row>132</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075765" y="10986248"/>
          <a:ext cx="5979459"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32361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403240"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050360" y="16144878"/>
            <a:ext cx="259902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SÁT B</a:t>
            </a:r>
            <a:endParaRPr lang="en-US" sz="1400" b="1">
              <a:latin typeface="Times New Roman" pitchFamily="18" charset="0"/>
              <a:cs typeface="Times New Roman" pitchFamily="18" charset="0"/>
            </a:endParaRP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219390"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 </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P%20PANO%20LED%20-%20CAME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mtra_Dutoan"/>
      <sheetName val="Thamtra_Phantichvattu"/>
      <sheetName val="Thamtra_GTVT"/>
      <sheetName val="Thamtra_VL"/>
      <sheetName val="Thamtra_NC"/>
      <sheetName val="Thamtra_MTC"/>
      <sheetName val="Dutoan_Nhom"/>
      <sheetName val="THKP_Nhom"/>
      <sheetName val="Du toan"/>
      <sheetName val="Phan tich vat tu"/>
      <sheetName val="Gia tri vat tu"/>
      <sheetName val="GiaVua"/>
      <sheetName val="THKP"/>
      <sheetName val="THKP_Doc"/>
      <sheetName val="Tong hop kinh phi"/>
      <sheetName val="DGCT_Thugon"/>
      <sheetName val="Du thau"/>
      <sheetName val="NT-VT"/>
      <sheetName val="THKP_KS"/>
      <sheetName val="THKP_DVCI"/>
      <sheetName val="Tong hop kinh phi  _DVCI"/>
      <sheetName val="Tong hop kinh phi_KS"/>
      <sheetName val="TMDT"/>
      <sheetName val="DP2C_TB"/>
      <sheetName val="DT Goi thau TB"/>
      <sheetName val="SBTMDT"/>
      <sheetName val="DP2A"/>
      <sheetName val="Bia du toan"/>
      <sheetName val="PTVT_VCLC"/>
      <sheetName val="THVT_VCLC"/>
      <sheetName val="PTVT_BX"/>
      <sheetName val="THVT_BX"/>
      <sheetName val="PTVT_VC"/>
      <sheetName val="THVT_VC"/>
      <sheetName val="Chi phi van chuyen"/>
      <sheetName val="CuocVC"/>
      <sheetName val="CP Khac cuoc VC"/>
      <sheetName val="CPVC _Sieu truong"/>
      <sheetName val="Cuoc Bo sung"/>
      <sheetName val="Chi phi trung chuyen"/>
      <sheetName val="CPVC_DenChanCT"/>
      <sheetName val="CPVC_588"/>
      <sheetName val="CuocDM"/>
      <sheetName val="CPTC_588"/>
      <sheetName val="CTCM_VC"/>
      <sheetName val="BuGCM_VC"/>
      <sheetName val="BuNLTL_VC"/>
      <sheetName val="NC_TC"/>
      <sheetName val="PT_BVC_CV"/>
      <sheetName val="LuongCNXD_Tong"/>
      <sheetName val="LuongCN_XD"/>
      <sheetName val="LuongCN_XD1"/>
      <sheetName val="LuongCN_XD2"/>
      <sheetName val="Phan tich ca may"/>
      <sheetName val="LuongCNLM_Tong"/>
      <sheetName val="LuongCN_LaiMay1"/>
      <sheetName val="LuongCN_LaiMay2"/>
      <sheetName val="LuongCN_LaiMay"/>
      <sheetName val="Chiet tinh don gia may"/>
      <sheetName val="Bu gia may"/>
      <sheetName val="Bu NL_TL"/>
      <sheetName val="Dau vao ca may"/>
      <sheetName val="Phan tich bu ca may"/>
      <sheetName val="LuongCN"/>
      <sheetName val="HMC_Goithau"/>
      <sheetName val="CongNhat"/>
      <sheetName val="Tamtinh"/>
      <sheetName val="DGCT_Goithau"/>
      <sheetName val="Duthau_HM"/>
      <sheetName val="HD_Trongoi"/>
      <sheetName val="HD_DGCodinh"/>
      <sheetName val="HD_DGDieuchinh"/>
      <sheetName val="NT_GD"/>
      <sheetName val="QLNT"/>
      <sheetName val="PL03a_A"/>
      <sheetName val="PL03a"/>
      <sheetName val="QLTU"/>
      <sheetName val="THKP_KS_tt17"/>
      <sheetName val="Tong hop kinh phi_KS_tt17"/>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A2" t="str">
            <v>CÔNG TRÌNH: ĐƯỜNG NGUYỄN THỊ MINH KHAI, HUYỆN XUÂN LỘC</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54">
          <cell r="C54">
            <v>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90625" defaultRowHeight="13.2"/>
  <cols>
    <col min="1" max="1" width="15.36328125" style="1798" customWidth="1"/>
    <col min="2" max="2" width="9.81640625" style="1790" customWidth="1"/>
    <col min="3" max="3" width="58.453125" style="1798" customWidth="1"/>
    <col min="4" max="4" width="8.90625" style="55" customWidth="1"/>
    <col min="5" max="5" width="5.08984375" style="2275" customWidth="1"/>
    <col min="6" max="16384" width="8.90625" style="55"/>
  </cols>
  <sheetData>
    <row r="1" spans="1:10" s="1777" customFormat="1" ht="27.75" customHeight="1">
      <c r="A1" s="1157" t="s">
        <v>5202</v>
      </c>
      <c r="B1" s="1776" t="s">
        <v>2615</v>
      </c>
      <c r="C1" s="1775" t="s">
        <v>2616</v>
      </c>
      <c r="D1" s="1479" t="s">
        <v>2617</v>
      </c>
      <c r="E1" s="1936"/>
      <c r="F1" s="1777" t="s">
        <v>1714</v>
      </c>
      <c r="G1" s="1777" t="s">
        <v>4556</v>
      </c>
      <c r="H1" s="1777" t="s">
        <v>4880</v>
      </c>
      <c r="I1" s="1777" t="s">
        <v>4881</v>
      </c>
    </row>
    <row r="2" spans="1:10" s="1777" customFormat="1" ht="21.75" hidden="1" customHeight="1">
      <c r="A2" s="1775"/>
      <c r="B2" s="1776">
        <v>2</v>
      </c>
      <c r="C2" s="1775">
        <v>3</v>
      </c>
      <c r="D2" s="1479">
        <v>4</v>
      </c>
      <c r="E2" s="1936"/>
      <c r="F2" s="1777">
        <v>3000</v>
      </c>
    </row>
    <row r="3" spans="1:10" hidden="1">
      <c r="A3" s="79" t="s">
        <v>230</v>
      </c>
      <c r="B3" s="84" t="s">
        <v>1752</v>
      </c>
      <c r="C3" s="79" t="s">
        <v>2618</v>
      </c>
      <c r="D3" s="80" t="s">
        <v>2566</v>
      </c>
      <c r="E3" s="2275" t="str">
        <f>LEFT(A3,2)</f>
        <v>D1</v>
      </c>
      <c r="F3" s="55">
        <v>50</v>
      </c>
      <c r="G3" s="55" t="s">
        <v>512</v>
      </c>
      <c r="J3" s="55" t="str">
        <f>A3</f>
        <v>D12</v>
      </c>
    </row>
    <row r="4" spans="1:10" hidden="1">
      <c r="A4" s="79" t="s">
        <v>231</v>
      </c>
      <c r="B4" s="84" t="s">
        <v>220</v>
      </c>
      <c r="C4" s="79" t="s">
        <v>2619</v>
      </c>
      <c r="D4" s="80" t="s">
        <v>2566</v>
      </c>
      <c r="E4" s="2275" t="str">
        <f t="shared" ref="E4:E69" si="0">LEFT(A4,2)</f>
        <v>D1</v>
      </c>
      <c r="F4" s="55">
        <v>50</v>
      </c>
      <c r="G4" s="55" t="s">
        <v>512</v>
      </c>
      <c r="J4" s="55" t="str">
        <f t="shared" ref="J4:J67" si="1">A4</f>
        <v>D15</v>
      </c>
    </row>
    <row r="5" spans="1:10" hidden="1">
      <c r="A5" s="79" t="s">
        <v>163</v>
      </c>
      <c r="B5" s="84" t="s">
        <v>1563</v>
      </c>
      <c r="C5" s="79" t="s">
        <v>2620</v>
      </c>
      <c r="D5" s="80" t="s">
        <v>2566</v>
      </c>
      <c r="E5" s="2275" t="str">
        <f t="shared" si="0"/>
        <v>D2</v>
      </c>
      <c r="F5" s="55">
        <v>50</v>
      </c>
      <c r="G5" s="55" t="s">
        <v>512</v>
      </c>
      <c r="J5" s="55" t="str">
        <f t="shared" si="1"/>
        <v>D20</v>
      </c>
    </row>
    <row r="6" spans="1:10" hidden="1">
      <c r="A6" s="79" t="s">
        <v>1853</v>
      </c>
      <c r="B6" s="84" t="s">
        <v>1563</v>
      </c>
      <c r="C6" s="79" t="s">
        <v>2621</v>
      </c>
      <c r="D6" s="80" t="s">
        <v>2566</v>
      </c>
      <c r="E6" s="2275" t="str">
        <f t="shared" si="0"/>
        <v>D2</v>
      </c>
      <c r="F6" s="55">
        <v>50</v>
      </c>
      <c r="G6" s="55" t="s">
        <v>512</v>
      </c>
      <c r="J6" s="55" t="str">
        <f t="shared" si="1"/>
        <v>D25</v>
      </c>
    </row>
    <row r="7" spans="1:10" hidden="1">
      <c r="A7" s="79" t="s">
        <v>1263</v>
      </c>
      <c r="B7" s="84" t="s">
        <v>220</v>
      </c>
      <c r="C7" s="79" t="s">
        <v>2622</v>
      </c>
      <c r="D7" s="80" t="s">
        <v>2566</v>
      </c>
      <c r="E7" s="2275" t="str">
        <f t="shared" si="0"/>
        <v>DN</v>
      </c>
      <c r="F7" s="55">
        <v>50</v>
      </c>
      <c r="G7" s="55" t="s">
        <v>512</v>
      </c>
      <c r="J7" s="55" t="str">
        <f t="shared" si="1"/>
        <v>DN0212</v>
      </c>
    </row>
    <row r="8" spans="1:10" hidden="1">
      <c r="A8" s="79" t="s">
        <v>342</v>
      </c>
      <c r="B8" s="84" t="s">
        <v>220</v>
      </c>
      <c r="C8" s="79" t="s">
        <v>2623</v>
      </c>
      <c r="D8" s="80" t="s">
        <v>2566</v>
      </c>
      <c r="E8" s="2275" t="str">
        <f t="shared" si="0"/>
        <v>DN</v>
      </c>
      <c r="F8" s="55">
        <v>50</v>
      </c>
      <c r="G8" s="55" t="s">
        <v>512</v>
      </c>
      <c r="J8" s="55" t="str">
        <f t="shared" si="1"/>
        <v>DN0412</v>
      </c>
    </row>
    <row r="9" spans="1:10" hidden="1">
      <c r="A9" s="79" t="s">
        <v>2138</v>
      </c>
      <c r="B9" s="84" t="s">
        <v>1563</v>
      </c>
      <c r="C9" s="79" t="s">
        <v>2624</v>
      </c>
      <c r="D9" s="80" t="s">
        <v>2566</v>
      </c>
      <c r="E9" s="2275" t="str">
        <f t="shared" si="0"/>
        <v>DN</v>
      </c>
      <c r="F9" s="55">
        <v>50</v>
      </c>
      <c r="G9" s="55" t="s">
        <v>512</v>
      </c>
      <c r="J9" s="55" t="str">
        <f t="shared" si="1"/>
        <v>DN0415</v>
      </c>
    </row>
    <row r="10" spans="1:10" hidden="1">
      <c r="A10" s="79" t="s">
        <v>2139</v>
      </c>
      <c r="B10" s="84" t="s">
        <v>1563</v>
      </c>
      <c r="C10" s="79" t="s">
        <v>2625</v>
      </c>
      <c r="D10" s="80" t="s">
        <v>2566</v>
      </c>
      <c r="E10" s="2275" t="str">
        <f t="shared" si="0"/>
        <v>DN</v>
      </c>
      <c r="F10" s="55">
        <v>50</v>
      </c>
      <c r="G10" s="55" t="s">
        <v>512</v>
      </c>
      <c r="J10" s="55" t="str">
        <f t="shared" si="1"/>
        <v>DN0615</v>
      </c>
    </row>
    <row r="11" spans="1:10" hidden="1">
      <c r="A11" s="79" t="s">
        <v>1737</v>
      </c>
      <c r="B11" s="84" t="s">
        <v>1563</v>
      </c>
      <c r="C11" s="79" t="s">
        <v>2626</v>
      </c>
      <c r="D11" s="80" t="s">
        <v>2566</v>
      </c>
      <c r="E11" s="2275" t="str">
        <f t="shared" si="0"/>
        <v>DN</v>
      </c>
      <c r="F11" s="55">
        <v>50</v>
      </c>
      <c r="G11" s="55" t="s">
        <v>512</v>
      </c>
      <c r="J11" s="55" t="str">
        <f t="shared" si="1"/>
        <v>DN0618</v>
      </c>
    </row>
    <row r="12" spans="1:10" hidden="1">
      <c r="A12" s="79" t="s">
        <v>1079</v>
      </c>
      <c r="B12" s="84" t="s">
        <v>1563</v>
      </c>
      <c r="C12" s="79" t="s">
        <v>2627</v>
      </c>
      <c r="D12" s="80" t="s">
        <v>2566</v>
      </c>
      <c r="E12" s="2275" t="str">
        <f t="shared" si="0"/>
        <v>DN</v>
      </c>
      <c r="F12" s="55">
        <v>50</v>
      </c>
      <c r="G12" s="55" t="s">
        <v>512</v>
      </c>
      <c r="J12" s="55" t="str">
        <f t="shared" si="1"/>
        <v>DN1500</v>
      </c>
    </row>
    <row r="13" spans="1:10" hidden="1">
      <c r="A13" s="79" t="s">
        <v>1078</v>
      </c>
      <c r="B13" s="84" t="s">
        <v>220</v>
      </c>
      <c r="C13" s="79" t="s">
        <v>2628</v>
      </c>
      <c r="D13" s="80" t="s">
        <v>2566</v>
      </c>
      <c r="E13" s="2275" t="str">
        <f t="shared" si="0"/>
        <v>DN</v>
      </c>
      <c r="F13" s="55">
        <v>50</v>
      </c>
      <c r="G13" s="55" t="s">
        <v>512</v>
      </c>
      <c r="J13" s="55" t="str">
        <f t="shared" si="1"/>
        <v>DN1200</v>
      </c>
    </row>
    <row r="14" spans="1:10" hidden="1">
      <c r="A14" s="79" t="s">
        <v>1004</v>
      </c>
      <c r="B14" s="1779"/>
      <c r="C14" s="79" t="s">
        <v>2629</v>
      </c>
      <c r="D14" s="80" t="s">
        <v>2566</v>
      </c>
      <c r="E14" s="2275" t="str">
        <f t="shared" si="0"/>
        <v>BN</v>
      </c>
      <c r="F14" s="55">
        <v>50</v>
      </c>
      <c r="G14" s="55" t="s">
        <v>512</v>
      </c>
      <c r="J14" s="55" t="str">
        <f t="shared" si="1"/>
        <v>BNH</v>
      </c>
    </row>
    <row r="15" spans="1:10" hidden="1">
      <c r="A15" s="79" t="s">
        <v>378</v>
      </c>
      <c r="B15" s="1779"/>
      <c r="C15" s="79" t="s">
        <v>2630</v>
      </c>
      <c r="D15" s="80" t="s">
        <v>2566</v>
      </c>
      <c r="E15" s="2275" t="str">
        <f t="shared" si="0"/>
        <v>BB</v>
      </c>
      <c r="F15" s="55">
        <v>50</v>
      </c>
      <c r="G15" s="55" t="s">
        <v>512</v>
      </c>
      <c r="J15" s="55" t="str">
        <f t="shared" si="1"/>
        <v>BBD</v>
      </c>
    </row>
    <row r="16" spans="1:10" hidden="1">
      <c r="A16" s="79" t="s">
        <v>2179</v>
      </c>
      <c r="B16" s="1779"/>
      <c r="C16" s="79" t="s">
        <v>2631</v>
      </c>
      <c r="D16" s="80" t="s">
        <v>2448</v>
      </c>
      <c r="E16" s="2275" t="str">
        <f t="shared" si="0"/>
        <v>B4</v>
      </c>
      <c r="F16" s="55">
        <v>50</v>
      </c>
      <c r="G16" s="55" t="s">
        <v>512</v>
      </c>
      <c r="J16" s="55" t="str">
        <f t="shared" si="1"/>
        <v>B460</v>
      </c>
    </row>
    <row r="17" spans="1:10" hidden="1">
      <c r="A17" s="79" t="s">
        <v>792</v>
      </c>
      <c r="B17" s="1779"/>
      <c r="C17" s="79" t="s">
        <v>2632</v>
      </c>
      <c r="D17" s="80" t="s">
        <v>2448</v>
      </c>
      <c r="E17" s="2275" t="str">
        <f t="shared" si="0"/>
        <v>B6</v>
      </c>
      <c r="F17" s="55">
        <v>50</v>
      </c>
      <c r="G17" s="55" t="s">
        <v>512</v>
      </c>
      <c r="J17" s="55" t="str">
        <f t="shared" si="1"/>
        <v>B630</v>
      </c>
    </row>
    <row r="18" spans="1:10" hidden="1">
      <c r="A18" s="79" t="s">
        <v>745</v>
      </c>
      <c r="B18" s="1779"/>
      <c r="C18" s="79" t="s">
        <v>2633</v>
      </c>
      <c r="D18" s="80" t="s">
        <v>2448</v>
      </c>
      <c r="E18" s="2275" t="str">
        <f t="shared" si="0"/>
        <v>B1</v>
      </c>
      <c r="F18" s="55">
        <v>50</v>
      </c>
      <c r="G18" s="55" t="s">
        <v>512</v>
      </c>
      <c r="J18" s="55" t="str">
        <f t="shared" si="1"/>
        <v>B1030TH</v>
      </c>
    </row>
    <row r="19" spans="1:10" hidden="1">
      <c r="A19" s="79" t="s">
        <v>1803</v>
      </c>
      <c r="B19" s="1779"/>
      <c r="C19" s="79" t="s">
        <v>2634</v>
      </c>
      <c r="D19" s="80" t="s">
        <v>2448</v>
      </c>
      <c r="E19" s="2275" t="str">
        <f t="shared" si="0"/>
        <v>B1</v>
      </c>
      <c r="F19" s="55">
        <v>50</v>
      </c>
      <c r="G19" s="55" t="s">
        <v>512</v>
      </c>
      <c r="J19" s="55" t="str">
        <f t="shared" si="1"/>
        <v>B1040</v>
      </c>
    </row>
    <row r="20" spans="1:10" hidden="1">
      <c r="A20" s="79" t="s">
        <v>671</v>
      </c>
      <c r="B20" s="1779"/>
      <c r="C20" s="79" t="s">
        <v>2635</v>
      </c>
      <c r="D20" s="80" t="s">
        <v>2448</v>
      </c>
      <c r="E20" s="2275" t="str">
        <f t="shared" si="0"/>
        <v>B1</v>
      </c>
      <c r="F20" s="55">
        <v>50</v>
      </c>
      <c r="G20" s="55" t="s">
        <v>512</v>
      </c>
      <c r="J20" s="55" t="str">
        <f t="shared" si="1"/>
        <v>B1050</v>
      </c>
    </row>
    <row r="21" spans="1:10" hidden="1">
      <c r="A21" s="79" t="s">
        <v>468</v>
      </c>
      <c r="B21" s="1779"/>
      <c r="C21" s="79" t="s">
        <v>2636</v>
      </c>
      <c r="D21" s="80" t="s">
        <v>2448</v>
      </c>
      <c r="E21" s="2275" t="str">
        <f t="shared" si="0"/>
        <v>B1</v>
      </c>
      <c r="F21" s="55">
        <v>50</v>
      </c>
      <c r="G21" s="55" t="s">
        <v>512</v>
      </c>
      <c r="J21" s="55" t="str">
        <f t="shared" si="1"/>
        <v>B10250</v>
      </c>
    </row>
    <row r="22" spans="1:10" hidden="1">
      <c r="A22" s="79" t="s">
        <v>437</v>
      </c>
      <c r="B22" s="1779"/>
      <c r="C22" s="79" t="s">
        <v>2637</v>
      </c>
      <c r="D22" s="80" t="s">
        <v>2448</v>
      </c>
      <c r="E22" s="2275" t="str">
        <f t="shared" si="0"/>
        <v>B1</v>
      </c>
      <c r="F22" s="55">
        <v>50</v>
      </c>
      <c r="G22" s="55" t="s">
        <v>512</v>
      </c>
      <c r="J22" s="55" t="str">
        <f t="shared" si="1"/>
        <v>B1230</v>
      </c>
    </row>
    <row r="23" spans="1:10" hidden="1">
      <c r="A23" s="79" t="s">
        <v>138</v>
      </c>
      <c r="B23" s="1779"/>
      <c r="C23" s="79" t="s">
        <v>2638</v>
      </c>
      <c r="D23" s="80" t="s">
        <v>2448</v>
      </c>
      <c r="E23" s="2275" t="str">
        <f t="shared" si="0"/>
        <v>B1</v>
      </c>
      <c r="F23" s="55">
        <v>50</v>
      </c>
      <c r="G23" s="55" t="s">
        <v>512</v>
      </c>
      <c r="J23" s="55" t="str">
        <f t="shared" si="1"/>
        <v>B1240</v>
      </c>
    </row>
    <row r="24" spans="1:10" hidden="1">
      <c r="A24" s="79" t="s">
        <v>703</v>
      </c>
      <c r="B24" s="1779"/>
      <c r="C24" s="79" t="s">
        <v>2639</v>
      </c>
      <c r="D24" s="80" t="s">
        <v>2448</v>
      </c>
      <c r="E24" s="2275" t="str">
        <f t="shared" si="0"/>
        <v>B1</v>
      </c>
      <c r="F24" s="55">
        <v>50</v>
      </c>
      <c r="G24" s="55" t="s">
        <v>512</v>
      </c>
      <c r="J24" s="55" t="str">
        <f t="shared" si="1"/>
        <v>B1250</v>
      </c>
    </row>
    <row r="25" spans="1:10" hidden="1">
      <c r="A25" s="79" t="s">
        <v>1991</v>
      </c>
      <c r="B25" s="1779"/>
      <c r="C25" s="79" t="s">
        <v>2640</v>
      </c>
      <c r="D25" s="80" t="s">
        <v>2448</v>
      </c>
      <c r="E25" s="2275" t="str">
        <f t="shared" si="0"/>
        <v>B1</v>
      </c>
      <c r="F25" s="55">
        <v>50</v>
      </c>
      <c r="G25" s="55" t="s">
        <v>512</v>
      </c>
      <c r="J25" s="55" t="str">
        <f t="shared" si="1"/>
        <v>B1260</v>
      </c>
    </row>
    <row r="26" spans="1:10" hidden="1">
      <c r="A26" s="79" t="s">
        <v>1169</v>
      </c>
      <c r="B26" s="1779"/>
      <c r="C26" s="79" t="s">
        <v>2641</v>
      </c>
      <c r="D26" s="80" t="s">
        <v>2448</v>
      </c>
      <c r="E26" s="2275" t="str">
        <f t="shared" si="0"/>
        <v>B1</v>
      </c>
      <c r="F26" s="55">
        <v>50</v>
      </c>
      <c r="G26" s="55" t="s">
        <v>512</v>
      </c>
      <c r="J26" s="55" t="str">
        <f t="shared" si="1"/>
        <v>B1280</v>
      </c>
    </row>
    <row r="27" spans="1:10" hidden="1">
      <c r="A27" s="79" t="s">
        <v>2278</v>
      </c>
      <c r="B27" s="1779"/>
      <c r="C27" s="79" t="s">
        <v>2642</v>
      </c>
      <c r="D27" s="80" t="s">
        <v>2448</v>
      </c>
      <c r="E27" s="2275" t="str">
        <f t="shared" si="0"/>
        <v>B1</v>
      </c>
      <c r="F27" s="55">
        <v>50</v>
      </c>
      <c r="G27" s="55" t="s">
        <v>512</v>
      </c>
      <c r="J27" s="55" t="str">
        <f t="shared" si="1"/>
        <v>B12100</v>
      </c>
    </row>
    <row r="28" spans="1:10" hidden="1">
      <c r="A28" s="79" t="s">
        <v>1248</v>
      </c>
      <c r="B28" s="1779"/>
      <c r="C28" s="79" t="s">
        <v>2643</v>
      </c>
      <c r="D28" s="80" t="s">
        <v>2448</v>
      </c>
      <c r="E28" s="2275" t="str">
        <f t="shared" si="0"/>
        <v>B1</v>
      </c>
      <c r="F28" s="55">
        <v>50</v>
      </c>
      <c r="G28" s="55" t="s">
        <v>512</v>
      </c>
      <c r="J28" s="55" t="str">
        <f t="shared" si="1"/>
        <v>B12150</v>
      </c>
    </row>
    <row r="29" spans="1:10" hidden="1">
      <c r="A29" s="79" t="s">
        <v>2181</v>
      </c>
      <c r="B29" s="1779"/>
      <c r="C29" s="79" t="s">
        <v>2644</v>
      </c>
      <c r="D29" s="80" t="s">
        <v>2448</v>
      </c>
      <c r="E29" s="2275" t="str">
        <f t="shared" si="0"/>
        <v>B1</v>
      </c>
      <c r="F29" s="55">
        <v>50</v>
      </c>
      <c r="G29" s="55" t="s">
        <v>512</v>
      </c>
      <c r="J29" s="55" t="str">
        <f t="shared" si="1"/>
        <v>B12200</v>
      </c>
    </row>
    <row r="30" spans="1:10" hidden="1">
      <c r="A30" s="79" t="s">
        <v>498</v>
      </c>
      <c r="B30" s="1779"/>
      <c r="C30" s="79" t="s">
        <v>2645</v>
      </c>
      <c r="D30" s="80" t="s">
        <v>2448</v>
      </c>
      <c r="E30" s="2275" t="str">
        <f t="shared" si="0"/>
        <v>B1</v>
      </c>
      <c r="F30" s="55">
        <v>50</v>
      </c>
      <c r="G30" s="55" t="s">
        <v>512</v>
      </c>
      <c r="J30" s="55" t="str">
        <f t="shared" si="1"/>
        <v>B1230TH</v>
      </c>
    </row>
    <row r="31" spans="1:10" hidden="1">
      <c r="A31" s="79" t="s">
        <v>499</v>
      </c>
      <c r="B31" s="1779"/>
      <c r="C31" s="79" t="s">
        <v>2646</v>
      </c>
      <c r="D31" s="80" t="s">
        <v>2448</v>
      </c>
      <c r="E31" s="2275" t="str">
        <f t="shared" si="0"/>
        <v>B1</v>
      </c>
      <c r="F31" s="55">
        <v>50</v>
      </c>
      <c r="G31" s="55" t="s">
        <v>512</v>
      </c>
      <c r="J31" s="55" t="str">
        <f t="shared" si="1"/>
        <v>B1240TH</v>
      </c>
    </row>
    <row r="32" spans="1:10" hidden="1">
      <c r="A32" s="79" t="s">
        <v>918</v>
      </c>
      <c r="B32" s="1779"/>
      <c r="C32" s="79" t="s">
        <v>2647</v>
      </c>
      <c r="D32" s="80" t="s">
        <v>2448</v>
      </c>
      <c r="E32" s="2275" t="str">
        <f t="shared" si="0"/>
        <v>B1</v>
      </c>
      <c r="F32" s="55">
        <v>50</v>
      </c>
      <c r="G32" s="55" t="s">
        <v>512</v>
      </c>
      <c r="J32" s="55" t="str">
        <f t="shared" si="1"/>
        <v>B1250TH</v>
      </c>
    </row>
    <row r="33" spans="1:10" hidden="1">
      <c r="A33" s="79" t="s">
        <v>4549</v>
      </c>
      <c r="B33" s="1779"/>
      <c r="C33" s="79" t="s">
        <v>4550</v>
      </c>
      <c r="D33" s="80" t="s">
        <v>2448</v>
      </c>
      <c r="E33" s="2275" t="str">
        <f t="shared" ref="E33" si="2">LEFT(A33,2)</f>
        <v>B1</v>
      </c>
      <c r="F33" s="55">
        <v>50</v>
      </c>
      <c r="G33" s="55" t="s">
        <v>512</v>
      </c>
      <c r="J33" s="55" t="str">
        <f t="shared" si="1"/>
        <v>B14100</v>
      </c>
    </row>
    <row r="34" spans="1:10" hidden="1">
      <c r="A34" s="79" t="s">
        <v>4363</v>
      </c>
      <c r="B34" s="1779"/>
      <c r="C34" s="79" t="s">
        <v>4364</v>
      </c>
      <c r="D34" s="80" t="s">
        <v>2448</v>
      </c>
      <c r="E34" s="2275" t="str">
        <f t="shared" si="0"/>
        <v>B1</v>
      </c>
      <c r="F34" s="55">
        <v>50</v>
      </c>
      <c r="G34" s="55" t="s">
        <v>512</v>
      </c>
      <c r="J34" s="55" t="str">
        <f t="shared" si="1"/>
        <v>B14150</v>
      </c>
    </row>
    <row r="35" spans="1:10" hidden="1">
      <c r="A35" s="79" t="s">
        <v>1791</v>
      </c>
      <c r="B35" s="1779"/>
      <c r="C35" s="79" t="s">
        <v>2648</v>
      </c>
      <c r="D35" s="80" t="s">
        <v>2448</v>
      </c>
      <c r="E35" s="2275" t="str">
        <f t="shared" si="0"/>
        <v>B1</v>
      </c>
      <c r="F35" s="55">
        <v>50</v>
      </c>
      <c r="G35" s="55" t="s">
        <v>512</v>
      </c>
      <c r="J35" s="55" t="str">
        <f t="shared" si="1"/>
        <v>B1635</v>
      </c>
    </row>
    <row r="36" spans="1:10" hidden="1">
      <c r="A36" s="79" t="s">
        <v>2157</v>
      </c>
      <c r="B36" s="1779"/>
      <c r="C36" s="79" t="s">
        <v>2649</v>
      </c>
      <c r="D36" s="80" t="s">
        <v>2448</v>
      </c>
      <c r="E36" s="2275" t="str">
        <f t="shared" si="0"/>
        <v>B1</v>
      </c>
      <c r="F36" s="55">
        <v>50</v>
      </c>
      <c r="G36" s="55" t="s">
        <v>512</v>
      </c>
      <c r="J36" s="55" t="str">
        <f t="shared" si="1"/>
        <v>B1640</v>
      </c>
    </row>
    <row r="37" spans="1:10" hidden="1">
      <c r="A37" s="1780" t="s">
        <v>1792</v>
      </c>
      <c r="B37" s="84"/>
      <c r="C37" s="79" t="s">
        <v>2650</v>
      </c>
      <c r="D37" s="80" t="s">
        <v>2448</v>
      </c>
      <c r="E37" s="2275" t="str">
        <f t="shared" si="0"/>
        <v>B1</v>
      </c>
      <c r="F37" s="55">
        <v>50</v>
      </c>
      <c r="G37" s="55" t="s">
        <v>512</v>
      </c>
      <c r="J37" s="55" t="str">
        <f t="shared" si="1"/>
        <v>B1650</v>
      </c>
    </row>
    <row r="38" spans="1:10" hidden="1">
      <c r="A38" s="1780" t="s">
        <v>804</v>
      </c>
      <c r="B38" s="84"/>
      <c r="C38" s="79" t="s">
        <v>2651</v>
      </c>
      <c r="D38" s="80" t="s">
        <v>2448</v>
      </c>
      <c r="E38" s="2275" t="str">
        <f t="shared" si="0"/>
        <v>B1</v>
      </c>
      <c r="F38" s="55">
        <v>50</v>
      </c>
      <c r="G38" s="55" t="s">
        <v>512</v>
      </c>
      <c r="J38" s="55" t="str">
        <f t="shared" si="1"/>
        <v>B16100</v>
      </c>
    </row>
    <row r="39" spans="1:10" hidden="1">
      <c r="A39" s="1780" t="s">
        <v>244</v>
      </c>
      <c r="B39" s="84"/>
      <c r="C39" s="79" t="s">
        <v>2652</v>
      </c>
      <c r="D39" s="80" t="s">
        <v>2448</v>
      </c>
      <c r="E39" s="2275" t="str">
        <f t="shared" si="0"/>
        <v>B1</v>
      </c>
      <c r="F39" s="55">
        <v>50</v>
      </c>
      <c r="G39" s="55" t="s">
        <v>512</v>
      </c>
      <c r="J39" s="55" t="str">
        <f t="shared" si="1"/>
        <v>B16150</v>
      </c>
    </row>
    <row r="40" spans="1:10" hidden="1">
      <c r="A40" s="1780" t="s">
        <v>137</v>
      </c>
      <c r="B40" s="84"/>
      <c r="C40" s="79" t="s">
        <v>2653</v>
      </c>
      <c r="D40" s="80" t="s">
        <v>2448</v>
      </c>
      <c r="E40" s="2275" t="str">
        <f t="shared" si="0"/>
        <v>B1</v>
      </c>
      <c r="F40" s="55">
        <v>50</v>
      </c>
      <c r="G40" s="55" t="s">
        <v>512</v>
      </c>
      <c r="J40" s="55" t="str">
        <f t="shared" si="1"/>
        <v>B16200</v>
      </c>
    </row>
    <row r="41" spans="1:10" hidden="1">
      <c r="A41" s="79" t="s">
        <v>1899</v>
      </c>
      <c r="B41" s="1779"/>
      <c r="C41" s="79" t="s">
        <v>2654</v>
      </c>
      <c r="D41" s="80" t="s">
        <v>2448</v>
      </c>
      <c r="E41" s="2275" t="str">
        <f t="shared" si="0"/>
        <v>B1</v>
      </c>
      <c r="F41" s="55">
        <v>50</v>
      </c>
      <c r="G41" s="55" t="s">
        <v>512</v>
      </c>
      <c r="J41" s="55" t="str">
        <f t="shared" si="1"/>
        <v>B16230</v>
      </c>
    </row>
    <row r="42" spans="1:10" hidden="1">
      <c r="A42" s="1780" t="s">
        <v>1900</v>
      </c>
      <c r="B42" s="84"/>
      <c r="C42" s="79" t="s">
        <v>2655</v>
      </c>
      <c r="D42" s="80" t="s">
        <v>2448</v>
      </c>
      <c r="E42" s="2275" t="str">
        <f t="shared" si="0"/>
        <v>B1</v>
      </c>
      <c r="F42" s="55">
        <v>50</v>
      </c>
      <c r="G42" s="55" t="s">
        <v>512</v>
      </c>
      <c r="J42" s="55" t="str">
        <f t="shared" si="1"/>
        <v>B16240</v>
      </c>
    </row>
    <row r="43" spans="1:10" hidden="1">
      <c r="A43" s="79" t="s">
        <v>1614</v>
      </c>
      <c r="B43" s="1779"/>
      <c r="C43" s="79" t="s">
        <v>2656</v>
      </c>
      <c r="D43" s="80" t="s">
        <v>2448</v>
      </c>
      <c r="E43" s="2275" t="str">
        <f t="shared" si="0"/>
        <v>B1</v>
      </c>
      <c r="F43" s="55">
        <v>50</v>
      </c>
      <c r="G43" s="55" t="s">
        <v>512</v>
      </c>
      <c r="J43" s="55" t="str">
        <f t="shared" si="1"/>
        <v>B16250</v>
      </c>
    </row>
    <row r="44" spans="1:10" hidden="1">
      <c r="A44" s="79" t="s">
        <v>321</v>
      </c>
      <c r="B44" s="1779"/>
      <c r="C44" s="79" t="s">
        <v>2657</v>
      </c>
      <c r="D44" s="80" t="s">
        <v>2448</v>
      </c>
      <c r="E44" s="2275" t="str">
        <f t="shared" si="0"/>
        <v>B1</v>
      </c>
      <c r="F44" s="55">
        <v>50</v>
      </c>
      <c r="G44" s="55" t="s">
        <v>512</v>
      </c>
      <c r="J44" s="55" t="str">
        <f t="shared" si="1"/>
        <v>B16260</v>
      </c>
    </row>
    <row r="45" spans="1:10" hidden="1">
      <c r="A45" s="79" t="s">
        <v>340</v>
      </c>
      <c r="B45" s="1779"/>
      <c r="C45" s="79" t="s">
        <v>2658</v>
      </c>
      <c r="D45" s="80" t="s">
        <v>2448</v>
      </c>
      <c r="E45" s="2275" t="str">
        <f t="shared" si="0"/>
        <v>B1</v>
      </c>
      <c r="F45" s="55">
        <v>50</v>
      </c>
      <c r="G45" s="55" t="s">
        <v>512</v>
      </c>
      <c r="J45" s="55" t="str">
        <f t="shared" si="1"/>
        <v>B16270</v>
      </c>
    </row>
    <row r="46" spans="1:10" hidden="1">
      <c r="A46" s="1780" t="s">
        <v>322</v>
      </c>
      <c r="B46" s="84"/>
      <c r="C46" s="79" t="s">
        <v>2659</v>
      </c>
      <c r="D46" s="80" t="s">
        <v>2448</v>
      </c>
      <c r="E46" s="2275" t="str">
        <f t="shared" si="0"/>
        <v>B1</v>
      </c>
      <c r="F46" s="55">
        <v>50</v>
      </c>
      <c r="G46" s="55" t="s">
        <v>512</v>
      </c>
      <c r="J46" s="55" t="str">
        <f t="shared" si="1"/>
        <v>B16280</v>
      </c>
    </row>
    <row r="47" spans="1:10" hidden="1">
      <c r="A47" s="79" t="s">
        <v>1615</v>
      </c>
      <c r="B47" s="1779"/>
      <c r="C47" s="79" t="s">
        <v>2660</v>
      </c>
      <c r="D47" s="80" t="s">
        <v>2448</v>
      </c>
      <c r="E47" s="2275" t="str">
        <f t="shared" si="0"/>
        <v>B1</v>
      </c>
      <c r="F47" s="55">
        <v>50</v>
      </c>
      <c r="G47" s="55" t="s">
        <v>512</v>
      </c>
      <c r="J47" s="55" t="str">
        <f t="shared" si="1"/>
        <v>B16300</v>
      </c>
    </row>
    <row r="48" spans="1:10" hidden="1">
      <c r="A48" s="1780" t="s">
        <v>701</v>
      </c>
      <c r="B48" s="84"/>
      <c r="C48" s="79" t="s">
        <v>2661</v>
      </c>
      <c r="D48" s="80" t="s">
        <v>2448</v>
      </c>
      <c r="E48" s="2275" t="str">
        <f t="shared" si="0"/>
        <v>B1</v>
      </c>
      <c r="F48" s="55">
        <v>50</v>
      </c>
      <c r="G48" s="55" t="s">
        <v>512</v>
      </c>
      <c r="J48" s="55" t="str">
        <f t="shared" si="1"/>
        <v>B16320</v>
      </c>
    </row>
    <row r="49" spans="1:10" hidden="1">
      <c r="A49" s="1780" t="s">
        <v>1081</v>
      </c>
      <c r="B49" s="84"/>
      <c r="C49" s="79" t="s">
        <v>2662</v>
      </c>
      <c r="D49" s="80" t="s">
        <v>2448</v>
      </c>
      <c r="E49" s="2275" t="str">
        <f t="shared" si="0"/>
        <v>B1</v>
      </c>
      <c r="F49" s="55">
        <v>50</v>
      </c>
      <c r="G49" s="55" t="s">
        <v>512</v>
      </c>
      <c r="J49" s="55" t="str">
        <f t="shared" si="1"/>
        <v>B16350</v>
      </c>
    </row>
    <row r="50" spans="1:10" hidden="1">
      <c r="A50" s="1780" t="s">
        <v>1085</v>
      </c>
      <c r="B50" s="84"/>
      <c r="C50" s="79" t="s">
        <v>2663</v>
      </c>
      <c r="D50" s="80" t="s">
        <v>2448</v>
      </c>
      <c r="E50" s="2275" t="str">
        <f t="shared" si="0"/>
        <v>B1</v>
      </c>
      <c r="F50" s="55">
        <v>50</v>
      </c>
      <c r="G50" s="55" t="s">
        <v>512</v>
      </c>
      <c r="J50" s="55" t="str">
        <f t="shared" si="1"/>
        <v>B16400</v>
      </c>
    </row>
    <row r="51" spans="1:10" hidden="1">
      <c r="A51" s="1780" t="s">
        <v>323</v>
      </c>
      <c r="B51" s="84"/>
      <c r="C51" s="79" t="s">
        <v>2664</v>
      </c>
      <c r="D51" s="80" t="s">
        <v>2448</v>
      </c>
      <c r="E51" s="2275" t="str">
        <f t="shared" si="0"/>
        <v>B1</v>
      </c>
      <c r="F51" s="55">
        <v>50</v>
      </c>
      <c r="G51" s="55" t="s">
        <v>512</v>
      </c>
      <c r="J51" s="55" t="str">
        <f t="shared" si="1"/>
        <v>B16450</v>
      </c>
    </row>
    <row r="52" spans="1:10" hidden="1">
      <c r="A52" s="1780" t="s">
        <v>1544</v>
      </c>
      <c r="B52" s="84"/>
      <c r="C52" s="79" t="s">
        <v>2665</v>
      </c>
      <c r="D52" s="80" t="s">
        <v>2448</v>
      </c>
      <c r="E52" s="2275" t="str">
        <f t="shared" si="0"/>
        <v>B1</v>
      </c>
      <c r="F52" s="55">
        <v>50</v>
      </c>
      <c r="G52" s="55" t="s">
        <v>512</v>
      </c>
      <c r="J52" s="55" t="str">
        <f t="shared" si="1"/>
        <v>B16500</v>
      </c>
    </row>
    <row r="53" spans="1:10" hidden="1">
      <c r="A53" s="1780" t="s">
        <v>1788</v>
      </c>
      <c r="B53" s="84"/>
      <c r="C53" s="79" t="s">
        <v>2666</v>
      </c>
      <c r="D53" s="80" t="s">
        <v>2448</v>
      </c>
      <c r="E53" s="2275" t="str">
        <f t="shared" si="0"/>
        <v>B1</v>
      </c>
      <c r="F53" s="55">
        <v>50</v>
      </c>
      <c r="G53" s="55" t="s">
        <v>512</v>
      </c>
      <c r="J53" s="55" t="str">
        <f t="shared" si="1"/>
        <v>B16600</v>
      </c>
    </row>
    <row r="54" spans="1:10" hidden="1">
      <c r="A54" s="79" t="s">
        <v>1898</v>
      </c>
      <c r="B54" s="1779"/>
      <c r="C54" s="79" t="s">
        <v>2667</v>
      </c>
      <c r="D54" s="80" t="s">
        <v>2448</v>
      </c>
      <c r="E54" s="2275" t="str">
        <f t="shared" si="0"/>
        <v>B1</v>
      </c>
      <c r="F54" s="55">
        <v>50</v>
      </c>
      <c r="G54" s="55" t="s">
        <v>512</v>
      </c>
      <c r="J54" s="55" t="str">
        <f t="shared" si="1"/>
        <v>B1680V</v>
      </c>
    </row>
    <row r="55" spans="1:10" hidden="1">
      <c r="A55" s="1780" t="s">
        <v>1897</v>
      </c>
      <c r="B55" s="84"/>
      <c r="C55" s="79" t="s">
        <v>2668</v>
      </c>
      <c r="D55" s="80" t="s">
        <v>2448</v>
      </c>
      <c r="E55" s="2275" t="str">
        <f t="shared" si="0"/>
        <v>B1</v>
      </c>
      <c r="F55" s="55">
        <v>50</v>
      </c>
      <c r="G55" s="55" t="s">
        <v>512</v>
      </c>
      <c r="J55" s="55" t="str">
        <f t="shared" si="1"/>
        <v>B16100V</v>
      </c>
    </row>
    <row r="56" spans="1:10" hidden="1">
      <c r="A56" s="79" t="s">
        <v>1789</v>
      </c>
      <c r="B56" s="1779"/>
      <c r="C56" s="79" t="s">
        <v>2669</v>
      </c>
      <c r="D56" s="80" t="s">
        <v>2448</v>
      </c>
      <c r="E56" s="2275" t="str">
        <f t="shared" si="0"/>
        <v>B1</v>
      </c>
      <c r="F56" s="55">
        <v>50</v>
      </c>
      <c r="G56" s="55" t="s">
        <v>512</v>
      </c>
      <c r="J56" s="55" t="str">
        <f t="shared" si="1"/>
        <v>B16200V</v>
      </c>
    </row>
    <row r="57" spans="1:10" hidden="1">
      <c r="A57" s="79" t="s">
        <v>1731</v>
      </c>
      <c r="B57" s="1779"/>
      <c r="C57" s="79" t="s">
        <v>2670</v>
      </c>
      <c r="D57" s="80" t="s">
        <v>2448</v>
      </c>
      <c r="E57" s="2275" t="str">
        <f t="shared" si="0"/>
        <v>B1</v>
      </c>
      <c r="F57" s="55">
        <v>50</v>
      </c>
      <c r="G57" s="55" t="s">
        <v>512</v>
      </c>
      <c r="J57" s="55" t="str">
        <f t="shared" si="1"/>
        <v>B16250V</v>
      </c>
    </row>
    <row r="58" spans="1:10" hidden="1">
      <c r="A58" s="79" t="s">
        <v>1790</v>
      </c>
      <c r="B58" s="1779"/>
      <c r="C58" s="79" t="s">
        <v>2671</v>
      </c>
      <c r="D58" s="80" t="s">
        <v>2448</v>
      </c>
      <c r="E58" s="2275" t="str">
        <f t="shared" si="0"/>
        <v>B1</v>
      </c>
      <c r="F58" s="55">
        <v>50</v>
      </c>
      <c r="G58" s="55" t="s">
        <v>512</v>
      </c>
      <c r="J58" s="55" t="str">
        <f t="shared" si="1"/>
        <v>B16300V</v>
      </c>
    </row>
    <row r="59" spans="1:10" hidden="1">
      <c r="A59" s="79" t="s">
        <v>970</v>
      </c>
      <c r="B59" s="1779"/>
      <c r="C59" s="79" t="s">
        <v>2672</v>
      </c>
      <c r="D59" s="80" t="s">
        <v>2448</v>
      </c>
      <c r="E59" s="2275" t="str">
        <f t="shared" si="0"/>
        <v>B1</v>
      </c>
      <c r="F59" s="55">
        <v>50</v>
      </c>
      <c r="G59" s="55" t="s">
        <v>512</v>
      </c>
      <c r="J59" s="55" t="str">
        <f t="shared" si="1"/>
        <v>B16350V</v>
      </c>
    </row>
    <row r="60" spans="1:10" hidden="1">
      <c r="A60" s="1780" t="s">
        <v>1787</v>
      </c>
      <c r="B60" s="84"/>
      <c r="C60" s="79" t="s">
        <v>2673</v>
      </c>
      <c r="D60" s="80" t="s">
        <v>2448</v>
      </c>
      <c r="E60" s="2275" t="str">
        <f t="shared" si="0"/>
        <v>B1</v>
      </c>
      <c r="F60" s="55">
        <v>50</v>
      </c>
      <c r="G60" s="55" t="s">
        <v>512</v>
      </c>
      <c r="J60" s="55" t="str">
        <f t="shared" si="1"/>
        <v>B16400v</v>
      </c>
    </row>
    <row r="61" spans="1:10" hidden="1">
      <c r="A61" s="79" t="s">
        <v>1170</v>
      </c>
      <c r="B61" s="1779"/>
      <c r="C61" s="79" t="s">
        <v>2674</v>
      </c>
      <c r="D61" s="80" t="s">
        <v>2448</v>
      </c>
      <c r="E61" s="2275" t="str">
        <f t="shared" ref="E61" si="3">LEFT(A61,2)</f>
        <v>B1</v>
      </c>
      <c r="F61" s="55">
        <v>50</v>
      </c>
      <c r="G61" s="55" t="s">
        <v>512</v>
      </c>
      <c r="J61" s="55" t="str">
        <f t="shared" si="1"/>
        <v>B16500V</v>
      </c>
    </row>
    <row r="62" spans="1:10" hidden="1">
      <c r="A62" s="79" t="s">
        <v>4876</v>
      </c>
      <c r="B62" s="1779"/>
      <c r="C62" s="79" t="s">
        <v>4877</v>
      </c>
      <c r="D62" s="80" t="s">
        <v>2448</v>
      </c>
      <c r="E62" s="2275" t="str">
        <f t="shared" si="0"/>
        <v>B1</v>
      </c>
      <c r="F62" s="55">
        <v>50</v>
      </c>
      <c r="G62" s="55" t="s">
        <v>512</v>
      </c>
      <c r="J62" s="55" t="str">
        <f t="shared" si="1"/>
        <v>B16450V</v>
      </c>
    </row>
    <row r="63" spans="1:10" hidden="1">
      <c r="A63" s="79" t="s">
        <v>1386</v>
      </c>
      <c r="B63" s="1779"/>
      <c r="C63" s="79" t="s">
        <v>2675</v>
      </c>
      <c r="D63" s="80" t="s">
        <v>2448</v>
      </c>
      <c r="E63" s="2275" t="str">
        <f t="shared" si="0"/>
        <v>B1</v>
      </c>
      <c r="F63" s="55">
        <v>50</v>
      </c>
      <c r="G63" s="55" t="s">
        <v>512</v>
      </c>
      <c r="J63" s="55" t="str">
        <f t="shared" si="1"/>
        <v>B16550V</v>
      </c>
    </row>
    <row r="64" spans="1:10" hidden="1">
      <c r="A64" s="79" t="s">
        <v>1385</v>
      </c>
      <c r="B64" s="1779"/>
      <c r="C64" s="79" t="s">
        <v>2676</v>
      </c>
      <c r="D64" s="80" t="s">
        <v>2448</v>
      </c>
      <c r="E64" s="2275" t="str">
        <f t="shared" si="0"/>
        <v>B1</v>
      </c>
      <c r="F64" s="55">
        <v>50</v>
      </c>
      <c r="G64" s="55" t="s">
        <v>512</v>
      </c>
      <c r="J64" s="55" t="str">
        <f t="shared" si="1"/>
        <v>B16600V</v>
      </c>
    </row>
    <row r="65" spans="1:10" hidden="1">
      <c r="A65" s="79" t="s">
        <v>1545</v>
      </c>
      <c r="B65" s="1779"/>
      <c r="C65" s="79" t="s">
        <v>2677</v>
      </c>
      <c r="D65" s="80" t="s">
        <v>2448</v>
      </c>
      <c r="E65" s="2275" t="str">
        <f t="shared" si="0"/>
        <v>B1</v>
      </c>
      <c r="F65" s="55">
        <v>50</v>
      </c>
      <c r="G65" s="55" t="s">
        <v>512</v>
      </c>
      <c r="J65" s="55" t="str">
        <f t="shared" si="1"/>
        <v>B16650V</v>
      </c>
    </row>
    <row r="66" spans="1:10" hidden="1">
      <c r="A66" s="79" t="s">
        <v>2167</v>
      </c>
      <c r="B66" s="1779"/>
      <c r="C66" s="79" t="s">
        <v>2678</v>
      </c>
      <c r="D66" s="80" t="s">
        <v>2448</v>
      </c>
      <c r="E66" s="2275" t="str">
        <f t="shared" si="0"/>
        <v>B1</v>
      </c>
      <c r="F66" s="55">
        <v>50</v>
      </c>
      <c r="G66" s="55" t="s">
        <v>512</v>
      </c>
      <c r="J66" s="55" t="str">
        <f t="shared" si="1"/>
        <v>B16700V</v>
      </c>
    </row>
    <row r="67" spans="1:10" hidden="1">
      <c r="A67" s="79" t="s">
        <v>395</v>
      </c>
      <c r="B67" s="1779"/>
      <c r="C67" s="79" t="s">
        <v>2679</v>
      </c>
      <c r="D67" s="80" t="s">
        <v>2448</v>
      </c>
      <c r="E67" s="2275" t="str">
        <f t="shared" si="0"/>
        <v>B2</v>
      </c>
      <c r="F67" s="55">
        <v>50</v>
      </c>
      <c r="G67" s="55" t="s">
        <v>512</v>
      </c>
      <c r="J67" s="55" t="str">
        <f t="shared" si="1"/>
        <v>B22260</v>
      </c>
    </row>
    <row r="68" spans="1:10" hidden="1">
      <c r="A68" s="79" t="s">
        <v>1171</v>
      </c>
      <c r="B68" s="1779"/>
      <c r="C68" s="79" t="s">
        <v>2680</v>
      </c>
      <c r="D68" s="80" t="s">
        <v>2448</v>
      </c>
      <c r="E68" s="2275" t="str">
        <f t="shared" si="0"/>
        <v>B2</v>
      </c>
      <c r="F68" s="55">
        <v>50</v>
      </c>
      <c r="G68" s="55" t="s">
        <v>512</v>
      </c>
      <c r="J68" s="55" t="str">
        <f t="shared" ref="J68:J132" si="4">A68</f>
        <v>B22450</v>
      </c>
    </row>
    <row r="69" spans="1:10" hidden="1">
      <c r="A69" s="1780" t="s">
        <v>396</v>
      </c>
      <c r="B69" s="84"/>
      <c r="C69" s="79" t="s">
        <v>2681</v>
      </c>
      <c r="D69" s="80" t="s">
        <v>2448</v>
      </c>
      <c r="E69" s="2275" t="str">
        <f t="shared" si="0"/>
        <v>B2</v>
      </c>
      <c r="F69" s="55">
        <v>50</v>
      </c>
      <c r="G69" s="55" t="s">
        <v>512</v>
      </c>
      <c r="J69" s="55" t="str">
        <f t="shared" si="4"/>
        <v>B22500</v>
      </c>
    </row>
    <row r="70" spans="1:10" hidden="1">
      <c r="A70" s="1780" t="s">
        <v>397</v>
      </c>
      <c r="B70" s="84"/>
      <c r="C70" s="79" t="s">
        <v>2682</v>
      </c>
      <c r="D70" s="80" t="s">
        <v>2448</v>
      </c>
      <c r="E70" s="2275" t="str">
        <f t="shared" ref="E70:E134" si="5">LEFT(A70,2)</f>
        <v>B2</v>
      </c>
      <c r="F70" s="55">
        <v>50</v>
      </c>
      <c r="G70" s="55" t="s">
        <v>512</v>
      </c>
      <c r="J70" s="55" t="str">
        <f t="shared" si="4"/>
        <v>B22550</v>
      </c>
    </row>
    <row r="71" spans="1:10" hidden="1">
      <c r="A71" s="79" t="s">
        <v>787</v>
      </c>
      <c r="B71" s="1779" t="s">
        <v>1018</v>
      </c>
      <c r="C71" s="79" t="s">
        <v>2683</v>
      </c>
      <c r="D71" s="80" t="s">
        <v>2448</v>
      </c>
      <c r="E71" s="2275" t="str">
        <f t="shared" si="5"/>
        <v>B2</v>
      </c>
      <c r="F71" s="55">
        <v>50</v>
      </c>
      <c r="G71" s="55" t="s">
        <v>512</v>
      </c>
      <c r="J71" s="55" t="str">
        <f t="shared" si="4"/>
        <v>B22600</v>
      </c>
    </row>
    <row r="72" spans="1:10" hidden="1">
      <c r="A72" s="79" t="s">
        <v>398</v>
      </c>
      <c r="B72" s="1779"/>
      <c r="C72" s="79" t="s">
        <v>2684</v>
      </c>
      <c r="D72" s="80" t="s">
        <v>2448</v>
      </c>
      <c r="E72" s="2275" t="str">
        <f t="shared" si="5"/>
        <v>B2</v>
      </c>
      <c r="F72" s="55">
        <v>50</v>
      </c>
      <c r="G72" s="55" t="s">
        <v>512</v>
      </c>
      <c r="J72" s="55" t="str">
        <f t="shared" si="4"/>
        <v>B22650</v>
      </c>
    </row>
    <row r="73" spans="1:10" hidden="1">
      <c r="A73" s="79" t="s">
        <v>1833</v>
      </c>
      <c r="B73" s="1779"/>
      <c r="C73" s="79" t="s">
        <v>2685</v>
      </c>
      <c r="D73" s="80" t="s">
        <v>2448</v>
      </c>
      <c r="E73" s="2275" t="str">
        <f t="shared" si="5"/>
        <v>B2</v>
      </c>
      <c r="F73" s="55">
        <v>50</v>
      </c>
      <c r="G73" s="55" t="s">
        <v>512</v>
      </c>
      <c r="J73" s="55" t="str">
        <f t="shared" si="4"/>
        <v>B22700</v>
      </c>
    </row>
    <row r="74" spans="1:10" hidden="1">
      <c r="A74" s="79" t="s">
        <v>723</v>
      </c>
      <c r="B74" s="1779"/>
      <c r="C74" s="79" t="s">
        <v>2686</v>
      </c>
      <c r="D74" s="80" t="s">
        <v>2448</v>
      </c>
      <c r="E74" s="2275" t="str">
        <f t="shared" si="5"/>
        <v>B2</v>
      </c>
      <c r="F74" s="55">
        <v>50</v>
      </c>
      <c r="G74" s="55" t="s">
        <v>512</v>
      </c>
      <c r="J74" s="55" t="str">
        <f t="shared" si="4"/>
        <v>B22750</v>
      </c>
    </row>
    <row r="75" spans="1:10" hidden="1">
      <c r="A75" s="79" t="s">
        <v>788</v>
      </c>
      <c r="B75" s="1779"/>
      <c r="C75" s="79" t="s">
        <v>2687</v>
      </c>
      <c r="D75" s="80" t="s">
        <v>2448</v>
      </c>
      <c r="E75" s="2275" t="str">
        <f t="shared" si="5"/>
        <v>B2</v>
      </c>
      <c r="F75" s="55">
        <v>50</v>
      </c>
      <c r="G75" s="55" t="s">
        <v>512</v>
      </c>
      <c r="J75" s="55" t="str">
        <f t="shared" si="4"/>
        <v>B22800</v>
      </c>
    </row>
    <row r="76" spans="1:10" hidden="1">
      <c r="A76" s="79" t="s">
        <v>563</v>
      </c>
      <c r="B76" s="1779"/>
      <c r="C76" s="79" t="s">
        <v>2688</v>
      </c>
      <c r="D76" s="80" t="s">
        <v>2448</v>
      </c>
      <c r="E76" s="2275" t="str">
        <f t="shared" si="5"/>
        <v>B2</v>
      </c>
      <c r="F76" s="55">
        <v>50</v>
      </c>
      <c r="G76" s="55" t="s">
        <v>512</v>
      </c>
      <c r="J76" s="55" t="str">
        <f t="shared" si="4"/>
        <v>B22850</v>
      </c>
    </row>
    <row r="77" spans="1:10" hidden="1">
      <c r="A77" s="79" t="s">
        <v>1793</v>
      </c>
      <c r="B77" s="1779"/>
      <c r="C77" s="79" t="s">
        <v>2689</v>
      </c>
      <c r="D77" s="80" t="s">
        <v>2448</v>
      </c>
      <c r="E77" s="2275" t="str">
        <f t="shared" si="5"/>
        <v>B2</v>
      </c>
      <c r="F77" s="55">
        <v>50</v>
      </c>
      <c r="G77" s="55" t="s">
        <v>512</v>
      </c>
      <c r="J77" s="55" t="str">
        <f t="shared" si="4"/>
        <v>B221000</v>
      </c>
    </row>
    <row r="78" spans="1:10" hidden="1">
      <c r="A78" s="79" t="s">
        <v>346</v>
      </c>
      <c r="B78" s="1779"/>
      <c r="C78" s="79" t="s">
        <v>2690</v>
      </c>
      <c r="D78" s="80" t="s">
        <v>2448</v>
      </c>
      <c r="E78" s="2275" t="str">
        <f t="shared" si="5"/>
        <v>B2</v>
      </c>
      <c r="F78" s="55">
        <v>50</v>
      </c>
      <c r="G78" s="55" t="s">
        <v>512</v>
      </c>
      <c r="J78" s="55" t="str">
        <f t="shared" si="4"/>
        <v>B22500C</v>
      </c>
    </row>
    <row r="79" spans="1:10" hidden="1">
      <c r="A79" s="79" t="s">
        <v>564</v>
      </c>
      <c r="B79" s="1779"/>
      <c r="C79" s="79" t="s">
        <v>2691</v>
      </c>
      <c r="D79" s="80" t="s">
        <v>2448</v>
      </c>
      <c r="E79" s="2275" t="str">
        <f t="shared" si="5"/>
        <v>B3</v>
      </c>
      <c r="F79" s="55">
        <v>50</v>
      </c>
      <c r="G79" s="55" t="s">
        <v>512</v>
      </c>
      <c r="J79" s="55" t="str">
        <f t="shared" si="4"/>
        <v>B30800</v>
      </c>
    </row>
    <row r="80" spans="1:10" hidden="1">
      <c r="A80" s="79" t="s">
        <v>565</v>
      </c>
      <c r="B80" s="1779"/>
      <c r="C80" s="79" t="s">
        <v>2692</v>
      </c>
      <c r="D80" s="80" t="s">
        <v>2448</v>
      </c>
      <c r="E80" s="2275" t="str">
        <f t="shared" si="5"/>
        <v>B3</v>
      </c>
      <c r="F80" s="55">
        <v>50</v>
      </c>
      <c r="G80" s="55" t="s">
        <v>512</v>
      </c>
      <c r="J80" s="55" t="str">
        <f t="shared" si="4"/>
        <v>B301000</v>
      </c>
    </row>
    <row r="81" spans="1:10" hidden="1">
      <c r="A81" s="79" t="s">
        <v>399</v>
      </c>
      <c r="B81" s="1779"/>
      <c r="C81" s="79" t="s">
        <v>2693</v>
      </c>
      <c r="D81" s="80" t="s">
        <v>2448</v>
      </c>
      <c r="E81" s="2275" t="str">
        <f t="shared" si="5"/>
        <v>BM</v>
      </c>
      <c r="F81" s="55">
        <v>50</v>
      </c>
      <c r="G81" s="55" t="s">
        <v>512</v>
      </c>
      <c r="J81" s="55" t="str">
        <f t="shared" si="4"/>
        <v>BM16230</v>
      </c>
    </row>
    <row r="82" spans="1:10" hidden="1">
      <c r="A82" s="79" t="s">
        <v>1063</v>
      </c>
      <c r="B82" s="1779"/>
      <c r="C82" s="79" t="s">
        <v>2694</v>
      </c>
      <c r="D82" s="80" t="s">
        <v>2448</v>
      </c>
      <c r="E82" s="2275" t="str">
        <f t="shared" si="5"/>
        <v>BM</v>
      </c>
      <c r="F82" s="55">
        <v>50</v>
      </c>
      <c r="G82" s="55" t="s">
        <v>512</v>
      </c>
      <c r="J82" s="55" t="str">
        <f t="shared" si="4"/>
        <v>BM16250</v>
      </c>
    </row>
    <row r="83" spans="1:10" hidden="1">
      <c r="A83" s="79" t="s">
        <v>417</v>
      </c>
      <c r="B83" s="1779"/>
      <c r="C83" s="79" t="s">
        <v>2695</v>
      </c>
      <c r="D83" s="80" t="s">
        <v>2448</v>
      </c>
      <c r="E83" s="2275" t="str">
        <f t="shared" ref="E83" si="6">LEFT(A83,2)</f>
        <v>BM</v>
      </c>
      <c r="F83" s="55">
        <v>50</v>
      </c>
      <c r="G83" s="55" t="s">
        <v>512</v>
      </c>
      <c r="J83" s="55" t="str">
        <f t="shared" ref="J83" si="7">A83</f>
        <v>BM16300</v>
      </c>
    </row>
    <row r="84" spans="1:10" hidden="1">
      <c r="A84" s="79" t="s">
        <v>5198</v>
      </c>
      <c r="B84" s="1779"/>
      <c r="C84" s="79" t="s">
        <v>5199</v>
      </c>
      <c r="D84" s="80" t="s">
        <v>2448</v>
      </c>
      <c r="E84" s="2275" t="str">
        <f t="shared" si="5"/>
        <v>BM</v>
      </c>
      <c r="F84" s="55">
        <v>50</v>
      </c>
      <c r="G84" s="55" t="s">
        <v>512</v>
      </c>
      <c r="J84" s="55" t="str">
        <f t="shared" si="4"/>
        <v>BM16350</v>
      </c>
    </row>
    <row r="85" spans="1:10" hidden="1">
      <c r="A85" s="79" t="s">
        <v>853</v>
      </c>
      <c r="B85" s="1779"/>
      <c r="C85" s="79" t="s">
        <v>2696</v>
      </c>
      <c r="D85" s="80" t="s">
        <v>2448</v>
      </c>
      <c r="E85" s="2275" t="str">
        <f t="shared" si="5"/>
        <v>BM</v>
      </c>
      <c r="F85" s="55">
        <v>50</v>
      </c>
      <c r="G85" s="55" t="s">
        <v>512</v>
      </c>
      <c r="J85" s="55" t="str">
        <f t="shared" si="4"/>
        <v>BMOC16250</v>
      </c>
    </row>
    <row r="86" spans="1:10" hidden="1">
      <c r="A86" s="79" t="s">
        <v>854</v>
      </c>
      <c r="B86" s="1779"/>
      <c r="C86" s="79" t="s">
        <v>2697</v>
      </c>
      <c r="D86" s="80" t="s">
        <v>2448</v>
      </c>
      <c r="E86" s="2275" t="str">
        <f t="shared" si="5"/>
        <v>BM</v>
      </c>
      <c r="F86" s="55">
        <v>50</v>
      </c>
      <c r="G86" s="55" t="s">
        <v>512</v>
      </c>
      <c r="J86" s="55" t="str">
        <f t="shared" si="4"/>
        <v>BMOC16300</v>
      </c>
    </row>
    <row r="87" spans="1:10" hidden="1">
      <c r="A87" s="1781" t="s">
        <v>2548</v>
      </c>
      <c r="B87" s="1779"/>
      <c r="C87" s="79" t="s">
        <v>2698</v>
      </c>
      <c r="D87" s="80" t="s">
        <v>2448</v>
      </c>
      <c r="E87" s="2275" t="str">
        <f t="shared" si="5"/>
        <v>Bu</v>
      </c>
      <c r="F87" s="55">
        <v>50</v>
      </c>
      <c r="G87" s="55" t="s">
        <v>512</v>
      </c>
      <c r="J87" s="55" t="str">
        <f t="shared" si="4"/>
        <v>BulonVRS + ĐO</v>
      </c>
    </row>
    <row r="88" spans="1:10" hidden="1">
      <c r="A88" s="79" t="s">
        <v>708</v>
      </c>
      <c r="B88" s="84"/>
      <c r="C88" s="79" t="s">
        <v>2699</v>
      </c>
      <c r="D88" s="80" t="s">
        <v>2566</v>
      </c>
      <c r="E88" s="2275" t="str">
        <f t="shared" si="5"/>
        <v>LD</v>
      </c>
      <c r="F88" s="55">
        <v>50</v>
      </c>
      <c r="G88" s="55" t="s">
        <v>512</v>
      </c>
      <c r="J88" s="55" t="str">
        <f t="shared" si="4"/>
        <v>LD tron</v>
      </c>
    </row>
    <row r="89" spans="1:10" hidden="1">
      <c r="A89" s="79" t="s">
        <v>1524</v>
      </c>
      <c r="B89" s="84"/>
      <c r="C89" s="79" t="s">
        <v>2700</v>
      </c>
      <c r="D89" s="80" t="s">
        <v>2566</v>
      </c>
      <c r="E89" s="2275" t="str">
        <f t="shared" si="5"/>
        <v>LD</v>
      </c>
      <c r="F89" s="55">
        <v>50</v>
      </c>
      <c r="G89" s="55" t="s">
        <v>512</v>
      </c>
      <c r="J89" s="55" t="str">
        <f t="shared" si="4"/>
        <v>LD 40</v>
      </c>
    </row>
    <row r="90" spans="1:10" hidden="1">
      <c r="A90" s="79" t="s">
        <v>1525</v>
      </c>
      <c r="B90" s="84"/>
      <c r="C90" s="79" t="s">
        <v>2701</v>
      </c>
      <c r="D90" s="80" t="s">
        <v>2566</v>
      </c>
      <c r="E90" s="2275" t="str">
        <f t="shared" si="5"/>
        <v>LD</v>
      </c>
      <c r="F90" s="55">
        <v>50</v>
      </c>
      <c r="G90" s="55" t="s">
        <v>512</v>
      </c>
      <c r="J90" s="55" t="str">
        <f t="shared" si="4"/>
        <v>LD 60</v>
      </c>
    </row>
    <row r="91" spans="1:10" hidden="1">
      <c r="A91" s="79" t="s">
        <v>30</v>
      </c>
      <c r="B91" s="1779"/>
      <c r="C91" s="79" t="s">
        <v>2702</v>
      </c>
      <c r="D91" s="78" t="s">
        <v>2394</v>
      </c>
      <c r="E91" s="2275" t="str">
        <f t="shared" si="5"/>
        <v>BA</v>
      </c>
      <c r="F91" s="55">
        <v>50</v>
      </c>
      <c r="G91" s="55" t="s">
        <v>512</v>
      </c>
      <c r="J91" s="55" t="str">
        <f t="shared" si="4"/>
        <v>BATLI</v>
      </c>
    </row>
    <row r="92" spans="1:10" hidden="1">
      <c r="A92" s="79" t="s">
        <v>687</v>
      </c>
      <c r="B92" s="1779"/>
      <c r="C92" s="79" t="s">
        <v>2703</v>
      </c>
      <c r="D92" s="78" t="s">
        <v>2394</v>
      </c>
      <c r="E92" s="2275" t="str">
        <f t="shared" si="5"/>
        <v>BA</v>
      </c>
      <c r="F92" s="55">
        <v>50</v>
      </c>
      <c r="G92" s="55" t="s">
        <v>512</v>
      </c>
      <c r="J92" s="55" t="str">
        <f t="shared" si="4"/>
        <v>BATLIA</v>
      </c>
    </row>
    <row r="93" spans="1:10" hidden="1">
      <c r="A93" s="79" t="s">
        <v>2279</v>
      </c>
      <c r="B93" s="84"/>
      <c r="C93" s="79" t="s">
        <v>5020</v>
      </c>
      <c r="D93" s="80" t="s">
        <v>2448</v>
      </c>
      <c r="E93" s="2275" t="str">
        <f t="shared" si="5"/>
        <v>BA</v>
      </c>
      <c r="F93" s="55">
        <v>50</v>
      </c>
      <c r="G93" s="55" t="s">
        <v>512</v>
      </c>
      <c r="J93" s="55" t="str">
        <f t="shared" si="4"/>
        <v>BATLL</v>
      </c>
    </row>
    <row r="94" spans="1:10" hidden="1">
      <c r="A94" s="79" t="s">
        <v>759</v>
      </c>
      <c r="B94" s="1779" t="s">
        <v>1564</v>
      </c>
      <c r="C94" s="79" t="s">
        <v>2704</v>
      </c>
      <c r="D94" s="80" t="s">
        <v>2601</v>
      </c>
      <c r="E94" s="2275" t="str">
        <f t="shared" si="5"/>
        <v>CT</v>
      </c>
      <c r="F94" s="55">
        <v>50</v>
      </c>
      <c r="G94" s="55" t="s">
        <v>512</v>
      </c>
      <c r="J94" s="55" t="str">
        <f t="shared" si="4"/>
        <v>CT25</v>
      </c>
    </row>
    <row r="95" spans="1:10" hidden="1">
      <c r="A95" s="79" t="s">
        <v>132</v>
      </c>
      <c r="B95" s="1779" t="s">
        <v>1564</v>
      </c>
      <c r="C95" s="79" t="s">
        <v>2705</v>
      </c>
      <c r="D95" s="80" t="s">
        <v>2601</v>
      </c>
      <c r="E95" s="2275" t="str">
        <f t="shared" si="5"/>
        <v>CT</v>
      </c>
      <c r="F95" s="55">
        <v>50</v>
      </c>
      <c r="G95" s="55" t="s">
        <v>512</v>
      </c>
      <c r="J95" s="55" t="str">
        <f t="shared" si="4"/>
        <v>CT3</v>
      </c>
    </row>
    <row r="96" spans="1:10" hidden="1">
      <c r="A96" s="79" t="s">
        <v>1435</v>
      </c>
      <c r="B96" s="1779" t="s">
        <v>1564</v>
      </c>
      <c r="C96" s="79" t="s">
        <v>1437</v>
      </c>
      <c r="D96" s="80" t="s">
        <v>2566</v>
      </c>
      <c r="E96" s="2275" t="str">
        <f t="shared" si="5"/>
        <v>co</v>
      </c>
      <c r="F96" s="55">
        <v>50</v>
      </c>
      <c r="G96" s="55" t="s">
        <v>512</v>
      </c>
      <c r="J96" s="55" t="str">
        <f t="shared" si="4"/>
        <v>cong 1</v>
      </c>
    </row>
    <row r="97" spans="1:10" hidden="1">
      <c r="A97" s="79" t="s">
        <v>1436</v>
      </c>
      <c r="B97" s="1779" t="s">
        <v>1564</v>
      </c>
      <c r="C97" s="79" t="s">
        <v>1438</v>
      </c>
      <c r="D97" s="80" t="s">
        <v>2566</v>
      </c>
      <c r="E97" s="2275" t="str">
        <f t="shared" si="5"/>
        <v>co</v>
      </c>
      <c r="F97" s="55">
        <v>50</v>
      </c>
      <c r="G97" s="55" t="s">
        <v>512</v>
      </c>
      <c r="J97" s="55" t="str">
        <f t="shared" si="4"/>
        <v>cong 2</v>
      </c>
    </row>
    <row r="98" spans="1:10" hidden="1">
      <c r="A98" s="79" t="s">
        <v>2254</v>
      </c>
      <c r="B98" s="1779" t="s">
        <v>1564</v>
      </c>
      <c r="C98" s="79" t="s">
        <v>2706</v>
      </c>
      <c r="D98" s="80" t="s">
        <v>2601</v>
      </c>
      <c r="E98" s="2275" t="str">
        <f t="shared" si="5"/>
        <v>CT</v>
      </c>
      <c r="F98" s="55">
        <v>50</v>
      </c>
      <c r="G98" s="55" t="s">
        <v>512</v>
      </c>
      <c r="J98" s="55" t="str">
        <f t="shared" si="4"/>
        <v>CT5</v>
      </c>
    </row>
    <row r="99" spans="1:10" hidden="1">
      <c r="A99" s="79" t="s">
        <v>1632</v>
      </c>
      <c r="B99" s="84"/>
      <c r="C99" s="79" t="s">
        <v>2707</v>
      </c>
      <c r="D99" s="80" t="s">
        <v>2708</v>
      </c>
      <c r="E99" s="2275" t="str">
        <f t="shared" si="5"/>
        <v>Mo</v>
      </c>
      <c r="F99" s="55">
        <v>50</v>
      </c>
      <c r="G99" s="55" t="s">
        <v>512</v>
      </c>
      <c r="J99" s="55" t="str">
        <f t="shared" si="4"/>
        <v>MongTB</v>
      </c>
    </row>
    <row r="100" spans="1:10" hidden="1">
      <c r="A100" s="1780" t="s">
        <v>1557</v>
      </c>
      <c r="B100" s="84"/>
      <c r="C100" s="79" t="s">
        <v>2709</v>
      </c>
      <c r="D100" s="80" t="s">
        <v>2256</v>
      </c>
      <c r="E100" s="2275" t="str">
        <f t="shared" si="5"/>
        <v>M1</v>
      </c>
      <c r="F100" s="55">
        <v>12</v>
      </c>
      <c r="G100" s="55" t="s">
        <v>512</v>
      </c>
      <c r="J100" s="55" t="str">
        <f t="shared" si="4"/>
        <v>M11</v>
      </c>
    </row>
    <row r="101" spans="1:10" hidden="1">
      <c r="A101" s="1780" t="s">
        <v>2255</v>
      </c>
      <c r="B101" s="84"/>
      <c r="C101" s="79" t="s">
        <v>2710</v>
      </c>
      <c r="D101" s="80" t="s">
        <v>2256</v>
      </c>
      <c r="E101" s="2275" t="str">
        <f t="shared" si="5"/>
        <v>M2</v>
      </c>
      <c r="F101" s="55">
        <v>12</v>
      </c>
      <c r="G101" s="55" t="s">
        <v>512</v>
      </c>
      <c r="J101" s="55" t="str">
        <f t="shared" si="4"/>
        <v>M22</v>
      </c>
    </row>
    <row r="102" spans="1:10" hidden="1">
      <c r="A102" s="1780" t="s">
        <v>1035</v>
      </c>
      <c r="B102" s="84"/>
      <c r="C102" s="79" t="s">
        <v>2711</v>
      </c>
      <c r="D102" s="80" t="s">
        <v>2256</v>
      </c>
      <c r="E102" s="2275" t="str">
        <f t="shared" si="5"/>
        <v>M2</v>
      </c>
      <c r="F102" s="55">
        <v>12</v>
      </c>
      <c r="G102" s="55" t="s">
        <v>512</v>
      </c>
      <c r="J102" s="55" t="str">
        <f t="shared" si="4"/>
        <v>M25</v>
      </c>
    </row>
    <row r="103" spans="1:10" hidden="1">
      <c r="A103" s="1780" t="s">
        <v>612</v>
      </c>
      <c r="B103" s="84"/>
      <c r="C103" s="79" t="s">
        <v>2712</v>
      </c>
      <c r="D103" s="80" t="s">
        <v>2256</v>
      </c>
      <c r="E103" s="2275" t="str">
        <f t="shared" si="5"/>
        <v>M3</v>
      </c>
      <c r="F103" s="55">
        <v>12</v>
      </c>
      <c r="G103" s="55" t="s">
        <v>512</v>
      </c>
      <c r="J103" s="55" t="str">
        <f t="shared" si="4"/>
        <v>M38</v>
      </c>
    </row>
    <row r="104" spans="1:10" hidden="1">
      <c r="A104" s="79" t="s">
        <v>242</v>
      </c>
      <c r="B104" s="84"/>
      <c r="C104" s="79" t="s">
        <v>2713</v>
      </c>
      <c r="D104" s="80" t="s">
        <v>2714</v>
      </c>
      <c r="E104" s="2275" t="str">
        <f t="shared" si="5"/>
        <v>MT</v>
      </c>
      <c r="F104" s="55">
        <v>50</v>
      </c>
      <c r="G104" s="55" t="s">
        <v>512</v>
      </c>
      <c r="J104" s="55" t="str">
        <f t="shared" si="4"/>
        <v>MTBU</v>
      </c>
    </row>
    <row r="105" spans="1:10" hidden="1">
      <c r="A105" s="1780" t="s">
        <v>1216</v>
      </c>
      <c r="B105" s="84"/>
      <c r="C105" s="79" t="s">
        <v>2715</v>
      </c>
      <c r="D105" s="80" t="s">
        <v>2256</v>
      </c>
      <c r="E105" s="2275" t="str">
        <f t="shared" si="5"/>
        <v>M5</v>
      </c>
      <c r="F105" s="55">
        <v>12</v>
      </c>
      <c r="G105" s="55" t="s">
        <v>512</v>
      </c>
      <c r="J105" s="55" t="str">
        <f t="shared" si="4"/>
        <v>M50</v>
      </c>
    </row>
    <row r="106" spans="1:10" hidden="1">
      <c r="A106" s="79" t="s">
        <v>272</v>
      </c>
      <c r="B106" s="84"/>
      <c r="C106" s="79" t="s">
        <v>2716</v>
      </c>
      <c r="D106" s="80" t="s">
        <v>2541</v>
      </c>
      <c r="E106" s="2275" t="str">
        <f t="shared" si="5"/>
        <v>XL</v>
      </c>
      <c r="F106" s="55">
        <v>10</v>
      </c>
      <c r="G106" s="55" t="s">
        <v>512</v>
      </c>
      <c r="J106" s="55" t="str">
        <f t="shared" si="4"/>
        <v>XLPE22</v>
      </c>
    </row>
    <row r="107" spans="1:10" hidden="1">
      <c r="A107" s="79" t="s">
        <v>699</v>
      </c>
      <c r="B107" s="84"/>
      <c r="C107" s="79" t="s">
        <v>4960</v>
      </c>
      <c r="D107" s="80" t="s">
        <v>2541</v>
      </c>
      <c r="E107" s="2275" t="str">
        <f t="shared" si="5"/>
        <v>XL</v>
      </c>
      <c r="F107" s="55">
        <v>10</v>
      </c>
      <c r="G107" s="55" t="s">
        <v>512</v>
      </c>
      <c r="J107" s="55" t="str">
        <f t="shared" si="4"/>
        <v>XLPE25</v>
      </c>
    </row>
    <row r="108" spans="1:10" hidden="1">
      <c r="A108" s="79" t="s">
        <v>1742</v>
      </c>
      <c r="B108" s="84"/>
      <c r="C108" s="79" t="s">
        <v>2718</v>
      </c>
      <c r="D108" s="80" t="s">
        <v>2541</v>
      </c>
      <c r="E108" s="2275" t="str">
        <f t="shared" si="5"/>
        <v>XL</v>
      </c>
      <c r="F108" s="55">
        <v>10</v>
      </c>
      <c r="G108" s="55" t="s">
        <v>512</v>
      </c>
      <c r="J108" s="55" t="str">
        <f t="shared" si="4"/>
        <v>XLPE35</v>
      </c>
    </row>
    <row r="109" spans="1:10" hidden="1">
      <c r="A109" s="79" t="s">
        <v>271</v>
      </c>
      <c r="B109" s="84"/>
      <c r="C109" s="79" t="s">
        <v>2719</v>
      </c>
      <c r="D109" s="80" t="s">
        <v>2541</v>
      </c>
      <c r="E109" s="2275" t="str">
        <f t="shared" si="5"/>
        <v>XL</v>
      </c>
      <c r="F109" s="55">
        <v>10</v>
      </c>
      <c r="G109" s="55" t="s">
        <v>512</v>
      </c>
      <c r="J109" s="55" t="str">
        <f t="shared" si="4"/>
        <v>XLPE50</v>
      </c>
    </row>
    <row r="110" spans="1:10" hidden="1">
      <c r="A110" s="79" t="s">
        <v>270</v>
      </c>
      <c r="B110" s="84"/>
      <c r="C110" s="79" t="s">
        <v>2720</v>
      </c>
      <c r="D110" s="80" t="s">
        <v>2541</v>
      </c>
      <c r="E110" s="2275" t="str">
        <f t="shared" si="5"/>
        <v>XL</v>
      </c>
      <c r="F110" s="55">
        <v>10</v>
      </c>
      <c r="G110" s="55" t="s">
        <v>512</v>
      </c>
      <c r="J110" s="55" t="str">
        <f t="shared" si="4"/>
        <v>XLPE70</v>
      </c>
    </row>
    <row r="111" spans="1:10" hidden="1">
      <c r="A111" s="79" t="s">
        <v>1838</v>
      </c>
      <c r="B111" s="84"/>
      <c r="C111" s="79" t="s">
        <v>2721</v>
      </c>
      <c r="D111" s="80" t="s">
        <v>2541</v>
      </c>
      <c r="E111" s="2275" t="str">
        <f t="shared" si="5"/>
        <v>XL</v>
      </c>
      <c r="F111" s="55">
        <v>10</v>
      </c>
      <c r="G111" s="55" t="s">
        <v>512</v>
      </c>
      <c r="J111" s="55" t="str">
        <f t="shared" si="4"/>
        <v>XLPE95</v>
      </c>
    </row>
    <row r="112" spans="1:10" hidden="1">
      <c r="A112" s="79" t="s">
        <v>601</v>
      </c>
      <c r="B112" s="84"/>
      <c r="C112" s="79" t="s">
        <v>2722</v>
      </c>
      <c r="D112" s="80" t="s">
        <v>2541</v>
      </c>
      <c r="E112" s="2275" t="str">
        <f t="shared" si="5"/>
        <v>XL</v>
      </c>
      <c r="F112" s="55">
        <v>10</v>
      </c>
      <c r="G112" s="55" t="s">
        <v>512</v>
      </c>
      <c r="J112" s="55" t="str">
        <f t="shared" si="4"/>
        <v>XLPE120</v>
      </c>
    </row>
    <row r="113" spans="1:10" hidden="1">
      <c r="A113" s="79" t="s">
        <v>1473</v>
      </c>
      <c r="B113" s="84"/>
      <c r="C113" s="79" t="s">
        <v>2723</v>
      </c>
      <c r="D113" s="80" t="s">
        <v>2541</v>
      </c>
      <c r="E113" s="2275" t="str">
        <f t="shared" si="5"/>
        <v>XL</v>
      </c>
      <c r="F113" s="55">
        <v>10</v>
      </c>
      <c r="G113" s="55" t="s">
        <v>512</v>
      </c>
      <c r="J113" s="55" t="str">
        <f t="shared" si="4"/>
        <v>XLPE150</v>
      </c>
    </row>
    <row r="114" spans="1:10" hidden="1">
      <c r="A114" s="79" t="s">
        <v>1978</v>
      </c>
      <c r="B114" s="84"/>
      <c r="C114" s="79" t="s">
        <v>2724</v>
      </c>
      <c r="D114" s="80" t="s">
        <v>2541</v>
      </c>
      <c r="E114" s="2275" t="str">
        <f t="shared" si="5"/>
        <v>XL</v>
      </c>
      <c r="F114" s="55">
        <v>10</v>
      </c>
      <c r="G114" s="55" t="s">
        <v>512</v>
      </c>
      <c r="J114" s="55" t="str">
        <f t="shared" si="4"/>
        <v>XLPE185</v>
      </c>
    </row>
    <row r="115" spans="1:10" hidden="1">
      <c r="A115" s="79" t="s">
        <v>1505</v>
      </c>
      <c r="B115" s="84"/>
      <c r="C115" s="79" t="s">
        <v>2725</v>
      </c>
      <c r="D115" s="80" t="s">
        <v>2541</v>
      </c>
      <c r="E115" s="2275" t="str">
        <f t="shared" si="5"/>
        <v>XL</v>
      </c>
      <c r="F115" s="55">
        <v>10</v>
      </c>
      <c r="G115" s="55" t="s">
        <v>512</v>
      </c>
      <c r="J115" s="55" t="str">
        <f t="shared" si="4"/>
        <v>XLPE240</v>
      </c>
    </row>
    <row r="116" spans="1:10" hidden="1">
      <c r="A116" s="79" t="s">
        <v>1777</v>
      </c>
      <c r="B116" s="84"/>
      <c r="C116" s="79" t="s">
        <v>2726</v>
      </c>
      <c r="D116" s="80" t="s">
        <v>2541</v>
      </c>
      <c r="E116" s="2275" t="str">
        <f t="shared" si="5"/>
        <v>XL</v>
      </c>
      <c r="F116" s="55">
        <v>10</v>
      </c>
      <c r="G116" s="55" t="s">
        <v>512</v>
      </c>
      <c r="J116" s="55" t="str">
        <f t="shared" si="4"/>
        <v>XLPE250</v>
      </c>
    </row>
    <row r="117" spans="1:10" hidden="1">
      <c r="A117" s="79" t="s">
        <v>1743</v>
      </c>
      <c r="B117" s="84"/>
      <c r="C117" s="79" t="s">
        <v>2727</v>
      </c>
      <c r="D117" s="80" t="s">
        <v>2541</v>
      </c>
      <c r="E117" s="2275" t="str">
        <f t="shared" si="5"/>
        <v>XL</v>
      </c>
      <c r="F117" s="55">
        <v>15</v>
      </c>
      <c r="G117" s="55" t="s">
        <v>512</v>
      </c>
      <c r="J117" s="55" t="str">
        <f t="shared" si="4"/>
        <v>XLPE25A</v>
      </c>
    </row>
    <row r="118" spans="1:10" hidden="1">
      <c r="A118" s="79" t="s">
        <v>54</v>
      </c>
      <c r="B118" s="84"/>
      <c r="C118" s="79" t="s">
        <v>2728</v>
      </c>
      <c r="D118" s="80" t="s">
        <v>2541</v>
      </c>
      <c r="E118" s="2275" t="str">
        <f t="shared" si="5"/>
        <v>XL</v>
      </c>
      <c r="F118" s="55">
        <v>15</v>
      </c>
      <c r="G118" s="55" t="s">
        <v>512</v>
      </c>
      <c r="J118" s="55" t="str">
        <f t="shared" si="4"/>
        <v>XLPE35A</v>
      </c>
    </row>
    <row r="119" spans="1:10" hidden="1">
      <c r="A119" s="79" t="s">
        <v>55</v>
      </c>
      <c r="B119" s="84"/>
      <c r="C119" s="79" t="s">
        <v>2729</v>
      </c>
      <c r="D119" s="80" t="s">
        <v>2541</v>
      </c>
      <c r="E119" s="2275" t="str">
        <f t="shared" si="5"/>
        <v>XL</v>
      </c>
      <c r="F119" s="55">
        <v>15</v>
      </c>
      <c r="G119" s="55" t="s">
        <v>512</v>
      </c>
      <c r="J119" s="55" t="str">
        <f t="shared" si="4"/>
        <v>XLPE50A</v>
      </c>
    </row>
    <row r="120" spans="1:10" hidden="1">
      <c r="A120" s="79" t="s">
        <v>56</v>
      </c>
      <c r="B120" s="84"/>
      <c r="C120" s="79" t="s">
        <v>2730</v>
      </c>
      <c r="D120" s="80" t="s">
        <v>2541</v>
      </c>
      <c r="E120" s="2275" t="str">
        <f t="shared" si="5"/>
        <v>XL</v>
      </c>
      <c r="F120" s="55">
        <v>15</v>
      </c>
      <c r="G120" s="55" t="s">
        <v>512</v>
      </c>
      <c r="J120" s="55" t="str">
        <f t="shared" si="4"/>
        <v>XLPE70A</v>
      </c>
    </row>
    <row r="121" spans="1:10" hidden="1">
      <c r="A121" s="79" t="s">
        <v>57</v>
      </c>
      <c r="B121" s="84"/>
      <c r="C121" s="79" t="s">
        <v>2731</v>
      </c>
      <c r="D121" s="80" t="s">
        <v>2541</v>
      </c>
      <c r="E121" s="2275" t="str">
        <f t="shared" si="5"/>
        <v>XL</v>
      </c>
      <c r="F121" s="55">
        <v>15</v>
      </c>
      <c r="G121" s="55" t="s">
        <v>512</v>
      </c>
      <c r="J121" s="55" t="str">
        <f t="shared" si="4"/>
        <v>XLPE95A</v>
      </c>
    </row>
    <row r="122" spans="1:10" hidden="1">
      <c r="A122" s="79" t="s">
        <v>657</v>
      </c>
      <c r="B122" s="84"/>
      <c r="C122" s="79" t="s">
        <v>2732</v>
      </c>
      <c r="D122" s="80" t="s">
        <v>2541</v>
      </c>
      <c r="E122" s="2275" t="str">
        <f t="shared" si="5"/>
        <v>XL</v>
      </c>
      <c r="F122" s="55">
        <v>15</v>
      </c>
      <c r="G122" s="55" t="s">
        <v>512</v>
      </c>
      <c r="J122" s="55" t="str">
        <f t="shared" si="4"/>
        <v>XLPE120A</v>
      </c>
    </row>
    <row r="123" spans="1:10" hidden="1">
      <c r="A123" s="79" t="s">
        <v>1034</v>
      </c>
      <c r="B123" s="84"/>
      <c r="C123" s="79" t="s">
        <v>2733</v>
      </c>
      <c r="D123" s="80" t="s">
        <v>2541</v>
      </c>
      <c r="E123" s="2275" t="str">
        <f t="shared" si="5"/>
        <v>XL</v>
      </c>
      <c r="F123" s="55">
        <v>15</v>
      </c>
      <c r="G123" s="55" t="s">
        <v>512</v>
      </c>
      <c r="J123" s="55" t="str">
        <f t="shared" si="4"/>
        <v>XLPE150A</v>
      </c>
    </row>
    <row r="124" spans="1:10" hidden="1">
      <c r="A124" s="79" t="s">
        <v>1033</v>
      </c>
      <c r="B124" s="84"/>
      <c r="C124" s="79" t="s">
        <v>2734</v>
      </c>
      <c r="D124" s="80" t="s">
        <v>2541</v>
      </c>
      <c r="E124" s="2275" t="str">
        <f t="shared" si="5"/>
        <v>XL</v>
      </c>
      <c r="F124" s="55">
        <v>15</v>
      </c>
      <c r="G124" s="55" t="s">
        <v>512</v>
      </c>
      <c r="J124" s="55" t="str">
        <f t="shared" si="4"/>
        <v>XLPE185A</v>
      </c>
    </row>
    <row r="125" spans="1:10" hidden="1">
      <c r="A125" s="79" t="s">
        <v>1800</v>
      </c>
      <c r="B125" s="84"/>
      <c r="C125" s="79" t="s">
        <v>2735</v>
      </c>
      <c r="D125" s="80" t="s">
        <v>2541</v>
      </c>
      <c r="E125" s="2275" t="str">
        <f t="shared" si="5"/>
        <v>XL</v>
      </c>
      <c r="F125" s="55">
        <v>15</v>
      </c>
      <c r="G125" s="55" t="s">
        <v>512</v>
      </c>
      <c r="J125" s="55" t="str">
        <f t="shared" si="4"/>
        <v>XLPE240A</v>
      </c>
    </row>
    <row r="126" spans="1:10" hidden="1">
      <c r="A126" s="79" t="s">
        <v>1000</v>
      </c>
      <c r="B126" s="84"/>
      <c r="C126" s="79" t="s">
        <v>2736</v>
      </c>
      <c r="D126" s="80" t="s">
        <v>2541</v>
      </c>
      <c r="E126" s="2275" t="str">
        <f t="shared" si="5"/>
        <v>XL</v>
      </c>
      <c r="F126" s="55">
        <v>14</v>
      </c>
      <c r="G126" s="55" t="s">
        <v>512</v>
      </c>
      <c r="J126" s="55" t="str">
        <f t="shared" si="4"/>
        <v>XLPE211HT</v>
      </c>
    </row>
    <row r="127" spans="1:10" hidden="1">
      <c r="A127" s="79" t="s">
        <v>1083</v>
      </c>
      <c r="B127" s="84"/>
      <c r="C127" s="79" t="s">
        <v>2737</v>
      </c>
      <c r="D127" s="80" t="s">
        <v>2541</v>
      </c>
      <c r="E127" s="2275" t="str">
        <f t="shared" si="5"/>
        <v>XL</v>
      </c>
      <c r="F127" s="55">
        <v>14</v>
      </c>
      <c r="G127" s="55" t="s">
        <v>512</v>
      </c>
      <c r="J127" s="55" t="str">
        <f t="shared" si="4"/>
        <v>XLPE216HT</v>
      </c>
    </row>
    <row r="128" spans="1:10" hidden="1">
      <c r="A128" s="79" t="s">
        <v>965</v>
      </c>
      <c r="B128" s="84"/>
      <c r="C128" s="79" t="s">
        <v>2738</v>
      </c>
      <c r="D128" s="80" t="s">
        <v>2541</v>
      </c>
      <c r="E128" s="2275" t="str">
        <f t="shared" si="5"/>
        <v>XL</v>
      </c>
      <c r="F128" s="55">
        <v>14</v>
      </c>
      <c r="G128" s="55" t="s">
        <v>512</v>
      </c>
      <c r="J128" s="55" t="str">
        <f t="shared" si="4"/>
        <v>XLPE316HT</v>
      </c>
    </row>
    <row r="129" spans="1:10" hidden="1">
      <c r="A129" s="79" t="s">
        <v>526</v>
      </c>
      <c r="B129" s="84"/>
      <c r="C129" s="79" t="s">
        <v>2739</v>
      </c>
      <c r="D129" s="80" t="s">
        <v>2541</v>
      </c>
      <c r="E129" s="2275" t="str">
        <f t="shared" si="5"/>
        <v>XL</v>
      </c>
      <c r="F129" s="55">
        <v>14</v>
      </c>
      <c r="G129" s="55" t="s">
        <v>512</v>
      </c>
      <c r="J129" s="55" t="str">
        <f t="shared" si="4"/>
        <v>XLPE350HT</v>
      </c>
    </row>
    <row r="130" spans="1:10" hidden="1">
      <c r="A130" s="79" t="s">
        <v>1001</v>
      </c>
      <c r="B130" s="84"/>
      <c r="C130" s="79" t="s">
        <v>2740</v>
      </c>
      <c r="D130" s="80" t="s">
        <v>2541</v>
      </c>
      <c r="E130" s="2275" t="str">
        <f t="shared" si="5"/>
        <v>XL</v>
      </c>
      <c r="F130" s="55">
        <v>14</v>
      </c>
      <c r="G130" s="55" t="s">
        <v>512</v>
      </c>
      <c r="J130" s="55" t="str">
        <f t="shared" si="4"/>
        <v>XLPE416HT</v>
      </c>
    </row>
    <row r="131" spans="1:10" hidden="1">
      <c r="A131" s="79" t="s">
        <v>673</v>
      </c>
      <c r="B131" s="84"/>
      <c r="C131" s="79" t="s">
        <v>2741</v>
      </c>
      <c r="D131" s="80" t="s">
        <v>2541</v>
      </c>
      <c r="E131" s="2275" t="str">
        <f t="shared" si="5"/>
        <v>XL</v>
      </c>
      <c r="F131" s="55">
        <v>14</v>
      </c>
      <c r="G131" s="55" t="s">
        <v>512</v>
      </c>
      <c r="J131" s="55" t="str">
        <f t="shared" si="4"/>
        <v>XLPE316+10HT</v>
      </c>
    </row>
    <row r="132" spans="1:10" hidden="1">
      <c r="A132" s="79" t="s">
        <v>1371</v>
      </c>
      <c r="B132" s="84"/>
      <c r="C132" s="79" t="s">
        <v>2742</v>
      </c>
      <c r="D132" s="80" t="s">
        <v>2541</v>
      </c>
      <c r="E132" s="2275" t="str">
        <f t="shared" si="5"/>
        <v>XL</v>
      </c>
      <c r="F132" s="55">
        <v>14</v>
      </c>
      <c r="G132" s="55" t="s">
        <v>512</v>
      </c>
      <c r="J132" s="55" t="str">
        <f t="shared" si="4"/>
        <v>XLPE350+35HT</v>
      </c>
    </row>
    <row r="133" spans="1:10" hidden="1">
      <c r="A133" s="79" t="s">
        <v>877</v>
      </c>
      <c r="B133" s="84"/>
      <c r="C133" s="79" t="s">
        <v>2743</v>
      </c>
      <c r="D133" s="80" t="s">
        <v>2541</v>
      </c>
      <c r="E133" s="2275" t="str">
        <f t="shared" si="5"/>
        <v>XL</v>
      </c>
      <c r="F133" s="55">
        <v>14</v>
      </c>
      <c r="G133" s="55" t="s">
        <v>512</v>
      </c>
      <c r="J133" s="55" t="str">
        <f t="shared" ref="J133:J198" si="8">A133</f>
        <v>XLPE370+50HT</v>
      </c>
    </row>
    <row r="134" spans="1:10" hidden="1">
      <c r="A134" s="79" t="s">
        <v>407</v>
      </c>
      <c r="B134" s="84"/>
      <c r="C134" s="79" t="s">
        <v>2744</v>
      </c>
      <c r="D134" s="80" t="s">
        <v>2541</v>
      </c>
      <c r="E134" s="2275" t="str">
        <f t="shared" si="5"/>
        <v>XL</v>
      </c>
      <c r="F134" s="55">
        <v>14</v>
      </c>
      <c r="G134" s="55" t="s">
        <v>512</v>
      </c>
      <c r="J134" s="55" t="str">
        <f t="shared" si="8"/>
        <v>XLPE395+50HT</v>
      </c>
    </row>
    <row r="135" spans="1:10" hidden="1">
      <c r="A135" s="79" t="s">
        <v>408</v>
      </c>
      <c r="B135" s="84"/>
      <c r="C135" s="79" t="s">
        <v>2745</v>
      </c>
      <c r="D135" s="80" t="s">
        <v>2541</v>
      </c>
      <c r="E135" s="2275" t="str">
        <f t="shared" ref="E135:E201" si="9">LEFT(A135,2)</f>
        <v>XL</v>
      </c>
      <c r="F135" s="55">
        <v>14</v>
      </c>
      <c r="G135" s="55" t="s">
        <v>512</v>
      </c>
      <c r="J135" s="55" t="str">
        <f t="shared" si="8"/>
        <v>XLPE3120+70HT</v>
      </c>
    </row>
    <row r="136" spans="1:10" hidden="1">
      <c r="A136" s="79" t="s">
        <v>409</v>
      </c>
      <c r="B136" s="84"/>
      <c r="C136" s="79" t="s">
        <v>2746</v>
      </c>
      <c r="D136" s="80" t="s">
        <v>2541</v>
      </c>
      <c r="E136" s="2275" t="str">
        <f t="shared" si="9"/>
        <v>XL</v>
      </c>
      <c r="F136" s="55">
        <v>14</v>
      </c>
      <c r="G136" s="55" t="s">
        <v>512</v>
      </c>
      <c r="J136" s="55" t="str">
        <f t="shared" si="8"/>
        <v>XLPE3150+95HT</v>
      </c>
    </row>
    <row r="137" spans="1:10" hidden="1">
      <c r="A137" s="79" t="s">
        <v>410</v>
      </c>
      <c r="B137" s="84"/>
      <c r="C137" s="79" t="s">
        <v>2747</v>
      </c>
      <c r="D137" s="80" t="s">
        <v>2541</v>
      </c>
      <c r="E137" s="2275" t="str">
        <f t="shared" si="9"/>
        <v>XL</v>
      </c>
      <c r="F137" s="55">
        <v>14</v>
      </c>
      <c r="G137" s="55" t="s">
        <v>512</v>
      </c>
      <c r="J137" s="55" t="str">
        <f t="shared" si="8"/>
        <v>XLPE3185+120HT</v>
      </c>
    </row>
    <row r="138" spans="1:10" hidden="1">
      <c r="A138" s="79" t="s">
        <v>1370</v>
      </c>
      <c r="B138" s="84"/>
      <c r="C138" s="79" t="s">
        <v>2748</v>
      </c>
      <c r="D138" s="80" t="s">
        <v>2541</v>
      </c>
      <c r="E138" s="2275" t="str">
        <f t="shared" ref="E138" si="10">LEFT(A138,2)</f>
        <v>XL</v>
      </c>
      <c r="F138" s="55">
        <v>14</v>
      </c>
      <c r="G138" s="55" t="s">
        <v>512</v>
      </c>
      <c r="J138" s="55" t="str">
        <f t="shared" ref="J138" si="11">A138</f>
        <v>XLPE350+35DHT</v>
      </c>
    </row>
    <row r="139" spans="1:10" hidden="1">
      <c r="A139" s="79" t="s">
        <v>5174</v>
      </c>
      <c r="B139" s="84"/>
      <c r="C139" s="79" t="s">
        <v>5175</v>
      </c>
      <c r="D139" s="80" t="s">
        <v>2541</v>
      </c>
      <c r="E139" s="2275" t="str">
        <f t="shared" si="9"/>
        <v>XL</v>
      </c>
      <c r="F139" s="55">
        <v>14</v>
      </c>
      <c r="G139" s="55" t="s">
        <v>512</v>
      </c>
      <c r="J139" s="55" t="str">
        <f t="shared" si="8"/>
        <v>XLPE370+35DHT</v>
      </c>
    </row>
    <row r="140" spans="1:10" hidden="1">
      <c r="A140" s="79" t="s">
        <v>1702</v>
      </c>
      <c r="B140" s="84"/>
      <c r="C140" s="79" t="s">
        <v>2749</v>
      </c>
      <c r="D140" s="80" t="s">
        <v>2541</v>
      </c>
      <c r="E140" s="2275" t="str">
        <f t="shared" si="9"/>
        <v>XL</v>
      </c>
      <c r="F140" s="55">
        <v>14</v>
      </c>
      <c r="G140" s="55" t="s">
        <v>512</v>
      </c>
      <c r="J140" s="55" t="str">
        <f t="shared" si="8"/>
        <v>XLPE325D</v>
      </c>
    </row>
    <row r="141" spans="1:10" hidden="1">
      <c r="A141" s="79" t="s">
        <v>470</v>
      </c>
      <c r="B141" s="84"/>
      <c r="C141" s="79" t="s">
        <v>2750</v>
      </c>
      <c r="D141" s="80" t="s">
        <v>2541</v>
      </c>
      <c r="E141" s="2275" t="str">
        <f t="shared" si="9"/>
        <v>XL</v>
      </c>
      <c r="F141" s="55">
        <v>14</v>
      </c>
      <c r="G141" s="55" t="s">
        <v>512</v>
      </c>
      <c r="J141" s="55" t="str">
        <f t="shared" si="8"/>
        <v>XLPE350D</v>
      </c>
    </row>
    <row r="142" spans="1:10" hidden="1">
      <c r="A142" s="79" t="s">
        <v>1700</v>
      </c>
      <c r="B142" s="84"/>
      <c r="C142" s="79" t="s">
        <v>2751</v>
      </c>
      <c r="D142" s="80" t="s">
        <v>2541</v>
      </c>
      <c r="E142" s="2275" t="str">
        <f t="shared" si="9"/>
        <v>XL</v>
      </c>
      <c r="F142" s="55">
        <v>14</v>
      </c>
      <c r="G142" s="55" t="s">
        <v>512</v>
      </c>
      <c r="J142" s="55" t="str">
        <f t="shared" si="8"/>
        <v>XLPE370D</v>
      </c>
    </row>
    <row r="143" spans="1:10" hidden="1">
      <c r="A143" s="79" t="s">
        <v>1701</v>
      </c>
      <c r="B143" s="84"/>
      <c r="C143" s="79" t="s">
        <v>2752</v>
      </c>
      <c r="D143" s="80" t="s">
        <v>2541</v>
      </c>
      <c r="E143" s="2275" t="str">
        <f t="shared" si="9"/>
        <v>XL</v>
      </c>
      <c r="F143" s="55">
        <v>14</v>
      </c>
      <c r="G143" s="55" t="s">
        <v>512</v>
      </c>
      <c r="J143" s="55" t="str">
        <f t="shared" si="8"/>
        <v>XLPE395D</v>
      </c>
    </row>
    <row r="144" spans="1:10" hidden="1">
      <c r="A144" s="79" t="s">
        <v>1706</v>
      </c>
      <c r="B144" s="84"/>
      <c r="C144" s="79" t="s">
        <v>2753</v>
      </c>
      <c r="D144" s="80" t="s">
        <v>2541</v>
      </c>
      <c r="E144" s="2275" t="str">
        <f t="shared" si="9"/>
        <v>XL</v>
      </c>
      <c r="F144" s="55">
        <v>14</v>
      </c>
      <c r="G144" s="55" t="s">
        <v>512</v>
      </c>
      <c r="J144" s="55" t="str">
        <f t="shared" si="8"/>
        <v>XLPE3120D</v>
      </c>
    </row>
    <row r="145" spans="1:10" hidden="1">
      <c r="A145" s="79" t="s">
        <v>1704</v>
      </c>
      <c r="B145" s="84"/>
      <c r="C145" s="79" t="s">
        <v>2754</v>
      </c>
      <c r="D145" s="80" t="s">
        <v>2541</v>
      </c>
      <c r="E145" s="2275" t="str">
        <f t="shared" si="9"/>
        <v>XL</v>
      </c>
      <c r="F145" s="55">
        <v>14</v>
      </c>
      <c r="G145" s="55" t="s">
        <v>512</v>
      </c>
      <c r="J145" s="55" t="str">
        <f t="shared" si="8"/>
        <v>XLPE3150D</v>
      </c>
    </row>
    <row r="146" spans="1:10" hidden="1">
      <c r="A146" s="79" t="s">
        <v>1703</v>
      </c>
      <c r="B146" s="84"/>
      <c r="C146" s="79" t="s">
        <v>2755</v>
      </c>
      <c r="D146" s="80" t="s">
        <v>2541</v>
      </c>
      <c r="E146" s="2275" t="str">
        <f t="shared" si="9"/>
        <v>XL</v>
      </c>
      <c r="F146" s="55">
        <v>14</v>
      </c>
      <c r="G146" s="55" t="s">
        <v>512</v>
      </c>
      <c r="J146" s="55" t="str">
        <f t="shared" si="8"/>
        <v>XLPE3185D</v>
      </c>
    </row>
    <row r="147" spans="1:10" hidden="1">
      <c r="A147" s="79" t="s">
        <v>1705</v>
      </c>
      <c r="B147" s="84"/>
      <c r="C147" s="79" t="s">
        <v>2756</v>
      </c>
      <c r="D147" s="80" t="s">
        <v>2541</v>
      </c>
      <c r="E147" s="2275" t="str">
        <f t="shared" si="9"/>
        <v>XL</v>
      </c>
      <c r="F147" s="55">
        <v>14</v>
      </c>
      <c r="G147" s="55" t="s">
        <v>512</v>
      </c>
      <c r="J147" s="55" t="str">
        <f t="shared" si="8"/>
        <v>XLPE3240D</v>
      </c>
    </row>
    <row r="148" spans="1:10" hidden="1">
      <c r="A148" s="79" t="s">
        <v>7</v>
      </c>
      <c r="B148" s="84"/>
      <c r="C148" s="79" t="s">
        <v>2757</v>
      </c>
      <c r="D148" s="80" t="s">
        <v>2541</v>
      </c>
      <c r="E148" s="2275" t="str">
        <f t="shared" si="9"/>
        <v>XL</v>
      </c>
      <c r="F148" s="55">
        <v>14</v>
      </c>
      <c r="G148" s="55" t="s">
        <v>512</v>
      </c>
      <c r="J148" s="55" t="str">
        <f t="shared" si="8"/>
        <v>XLPE200HT</v>
      </c>
    </row>
    <row r="149" spans="1:10" hidden="1">
      <c r="A149" s="79" t="s">
        <v>2106</v>
      </c>
      <c r="B149" s="84"/>
      <c r="C149" s="79" t="s">
        <v>2758</v>
      </c>
      <c r="D149" s="80" t="s">
        <v>2541</v>
      </c>
      <c r="E149" s="2275" t="str">
        <f t="shared" si="9"/>
        <v>XL</v>
      </c>
      <c r="F149" s="55">
        <v>14</v>
      </c>
      <c r="G149" s="55" t="s">
        <v>512</v>
      </c>
      <c r="J149" s="55" t="str">
        <f t="shared" si="8"/>
        <v>XLPE240HT</v>
      </c>
    </row>
    <row r="150" spans="1:10" hidden="1">
      <c r="A150" s="79" t="s">
        <v>2107</v>
      </c>
      <c r="B150" s="84"/>
      <c r="C150" s="79" t="s">
        <v>2759</v>
      </c>
      <c r="D150" s="80" t="s">
        <v>2541</v>
      </c>
      <c r="E150" s="2275" t="str">
        <f t="shared" si="9"/>
        <v>XL</v>
      </c>
      <c r="F150" s="55">
        <v>14</v>
      </c>
      <c r="G150" s="55" t="s">
        <v>512</v>
      </c>
      <c r="J150" s="55" t="str">
        <f t="shared" si="8"/>
        <v>XLPE250HT</v>
      </c>
    </row>
    <row r="151" spans="1:10" hidden="1">
      <c r="A151" s="79" t="s">
        <v>2108</v>
      </c>
      <c r="B151" s="84"/>
      <c r="C151" s="79" t="s">
        <v>2760</v>
      </c>
      <c r="D151" s="80" t="s">
        <v>2541</v>
      </c>
      <c r="E151" s="2275" t="str">
        <f t="shared" si="9"/>
        <v>XL</v>
      </c>
      <c r="F151" s="55">
        <v>14</v>
      </c>
      <c r="G151" s="55" t="s">
        <v>512</v>
      </c>
      <c r="J151" s="55" t="str">
        <f t="shared" si="8"/>
        <v>XLPE300HT</v>
      </c>
    </row>
    <row r="152" spans="1:10" hidden="1">
      <c r="A152" s="79" t="s">
        <v>476</v>
      </c>
      <c r="B152" s="1779"/>
      <c r="C152" s="79" t="s">
        <v>2761</v>
      </c>
      <c r="D152" s="80" t="s">
        <v>2256</v>
      </c>
      <c r="E152" s="2275" t="str">
        <f t="shared" si="9"/>
        <v>AC</v>
      </c>
      <c r="F152" s="55">
        <v>15</v>
      </c>
      <c r="G152" s="55" t="s">
        <v>512</v>
      </c>
      <c r="J152" s="55" t="str">
        <f t="shared" si="8"/>
        <v>ACKP35</v>
      </c>
    </row>
    <row r="153" spans="1:10" hidden="1">
      <c r="A153" s="79" t="s">
        <v>267</v>
      </c>
      <c r="B153" s="1779"/>
      <c r="C153" s="79" t="s">
        <v>2762</v>
      </c>
      <c r="D153" s="80" t="s">
        <v>2256</v>
      </c>
      <c r="E153" s="2275" t="str">
        <f t="shared" si="9"/>
        <v>AC</v>
      </c>
      <c r="F153" s="55">
        <v>15</v>
      </c>
      <c r="G153" s="55" t="s">
        <v>512</v>
      </c>
      <c r="J153" s="55" t="str">
        <f t="shared" si="8"/>
        <v>ACKP50</v>
      </c>
    </row>
    <row r="154" spans="1:10" hidden="1">
      <c r="A154" s="79" t="s">
        <v>268</v>
      </c>
      <c r="B154" s="1779"/>
      <c r="C154" s="79" t="s">
        <v>2763</v>
      </c>
      <c r="D154" s="80" t="s">
        <v>2256</v>
      </c>
      <c r="E154" s="2275" t="str">
        <f t="shared" si="9"/>
        <v>AC</v>
      </c>
      <c r="F154" s="55">
        <v>15</v>
      </c>
      <c r="G154" s="55" t="s">
        <v>512</v>
      </c>
      <c r="J154" s="55" t="str">
        <f t="shared" si="8"/>
        <v>ACKP70</v>
      </c>
    </row>
    <row r="155" spans="1:10" hidden="1">
      <c r="A155" s="1780" t="s">
        <v>196</v>
      </c>
      <c r="B155" s="84"/>
      <c r="C155" s="79" t="s">
        <v>2764</v>
      </c>
      <c r="D155" s="80" t="s">
        <v>2256</v>
      </c>
      <c r="E155" s="2275" t="str">
        <f t="shared" si="9"/>
        <v>AC</v>
      </c>
      <c r="F155" s="55">
        <v>15</v>
      </c>
      <c r="G155" s="55" t="s">
        <v>512</v>
      </c>
      <c r="J155" s="55" t="str">
        <f t="shared" si="8"/>
        <v>ACKP95</v>
      </c>
    </row>
    <row r="156" spans="1:10" hidden="1">
      <c r="A156" s="79" t="s">
        <v>1422</v>
      </c>
      <c r="B156" s="1779"/>
      <c r="C156" s="79" t="s">
        <v>2765</v>
      </c>
      <c r="D156" s="80" t="s">
        <v>2256</v>
      </c>
      <c r="E156" s="2275" t="str">
        <f t="shared" si="9"/>
        <v>AC</v>
      </c>
      <c r="F156" s="55">
        <v>15</v>
      </c>
      <c r="G156" s="55" t="s">
        <v>512</v>
      </c>
      <c r="J156" s="55" t="str">
        <f t="shared" si="8"/>
        <v>ACKP120</v>
      </c>
    </row>
    <row r="157" spans="1:10" hidden="1">
      <c r="A157" s="79" t="s">
        <v>855</v>
      </c>
      <c r="B157" s="1779"/>
      <c r="C157" s="79" t="s">
        <v>2766</v>
      </c>
      <c r="D157" s="80" t="s">
        <v>2256</v>
      </c>
      <c r="E157" s="2275" t="str">
        <f t="shared" si="9"/>
        <v>AC</v>
      </c>
      <c r="F157" s="55">
        <v>15</v>
      </c>
      <c r="G157" s="55" t="s">
        <v>512</v>
      </c>
      <c r="J157" s="55" t="str">
        <f t="shared" si="8"/>
        <v>ACKP150</v>
      </c>
    </row>
    <row r="158" spans="1:10" hidden="1">
      <c r="A158" s="79" t="s">
        <v>1375</v>
      </c>
      <c r="B158" s="1779"/>
      <c r="C158" s="79" t="s">
        <v>2767</v>
      </c>
      <c r="D158" s="80" t="s">
        <v>2256</v>
      </c>
      <c r="E158" s="2275" t="str">
        <f t="shared" si="9"/>
        <v>AC</v>
      </c>
      <c r="F158" s="55">
        <v>15</v>
      </c>
      <c r="G158" s="55" t="s">
        <v>512</v>
      </c>
      <c r="J158" s="55" t="str">
        <f t="shared" si="8"/>
        <v>ACKP185</v>
      </c>
    </row>
    <row r="159" spans="1:10" hidden="1">
      <c r="A159" s="79" t="s">
        <v>1374</v>
      </c>
      <c r="B159" s="1779"/>
      <c r="C159" s="79" t="s">
        <v>2768</v>
      </c>
      <c r="D159" s="80" t="s">
        <v>2256</v>
      </c>
      <c r="E159" s="2275" t="str">
        <f t="shared" si="9"/>
        <v>AC</v>
      </c>
      <c r="F159" s="55">
        <v>15</v>
      </c>
      <c r="G159" s="55" t="s">
        <v>512</v>
      </c>
      <c r="J159" s="55" t="str">
        <f t="shared" si="8"/>
        <v>ACKP240</v>
      </c>
    </row>
    <row r="160" spans="1:10" hidden="1">
      <c r="A160" s="79" t="s">
        <v>1622</v>
      </c>
      <c r="B160" s="84"/>
      <c r="C160" s="79" t="s">
        <v>2769</v>
      </c>
      <c r="D160" s="80" t="s">
        <v>2541</v>
      </c>
      <c r="E160" s="2275" t="str">
        <f t="shared" si="9"/>
        <v>AC</v>
      </c>
      <c r="F160" s="55">
        <v>11</v>
      </c>
      <c r="G160" s="55" t="s">
        <v>512</v>
      </c>
      <c r="J160" s="55" t="str">
        <f t="shared" si="8"/>
        <v>ACXV150</v>
      </c>
    </row>
    <row r="161" spans="1:10" hidden="1">
      <c r="A161" s="79" t="s">
        <v>360</v>
      </c>
      <c r="B161" s="84"/>
      <c r="C161" s="79" t="s">
        <v>4959</v>
      </c>
      <c r="D161" s="80" t="s">
        <v>2541</v>
      </c>
      <c r="E161" s="2275" t="str">
        <f t="shared" si="9"/>
        <v>AC</v>
      </c>
      <c r="F161" s="55">
        <v>11</v>
      </c>
      <c r="G161" s="55" t="s">
        <v>512</v>
      </c>
      <c r="J161" s="55" t="str">
        <f t="shared" si="8"/>
        <v>ACXV50</v>
      </c>
    </row>
    <row r="162" spans="1:10" hidden="1">
      <c r="A162" s="79" t="s">
        <v>540</v>
      </c>
      <c r="B162" s="1779"/>
      <c r="C162" s="79" t="s">
        <v>2770</v>
      </c>
      <c r="D162" s="80" t="s">
        <v>2256</v>
      </c>
      <c r="E162" s="2275" t="str">
        <f t="shared" si="9"/>
        <v>AC</v>
      </c>
      <c r="F162" s="55">
        <v>15</v>
      </c>
      <c r="G162" s="55" t="s">
        <v>512</v>
      </c>
      <c r="J162" s="55" t="str">
        <f t="shared" si="8"/>
        <v>AC35</v>
      </c>
    </row>
    <row r="163" spans="1:10" hidden="1">
      <c r="A163" s="79" t="s">
        <v>88</v>
      </c>
      <c r="B163" s="1779"/>
      <c r="C163" s="79" t="s">
        <v>2771</v>
      </c>
      <c r="D163" s="80" t="s">
        <v>2256</v>
      </c>
      <c r="E163" s="2275" t="str">
        <f t="shared" si="9"/>
        <v>AC</v>
      </c>
      <c r="F163" s="55">
        <v>15</v>
      </c>
      <c r="G163" s="55" t="s">
        <v>512</v>
      </c>
      <c r="J163" s="55" t="str">
        <f t="shared" si="8"/>
        <v>AC50</v>
      </c>
    </row>
    <row r="164" spans="1:10" hidden="1">
      <c r="A164" s="79" t="s">
        <v>1244</v>
      </c>
      <c r="B164" s="1779"/>
      <c r="C164" s="79" t="s">
        <v>2772</v>
      </c>
      <c r="D164" s="80" t="s">
        <v>2256</v>
      </c>
      <c r="E164" s="2275" t="str">
        <f t="shared" si="9"/>
        <v>AC</v>
      </c>
      <c r="F164" s="55">
        <v>15</v>
      </c>
      <c r="G164" s="55" t="s">
        <v>512</v>
      </c>
      <c r="J164" s="55" t="str">
        <f t="shared" si="8"/>
        <v>AC70</v>
      </c>
    </row>
    <row r="165" spans="1:10" hidden="1">
      <c r="A165" s="1780" t="s">
        <v>269</v>
      </c>
      <c r="B165" s="84"/>
      <c r="C165" s="79" t="s">
        <v>2773</v>
      </c>
      <c r="D165" s="80" t="s">
        <v>2256</v>
      </c>
      <c r="E165" s="2275" t="str">
        <f t="shared" si="9"/>
        <v>AC</v>
      </c>
      <c r="F165" s="55">
        <v>15</v>
      </c>
      <c r="G165" s="55" t="s">
        <v>512</v>
      </c>
      <c r="J165" s="55" t="str">
        <f t="shared" si="8"/>
        <v>AC95</v>
      </c>
    </row>
    <row r="166" spans="1:10" hidden="1">
      <c r="A166" s="79" t="s">
        <v>539</v>
      </c>
      <c r="B166" s="1779"/>
      <c r="C166" s="79" t="s">
        <v>2774</v>
      </c>
      <c r="D166" s="80" t="s">
        <v>2256</v>
      </c>
      <c r="E166" s="2275" t="str">
        <f t="shared" si="9"/>
        <v>AC</v>
      </c>
      <c r="F166" s="55">
        <v>15</v>
      </c>
      <c r="G166" s="55" t="s">
        <v>512</v>
      </c>
      <c r="J166" s="55" t="str">
        <f t="shared" si="8"/>
        <v>AC120</v>
      </c>
    </row>
    <row r="167" spans="1:10" hidden="1">
      <c r="A167" s="79" t="s">
        <v>843</v>
      </c>
      <c r="B167" s="1779"/>
      <c r="C167" s="79" t="s">
        <v>2775</v>
      </c>
      <c r="D167" s="80" t="s">
        <v>2256</v>
      </c>
      <c r="E167" s="2275" t="str">
        <f t="shared" si="9"/>
        <v>AC</v>
      </c>
      <c r="F167" s="55">
        <v>15</v>
      </c>
      <c r="G167" s="55" t="s">
        <v>512</v>
      </c>
      <c r="J167" s="55" t="str">
        <f t="shared" si="8"/>
        <v>AC150</v>
      </c>
    </row>
    <row r="168" spans="1:10" hidden="1">
      <c r="A168" s="79" t="s">
        <v>731</v>
      </c>
      <c r="B168" s="1779"/>
      <c r="C168" s="79" t="s">
        <v>2776</v>
      </c>
      <c r="D168" s="80" t="s">
        <v>2256</v>
      </c>
      <c r="E168" s="2275" t="str">
        <f t="shared" si="9"/>
        <v>AC</v>
      </c>
      <c r="F168" s="55">
        <v>15</v>
      </c>
      <c r="G168" s="55" t="s">
        <v>512</v>
      </c>
      <c r="J168" s="55" t="str">
        <f t="shared" si="8"/>
        <v>AC185</v>
      </c>
    </row>
    <row r="169" spans="1:10" hidden="1">
      <c r="A169" s="79" t="s">
        <v>730</v>
      </c>
      <c r="B169" s="1779"/>
      <c r="C169" s="79" t="s">
        <v>2777</v>
      </c>
      <c r="D169" s="80" t="s">
        <v>2256</v>
      </c>
      <c r="E169" s="2275" t="str">
        <f t="shared" si="9"/>
        <v>AC</v>
      </c>
      <c r="F169" s="55">
        <v>15</v>
      </c>
      <c r="G169" s="55" t="s">
        <v>512</v>
      </c>
      <c r="J169" s="55" t="str">
        <f t="shared" si="8"/>
        <v>AC240</v>
      </c>
    </row>
    <row r="170" spans="1:10" hidden="1">
      <c r="A170" s="79" t="s">
        <v>1738</v>
      </c>
      <c r="B170" s="84"/>
      <c r="C170" s="79" t="s">
        <v>2778</v>
      </c>
      <c r="D170" s="80" t="s">
        <v>2541</v>
      </c>
      <c r="E170" s="2275" t="str">
        <f t="shared" si="9"/>
        <v>av</v>
      </c>
      <c r="F170" s="55">
        <v>14</v>
      </c>
      <c r="G170" s="55" t="s">
        <v>512</v>
      </c>
      <c r="J170" s="55" t="str">
        <f t="shared" si="8"/>
        <v>av35</v>
      </c>
    </row>
    <row r="171" spans="1:10" hidden="1">
      <c r="A171" s="79" t="s">
        <v>210</v>
      </c>
      <c r="B171" s="84"/>
      <c r="C171" s="79" t="s">
        <v>2779</v>
      </c>
      <c r="D171" s="80" t="s">
        <v>2541</v>
      </c>
      <c r="E171" s="2275" t="str">
        <f t="shared" si="9"/>
        <v>av</v>
      </c>
      <c r="F171" s="55">
        <v>14</v>
      </c>
      <c r="G171" s="55" t="s">
        <v>512</v>
      </c>
      <c r="J171" s="55" t="str">
        <f t="shared" si="8"/>
        <v>av50</v>
      </c>
    </row>
    <row r="172" spans="1:10" hidden="1">
      <c r="A172" s="79" t="s">
        <v>211</v>
      </c>
      <c r="B172" s="84"/>
      <c r="C172" s="79" t="s">
        <v>2780</v>
      </c>
      <c r="D172" s="80" t="s">
        <v>2541</v>
      </c>
      <c r="E172" s="2275" t="str">
        <f t="shared" si="9"/>
        <v>av</v>
      </c>
      <c r="F172" s="55">
        <v>14</v>
      </c>
      <c r="G172" s="55" t="s">
        <v>512</v>
      </c>
      <c r="J172" s="55" t="str">
        <f t="shared" si="8"/>
        <v>av70</v>
      </c>
    </row>
    <row r="173" spans="1:10" hidden="1">
      <c r="A173" s="79" t="s">
        <v>212</v>
      </c>
      <c r="B173" s="84"/>
      <c r="C173" s="79" t="s">
        <v>2781</v>
      </c>
      <c r="D173" s="80" t="s">
        <v>2541</v>
      </c>
      <c r="E173" s="2275" t="str">
        <f t="shared" si="9"/>
        <v>av</v>
      </c>
      <c r="F173" s="55">
        <v>14</v>
      </c>
      <c r="G173" s="55" t="s">
        <v>512</v>
      </c>
      <c r="J173" s="55" t="str">
        <f t="shared" si="8"/>
        <v>av95</v>
      </c>
    </row>
    <row r="174" spans="1:10" hidden="1">
      <c r="A174" s="79" t="s">
        <v>154</v>
      </c>
      <c r="B174" s="84"/>
      <c r="C174" s="79" t="s">
        <v>2782</v>
      </c>
      <c r="D174" s="80" t="s">
        <v>2541</v>
      </c>
      <c r="E174" s="2275" t="str">
        <f t="shared" si="9"/>
        <v>av</v>
      </c>
      <c r="F174" s="55">
        <v>14</v>
      </c>
      <c r="G174" s="55" t="s">
        <v>512</v>
      </c>
      <c r="J174" s="55" t="str">
        <f t="shared" si="8"/>
        <v>av120</v>
      </c>
    </row>
    <row r="175" spans="1:10" hidden="1">
      <c r="A175" s="79" t="s">
        <v>1804</v>
      </c>
      <c r="B175" s="84"/>
      <c r="C175" s="79" t="s">
        <v>2783</v>
      </c>
      <c r="D175" s="80" t="s">
        <v>2541</v>
      </c>
      <c r="E175" s="2275" t="str">
        <f t="shared" si="9"/>
        <v>av</v>
      </c>
      <c r="F175" s="55">
        <v>14</v>
      </c>
      <c r="G175" s="55" t="s">
        <v>512</v>
      </c>
      <c r="J175" s="55" t="str">
        <f t="shared" si="8"/>
        <v>av150</v>
      </c>
    </row>
    <row r="176" spans="1:10" hidden="1">
      <c r="A176" s="79" t="s">
        <v>2112</v>
      </c>
      <c r="B176" s="84"/>
      <c r="C176" s="79" t="s">
        <v>2784</v>
      </c>
      <c r="D176" s="80" t="s">
        <v>2541</v>
      </c>
      <c r="E176" s="2275" t="str">
        <f t="shared" si="9"/>
        <v>av</v>
      </c>
      <c r="F176" s="55">
        <v>14</v>
      </c>
      <c r="G176" s="55" t="s">
        <v>512</v>
      </c>
      <c r="J176" s="55" t="str">
        <f t="shared" si="8"/>
        <v>av185</v>
      </c>
    </row>
    <row r="177" spans="1:10" hidden="1">
      <c r="A177" s="79" t="s">
        <v>874</v>
      </c>
      <c r="B177" s="84"/>
      <c r="C177" s="79" t="s">
        <v>2785</v>
      </c>
      <c r="D177" s="80" t="s">
        <v>2541</v>
      </c>
      <c r="E177" s="2275" t="str">
        <f t="shared" si="9"/>
        <v>av</v>
      </c>
      <c r="F177" s="55">
        <v>14</v>
      </c>
      <c r="G177" s="55" t="s">
        <v>512</v>
      </c>
      <c r="J177" s="55" t="str">
        <f t="shared" si="8"/>
        <v>av240</v>
      </c>
    </row>
    <row r="178" spans="1:10" hidden="1">
      <c r="A178" s="79" t="s">
        <v>875</v>
      </c>
      <c r="B178" s="84"/>
      <c r="C178" s="79" t="s">
        <v>2786</v>
      </c>
      <c r="D178" s="80" t="s">
        <v>2541</v>
      </c>
      <c r="E178" s="2275" t="str">
        <f t="shared" si="9"/>
        <v>av</v>
      </c>
      <c r="F178" s="55">
        <v>14</v>
      </c>
      <c r="G178" s="55" t="s">
        <v>512</v>
      </c>
      <c r="J178" s="55" t="str">
        <f t="shared" si="8"/>
        <v>av300</v>
      </c>
    </row>
    <row r="179" spans="1:10" hidden="1">
      <c r="A179" s="1781" t="s">
        <v>2268</v>
      </c>
      <c r="B179" s="84"/>
      <c r="C179" s="79" t="s">
        <v>2787</v>
      </c>
      <c r="D179" s="80" t="s">
        <v>2541</v>
      </c>
      <c r="E179" s="2275" t="str">
        <f t="shared" si="9"/>
        <v>AB</v>
      </c>
      <c r="F179" s="55">
        <v>14</v>
      </c>
      <c r="G179" s="55" t="s">
        <v>512</v>
      </c>
      <c r="J179" s="55" t="str">
        <f t="shared" si="8"/>
        <v>ABC3x50</v>
      </c>
    </row>
    <row r="180" spans="1:10" hidden="1">
      <c r="A180" s="1781" t="s">
        <v>2269</v>
      </c>
      <c r="B180" s="84"/>
      <c r="C180" s="79" t="s">
        <v>2788</v>
      </c>
      <c r="D180" s="80" t="s">
        <v>2541</v>
      </c>
      <c r="E180" s="2275" t="str">
        <f t="shared" si="9"/>
        <v>AB</v>
      </c>
      <c r="F180" s="55">
        <v>14</v>
      </c>
      <c r="G180" s="55" t="s">
        <v>512</v>
      </c>
      <c r="J180" s="55" t="str">
        <f t="shared" si="8"/>
        <v>ABC3x70</v>
      </c>
    </row>
    <row r="181" spans="1:10" hidden="1">
      <c r="A181" s="1781" t="s">
        <v>1151</v>
      </c>
      <c r="B181" s="84"/>
      <c r="C181" s="79" t="s">
        <v>2789</v>
      </c>
      <c r="D181" s="80" t="s">
        <v>2541</v>
      </c>
      <c r="E181" s="2275" t="str">
        <f t="shared" si="9"/>
        <v>AB</v>
      </c>
      <c r="F181" s="55">
        <v>14</v>
      </c>
      <c r="G181" s="55" t="s">
        <v>512</v>
      </c>
      <c r="J181" s="55" t="str">
        <f t="shared" si="8"/>
        <v>ABC4x50</v>
      </c>
    </row>
    <row r="182" spans="1:10" hidden="1">
      <c r="A182" s="1781" t="s">
        <v>1152</v>
      </c>
      <c r="B182" s="84"/>
      <c r="C182" s="79" t="s">
        <v>2790</v>
      </c>
      <c r="D182" s="80" t="s">
        <v>2541</v>
      </c>
      <c r="E182" s="2275" t="str">
        <f t="shared" si="9"/>
        <v>AB</v>
      </c>
      <c r="F182" s="55">
        <v>14</v>
      </c>
      <c r="G182" s="55" t="s">
        <v>512</v>
      </c>
      <c r="J182" s="55" t="str">
        <f t="shared" si="8"/>
        <v>ABC4x70</v>
      </c>
    </row>
    <row r="183" spans="1:10" hidden="1">
      <c r="A183" s="1781" t="s">
        <v>2270</v>
      </c>
      <c r="B183" s="84"/>
      <c r="C183" s="79" t="s">
        <v>4354</v>
      </c>
      <c r="D183" s="80" t="s">
        <v>2541</v>
      </c>
      <c r="E183" s="2275" t="str">
        <f t="shared" si="9"/>
        <v>AB</v>
      </c>
      <c r="F183" s="55">
        <v>14</v>
      </c>
      <c r="G183" s="55" t="s">
        <v>512</v>
      </c>
      <c r="J183" s="55" t="str">
        <f t="shared" si="8"/>
        <v>ABC3x95</v>
      </c>
    </row>
    <row r="184" spans="1:10" hidden="1">
      <c r="A184" s="1781" t="s">
        <v>1153</v>
      </c>
      <c r="B184" s="84"/>
      <c r="C184" s="79" t="s">
        <v>4515</v>
      </c>
      <c r="D184" s="80" t="s">
        <v>2541</v>
      </c>
      <c r="E184" s="2275" t="str">
        <f t="shared" ref="E184" si="12">LEFT(A184,2)</f>
        <v>AB</v>
      </c>
      <c r="F184" s="55">
        <v>14</v>
      </c>
      <c r="G184" s="55" t="s">
        <v>512</v>
      </c>
      <c r="J184" s="55" t="str">
        <f t="shared" si="8"/>
        <v>ABC4x95</v>
      </c>
    </row>
    <row r="185" spans="1:10" hidden="1">
      <c r="A185" s="1781" t="s">
        <v>1154</v>
      </c>
      <c r="B185" s="84"/>
      <c r="C185" s="79" t="s">
        <v>2791</v>
      </c>
      <c r="D185" s="80" t="s">
        <v>2541</v>
      </c>
      <c r="E185" s="2275" t="str">
        <f t="shared" si="9"/>
        <v>AB</v>
      </c>
      <c r="F185" s="55">
        <v>14</v>
      </c>
      <c r="G185" s="55" t="s">
        <v>512</v>
      </c>
      <c r="J185" s="55" t="str">
        <f t="shared" si="8"/>
        <v>ABC4x120</v>
      </c>
    </row>
    <row r="186" spans="1:10" hidden="1">
      <c r="A186" s="1781" t="s">
        <v>116</v>
      </c>
      <c r="B186" s="84"/>
      <c r="C186" s="79" t="s">
        <v>2792</v>
      </c>
      <c r="D186" s="80" t="s">
        <v>2541</v>
      </c>
      <c r="E186" s="2275" t="str">
        <f t="shared" si="9"/>
        <v>AB</v>
      </c>
      <c r="F186" s="55">
        <v>14</v>
      </c>
      <c r="G186" s="55" t="s">
        <v>512</v>
      </c>
      <c r="J186" s="55" t="str">
        <f t="shared" si="8"/>
        <v>ABC4x150</v>
      </c>
    </row>
    <row r="187" spans="1:10" hidden="1">
      <c r="A187" s="79" t="s">
        <v>8</v>
      </c>
      <c r="B187" s="83" t="s">
        <v>1532</v>
      </c>
      <c r="C187" s="79" t="s">
        <v>2793</v>
      </c>
      <c r="D187" s="80" t="s">
        <v>2541</v>
      </c>
      <c r="E187" s="2275" t="str">
        <f t="shared" si="9"/>
        <v>CV</v>
      </c>
      <c r="F187" s="55">
        <v>9</v>
      </c>
      <c r="G187" s="55" t="s">
        <v>512</v>
      </c>
      <c r="J187" s="55" t="str">
        <f t="shared" si="8"/>
        <v>CVV2x2,5</v>
      </c>
    </row>
    <row r="188" spans="1:10" hidden="1">
      <c r="A188" s="79" t="s">
        <v>1173</v>
      </c>
      <c r="B188" s="83" t="s">
        <v>1532</v>
      </c>
      <c r="C188" s="81" t="s">
        <v>2794</v>
      </c>
      <c r="D188" s="80" t="s">
        <v>2541</v>
      </c>
      <c r="E188" s="2275" t="str">
        <f t="shared" si="9"/>
        <v>CV</v>
      </c>
      <c r="F188" s="55">
        <v>9</v>
      </c>
      <c r="G188" s="55" t="s">
        <v>512</v>
      </c>
      <c r="J188" s="55" t="str">
        <f t="shared" si="8"/>
        <v>CVV316</v>
      </c>
    </row>
    <row r="189" spans="1:10" hidden="1">
      <c r="A189" s="79" t="s">
        <v>1828</v>
      </c>
      <c r="B189" s="83" t="s">
        <v>1532</v>
      </c>
      <c r="C189" s="79" t="s">
        <v>2795</v>
      </c>
      <c r="D189" s="80" t="s">
        <v>2541</v>
      </c>
      <c r="E189" s="2275" t="str">
        <f t="shared" si="9"/>
        <v>CV</v>
      </c>
      <c r="F189" s="55">
        <v>9</v>
      </c>
      <c r="G189" s="55" t="s">
        <v>512</v>
      </c>
      <c r="J189" s="55" t="str">
        <f t="shared" si="8"/>
        <v>CVV4X2,5</v>
      </c>
    </row>
    <row r="190" spans="1:10" hidden="1">
      <c r="A190" s="79" t="s">
        <v>2147</v>
      </c>
      <c r="B190" s="83"/>
      <c r="C190" s="79" t="s">
        <v>2796</v>
      </c>
      <c r="D190" s="80" t="s">
        <v>2541</v>
      </c>
      <c r="E190" s="2275" t="str">
        <f t="shared" si="9"/>
        <v>M5</v>
      </c>
      <c r="F190" s="55">
        <v>50</v>
      </c>
      <c r="G190" s="55" t="s">
        <v>512</v>
      </c>
      <c r="J190" s="55" t="str">
        <f t="shared" si="8"/>
        <v>M5M</v>
      </c>
    </row>
    <row r="191" spans="1:10" hidden="1">
      <c r="A191" s="79" t="s">
        <v>2284</v>
      </c>
      <c r="B191" s="83" t="s">
        <v>1532</v>
      </c>
      <c r="C191" s="79" t="s">
        <v>2797</v>
      </c>
      <c r="D191" s="80" t="s">
        <v>2541</v>
      </c>
      <c r="E191" s="2275" t="str">
        <f t="shared" si="9"/>
        <v>CV</v>
      </c>
      <c r="F191" s="55">
        <v>9</v>
      </c>
      <c r="G191" s="55" t="s">
        <v>512</v>
      </c>
      <c r="J191" s="55" t="str">
        <f t="shared" si="8"/>
        <v>CVV4X4</v>
      </c>
    </row>
    <row r="192" spans="1:10" hidden="1">
      <c r="A192" s="79" t="s">
        <v>1373</v>
      </c>
      <c r="B192" s="1782" t="s">
        <v>2257</v>
      </c>
      <c r="C192" s="79" t="s">
        <v>2798</v>
      </c>
      <c r="D192" s="80" t="s">
        <v>2541</v>
      </c>
      <c r="E192" s="2275" t="str">
        <f t="shared" si="9"/>
        <v>CV</v>
      </c>
      <c r="F192" s="55">
        <v>8</v>
      </c>
      <c r="G192" s="55" t="s">
        <v>512</v>
      </c>
      <c r="J192" s="55" t="str">
        <f t="shared" si="8"/>
        <v>CV2,5</v>
      </c>
    </row>
    <row r="193" spans="1:10" hidden="1">
      <c r="A193" s="79" t="s">
        <v>2115</v>
      </c>
      <c r="B193" s="1782" t="s">
        <v>2257</v>
      </c>
      <c r="C193" s="79" t="s">
        <v>2799</v>
      </c>
      <c r="D193" s="80" t="s">
        <v>2541</v>
      </c>
      <c r="E193" s="2275" t="str">
        <f t="shared" si="9"/>
        <v>cv</v>
      </c>
      <c r="F193" s="55">
        <v>16</v>
      </c>
      <c r="G193" s="55" t="s">
        <v>512</v>
      </c>
      <c r="J193" s="55" t="str">
        <f t="shared" si="8"/>
        <v>cv11</v>
      </c>
    </row>
    <row r="194" spans="1:10" hidden="1">
      <c r="A194" s="79" t="s">
        <v>497</v>
      </c>
      <c r="B194" s="1782" t="s">
        <v>2257</v>
      </c>
      <c r="C194" s="79" t="s">
        <v>2800</v>
      </c>
      <c r="D194" s="80" t="s">
        <v>2541</v>
      </c>
      <c r="E194" s="2275" t="str">
        <f t="shared" si="9"/>
        <v>cv</v>
      </c>
      <c r="F194" s="55">
        <v>8</v>
      </c>
      <c r="G194" s="55" t="s">
        <v>512</v>
      </c>
      <c r="J194" s="55" t="str">
        <f t="shared" si="8"/>
        <v>cv16</v>
      </c>
    </row>
    <row r="195" spans="1:10" hidden="1">
      <c r="A195" s="79" t="s">
        <v>1531</v>
      </c>
      <c r="B195" s="1782"/>
      <c r="C195" s="79" t="s">
        <v>2801</v>
      </c>
      <c r="D195" s="80" t="s">
        <v>2541</v>
      </c>
      <c r="E195" s="2275" t="str">
        <f t="shared" ref="E195" si="13">LEFT(A195,2)</f>
        <v>cv</v>
      </c>
      <c r="F195" s="55">
        <v>8</v>
      </c>
      <c r="G195" s="55" t="s">
        <v>512</v>
      </c>
      <c r="J195" s="55" t="str">
        <f t="shared" ref="J195" si="14">A195</f>
        <v>cv25</v>
      </c>
    </row>
    <row r="196" spans="1:10" hidden="1">
      <c r="A196" s="79" t="s">
        <v>5189</v>
      </c>
      <c r="B196" s="1782"/>
      <c r="C196" s="79" t="s">
        <v>5190</v>
      </c>
      <c r="D196" s="80" t="s">
        <v>2541</v>
      </c>
      <c r="E196" s="2275" t="str">
        <f t="shared" si="9"/>
        <v>cx</v>
      </c>
      <c r="F196" s="55">
        <v>8</v>
      </c>
      <c r="G196" s="55" t="s">
        <v>512</v>
      </c>
      <c r="J196" s="55" t="str">
        <f t="shared" si="8"/>
        <v>cxv25</v>
      </c>
    </row>
    <row r="197" spans="1:10" hidden="1">
      <c r="A197" s="79" t="s">
        <v>60</v>
      </c>
      <c r="B197" s="1782"/>
      <c r="C197" s="79" t="s">
        <v>2802</v>
      </c>
      <c r="D197" s="80" t="s">
        <v>2541</v>
      </c>
      <c r="E197" s="2275" t="str">
        <f t="shared" si="9"/>
        <v>cv</v>
      </c>
      <c r="F197" s="55">
        <v>8</v>
      </c>
      <c r="G197" s="55" t="s">
        <v>512</v>
      </c>
      <c r="J197" s="55" t="str">
        <f t="shared" si="8"/>
        <v>cv35</v>
      </c>
    </row>
    <row r="198" spans="1:10" hidden="1">
      <c r="A198" s="79" t="s">
        <v>273</v>
      </c>
      <c r="B198" s="1782"/>
      <c r="C198" s="79" t="s">
        <v>2803</v>
      </c>
      <c r="D198" s="80" t="s">
        <v>2541</v>
      </c>
      <c r="E198" s="2275" t="str">
        <f t="shared" si="9"/>
        <v>cv</v>
      </c>
      <c r="F198" s="55">
        <v>8</v>
      </c>
      <c r="G198" s="55" t="s">
        <v>512</v>
      </c>
      <c r="J198" s="55" t="str">
        <f t="shared" si="8"/>
        <v>cv50</v>
      </c>
    </row>
    <row r="199" spans="1:10" hidden="1">
      <c r="A199" s="79" t="s">
        <v>1628</v>
      </c>
      <c r="B199" s="1782"/>
      <c r="C199" s="79" t="s">
        <v>2804</v>
      </c>
      <c r="D199" s="80" t="s">
        <v>2541</v>
      </c>
      <c r="E199" s="2275" t="str">
        <f t="shared" si="9"/>
        <v>cv</v>
      </c>
      <c r="F199" s="55">
        <v>8</v>
      </c>
      <c r="G199" s="55" t="s">
        <v>512</v>
      </c>
      <c r="J199" s="55" t="str">
        <f t="shared" ref="J199:J262" si="15">A199</f>
        <v>cv70</v>
      </c>
    </row>
    <row r="200" spans="1:10" hidden="1">
      <c r="A200" s="79" t="s">
        <v>274</v>
      </c>
      <c r="B200" s="1782"/>
      <c r="C200" s="79" t="s">
        <v>2805</v>
      </c>
      <c r="D200" s="80" t="s">
        <v>2541</v>
      </c>
      <c r="E200" s="2275" t="str">
        <f t="shared" si="9"/>
        <v>cv</v>
      </c>
      <c r="F200" s="55">
        <v>8</v>
      </c>
      <c r="G200" s="55" t="s">
        <v>512</v>
      </c>
      <c r="J200" s="55" t="str">
        <f t="shared" si="15"/>
        <v>cv95</v>
      </c>
    </row>
    <row r="201" spans="1:10" hidden="1">
      <c r="A201" s="79" t="s">
        <v>32</v>
      </c>
      <c r="B201" s="84"/>
      <c r="C201" s="79" t="s">
        <v>2806</v>
      </c>
      <c r="D201" s="80" t="s">
        <v>2541</v>
      </c>
      <c r="E201" s="2275" t="str">
        <f t="shared" si="9"/>
        <v>cv</v>
      </c>
      <c r="F201" s="55">
        <v>8</v>
      </c>
      <c r="G201" s="55" t="s">
        <v>512</v>
      </c>
      <c r="J201" s="55" t="str">
        <f t="shared" si="15"/>
        <v>cv120</v>
      </c>
    </row>
    <row r="202" spans="1:10" hidden="1">
      <c r="A202" s="79" t="s">
        <v>34</v>
      </c>
      <c r="B202" s="84"/>
      <c r="C202" s="79" t="s">
        <v>2807</v>
      </c>
      <c r="D202" s="80" t="s">
        <v>2541</v>
      </c>
      <c r="E202" s="2275" t="str">
        <f t="shared" ref="E202:E267" si="16">LEFT(A202,2)</f>
        <v>cv</v>
      </c>
      <c r="F202" s="55">
        <v>8</v>
      </c>
      <c r="G202" s="55" t="s">
        <v>512</v>
      </c>
      <c r="J202" s="55" t="str">
        <f t="shared" si="15"/>
        <v>cv150</v>
      </c>
    </row>
    <row r="203" spans="1:10" hidden="1">
      <c r="A203" s="79" t="s">
        <v>1015</v>
      </c>
      <c r="B203" s="84"/>
      <c r="C203" s="79" t="s">
        <v>2808</v>
      </c>
      <c r="D203" s="80" t="s">
        <v>2541</v>
      </c>
      <c r="E203" s="2275" t="str">
        <f t="shared" si="16"/>
        <v>cv</v>
      </c>
      <c r="F203" s="55">
        <v>8</v>
      </c>
      <c r="G203" s="55" t="s">
        <v>512</v>
      </c>
      <c r="J203" s="55" t="str">
        <f t="shared" si="15"/>
        <v>cv185</v>
      </c>
    </row>
    <row r="204" spans="1:10" hidden="1">
      <c r="A204" s="79" t="s">
        <v>608</v>
      </c>
      <c r="B204" s="84"/>
      <c r="C204" s="79" t="s">
        <v>2809</v>
      </c>
      <c r="D204" s="80" t="s">
        <v>2541</v>
      </c>
      <c r="E204" s="2275" t="str">
        <f t="shared" si="16"/>
        <v>cv</v>
      </c>
      <c r="F204" s="55">
        <v>8</v>
      </c>
      <c r="G204" s="55" t="s">
        <v>512</v>
      </c>
      <c r="J204" s="55" t="str">
        <f t="shared" si="15"/>
        <v>cv200</v>
      </c>
    </row>
    <row r="205" spans="1:10" hidden="1">
      <c r="A205" s="79" t="s">
        <v>1576</v>
      </c>
      <c r="B205" s="84"/>
      <c r="C205" s="79" t="s">
        <v>2810</v>
      </c>
      <c r="D205" s="80" t="s">
        <v>2541</v>
      </c>
      <c r="E205" s="2275" t="str">
        <f t="shared" si="16"/>
        <v>cv</v>
      </c>
      <c r="F205" s="55">
        <v>8</v>
      </c>
      <c r="G205" s="55" t="s">
        <v>512</v>
      </c>
      <c r="J205" s="55" t="str">
        <f t="shared" si="15"/>
        <v>cv240</v>
      </c>
    </row>
    <row r="206" spans="1:10" hidden="1">
      <c r="A206" s="79" t="s">
        <v>89</v>
      </c>
      <c r="B206" s="84"/>
      <c r="C206" s="79" t="s">
        <v>2811</v>
      </c>
      <c r="D206" s="80" t="s">
        <v>2541</v>
      </c>
      <c r="E206" s="2275" t="str">
        <f t="shared" si="16"/>
        <v>cv</v>
      </c>
      <c r="F206" s="55">
        <v>8</v>
      </c>
      <c r="G206" s="55" t="s">
        <v>512</v>
      </c>
      <c r="J206" s="55" t="str">
        <f t="shared" si="15"/>
        <v>cv250</v>
      </c>
    </row>
    <row r="207" spans="1:10" hidden="1">
      <c r="A207" s="79" t="s">
        <v>2156</v>
      </c>
      <c r="B207" s="84"/>
      <c r="C207" s="79" t="s">
        <v>2812</v>
      </c>
      <c r="D207" s="80" t="s">
        <v>2541</v>
      </c>
      <c r="E207" s="2275" t="str">
        <f t="shared" si="16"/>
        <v>cv</v>
      </c>
      <c r="F207" s="55">
        <v>8</v>
      </c>
      <c r="G207" s="55" t="s">
        <v>512</v>
      </c>
      <c r="J207" s="55" t="str">
        <f t="shared" si="15"/>
        <v>cv300</v>
      </c>
    </row>
    <row r="208" spans="1:10" hidden="1">
      <c r="A208" s="79" t="s">
        <v>1917</v>
      </c>
      <c r="B208" s="84"/>
      <c r="C208" s="79" t="s">
        <v>2813</v>
      </c>
      <c r="D208" s="80" t="s">
        <v>2541</v>
      </c>
      <c r="E208" s="2275" t="str">
        <f t="shared" si="16"/>
        <v>cv</v>
      </c>
      <c r="F208" s="55">
        <v>8</v>
      </c>
      <c r="G208" s="55" t="s">
        <v>512</v>
      </c>
      <c r="J208" s="55" t="str">
        <f t="shared" si="15"/>
        <v>cv400</v>
      </c>
    </row>
    <row r="209" spans="1:10" hidden="1">
      <c r="A209" s="79" t="s">
        <v>1477</v>
      </c>
      <c r="B209" s="84"/>
      <c r="C209" s="79" t="s">
        <v>2814</v>
      </c>
      <c r="D209" s="80" t="s">
        <v>2541</v>
      </c>
      <c r="E209" s="2275" t="str">
        <f t="shared" si="16"/>
        <v>ac</v>
      </c>
      <c r="F209" s="55">
        <v>13</v>
      </c>
      <c r="G209" s="55" t="s">
        <v>512</v>
      </c>
      <c r="J209" s="55" t="str">
        <f t="shared" si="15"/>
        <v>acv35</v>
      </c>
    </row>
    <row r="210" spans="1:10" hidden="1">
      <c r="A210" s="79" t="s">
        <v>886</v>
      </c>
      <c r="B210" s="84"/>
      <c r="C210" s="79" t="s">
        <v>2815</v>
      </c>
      <c r="D210" s="80" t="s">
        <v>2541</v>
      </c>
      <c r="E210" s="2275" t="str">
        <f t="shared" si="16"/>
        <v>ac</v>
      </c>
      <c r="F210" s="55">
        <v>13</v>
      </c>
      <c r="G210" s="55" t="s">
        <v>512</v>
      </c>
      <c r="J210" s="55" t="str">
        <f t="shared" si="15"/>
        <v>acv50</v>
      </c>
    </row>
    <row r="211" spans="1:10" hidden="1">
      <c r="A211" s="79" t="s">
        <v>603</v>
      </c>
      <c r="B211" s="84"/>
      <c r="C211" s="79" t="s">
        <v>2816</v>
      </c>
      <c r="D211" s="80" t="s">
        <v>2541</v>
      </c>
      <c r="E211" s="2275" t="str">
        <f t="shared" si="16"/>
        <v>ac</v>
      </c>
      <c r="F211" s="55">
        <v>13</v>
      </c>
      <c r="G211" s="55" t="s">
        <v>512</v>
      </c>
      <c r="J211" s="55" t="str">
        <f t="shared" si="15"/>
        <v>acv70</v>
      </c>
    </row>
    <row r="212" spans="1:10" hidden="1">
      <c r="A212" s="79" t="s">
        <v>645</v>
      </c>
      <c r="B212" s="84"/>
      <c r="C212" s="79" t="s">
        <v>2817</v>
      </c>
      <c r="D212" s="80" t="s">
        <v>2541</v>
      </c>
      <c r="E212" s="2275" t="str">
        <f t="shared" si="16"/>
        <v>ac</v>
      </c>
      <c r="F212" s="55">
        <v>13</v>
      </c>
      <c r="G212" s="55" t="s">
        <v>512</v>
      </c>
      <c r="J212" s="55" t="str">
        <f t="shared" si="15"/>
        <v>acv95</v>
      </c>
    </row>
    <row r="213" spans="1:10" hidden="1">
      <c r="A213" s="79" t="s">
        <v>66</v>
      </c>
      <c r="B213" s="84"/>
      <c r="C213" s="79" t="s">
        <v>2818</v>
      </c>
      <c r="D213" s="80" t="s">
        <v>2541</v>
      </c>
      <c r="E213" s="2275" t="str">
        <f t="shared" si="16"/>
        <v>ac</v>
      </c>
      <c r="F213" s="55">
        <v>13</v>
      </c>
      <c r="G213" s="55" t="s">
        <v>512</v>
      </c>
      <c r="J213" s="55" t="str">
        <f t="shared" si="15"/>
        <v>acv120</v>
      </c>
    </row>
    <row r="214" spans="1:10" hidden="1">
      <c r="A214" s="79" t="s">
        <v>206</v>
      </c>
      <c r="B214" s="84"/>
      <c r="C214" s="79" t="s">
        <v>2819</v>
      </c>
      <c r="D214" s="80" t="s">
        <v>2541</v>
      </c>
      <c r="E214" s="2275" t="str">
        <f t="shared" si="16"/>
        <v>ac</v>
      </c>
      <c r="F214" s="55">
        <v>13</v>
      </c>
      <c r="G214" s="55" t="s">
        <v>512</v>
      </c>
      <c r="J214" s="55" t="str">
        <f t="shared" si="15"/>
        <v>acv150</v>
      </c>
    </row>
    <row r="215" spans="1:10" hidden="1">
      <c r="A215" s="79" t="s">
        <v>207</v>
      </c>
      <c r="B215" s="84"/>
      <c r="C215" s="79" t="s">
        <v>2820</v>
      </c>
      <c r="D215" s="80" t="s">
        <v>2541</v>
      </c>
      <c r="E215" s="2275" t="str">
        <f t="shared" si="16"/>
        <v>ac</v>
      </c>
      <c r="F215" s="55">
        <v>13</v>
      </c>
      <c r="G215" s="55" t="s">
        <v>512</v>
      </c>
      <c r="J215" s="55" t="str">
        <f t="shared" si="15"/>
        <v>acv185</v>
      </c>
    </row>
    <row r="216" spans="1:10" hidden="1">
      <c r="A216" s="79" t="s">
        <v>208</v>
      </c>
      <c r="B216" s="84"/>
      <c r="C216" s="79" t="s">
        <v>2821</v>
      </c>
      <c r="D216" s="80" t="s">
        <v>2541</v>
      </c>
      <c r="E216" s="2275" t="str">
        <f t="shared" si="16"/>
        <v>ac</v>
      </c>
      <c r="F216" s="55">
        <v>13</v>
      </c>
      <c r="G216" s="55" t="s">
        <v>512</v>
      </c>
      <c r="J216" s="55" t="str">
        <f t="shared" si="15"/>
        <v>acv240</v>
      </c>
    </row>
    <row r="217" spans="1:10" hidden="1">
      <c r="A217" s="79" t="s">
        <v>1042</v>
      </c>
      <c r="B217" s="1779"/>
      <c r="C217" s="79" t="s">
        <v>2822</v>
      </c>
      <c r="D217" s="80" t="s">
        <v>2256</v>
      </c>
      <c r="E217" s="2275" t="str">
        <f t="shared" si="16"/>
        <v>A3</v>
      </c>
      <c r="F217" s="55">
        <v>14</v>
      </c>
      <c r="G217" s="55" t="s">
        <v>512</v>
      </c>
      <c r="J217" s="55" t="str">
        <f t="shared" si="15"/>
        <v>A35</v>
      </c>
    </row>
    <row r="218" spans="1:10" hidden="1">
      <c r="A218" s="79" t="s">
        <v>295</v>
      </c>
      <c r="B218" s="1779"/>
      <c r="C218" s="79" t="s">
        <v>2823</v>
      </c>
      <c r="D218" s="80" t="s">
        <v>2256</v>
      </c>
      <c r="E218" s="2275" t="str">
        <f t="shared" si="16"/>
        <v>A5</v>
      </c>
      <c r="F218" s="55">
        <v>14</v>
      </c>
      <c r="G218" s="55" t="s">
        <v>512</v>
      </c>
      <c r="J218" s="55" t="str">
        <f t="shared" si="15"/>
        <v>A50</v>
      </c>
    </row>
    <row r="219" spans="1:10" hidden="1">
      <c r="A219" s="79" t="s">
        <v>659</v>
      </c>
      <c r="B219" s="1779"/>
      <c r="C219" s="79" t="s">
        <v>2824</v>
      </c>
      <c r="D219" s="80" t="s">
        <v>2256</v>
      </c>
      <c r="E219" s="2275" t="str">
        <f t="shared" si="16"/>
        <v>A7</v>
      </c>
      <c r="F219" s="55">
        <v>14</v>
      </c>
      <c r="G219" s="55" t="s">
        <v>512</v>
      </c>
      <c r="J219" s="55" t="str">
        <f t="shared" si="15"/>
        <v>A70</v>
      </c>
    </row>
    <row r="220" spans="1:10" hidden="1">
      <c r="A220" s="79" t="s">
        <v>660</v>
      </c>
      <c r="B220" s="1779"/>
      <c r="C220" s="79" t="s">
        <v>2825</v>
      </c>
      <c r="D220" s="80" t="s">
        <v>2256</v>
      </c>
      <c r="E220" s="2275" t="str">
        <f t="shared" si="16"/>
        <v>A9</v>
      </c>
      <c r="F220" s="55">
        <v>14</v>
      </c>
      <c r="G220" s="55" t="s">
        <v>512</v>
      </c>
      <c r="J220" s="55" t="str">
        <f t="shared" si="15"/>
        <v>A95</v>
      </c>
    </row>
    <row r="221" spans="1:10" hidden="1">
      <c r="A221" s="79" t="s">
        <v>661</v>
      </c>
      <c r="B221" s="1779"/>
      <c r="C221" s="79" t="s">
        <v>2826</v>
      </c>
      <c r="D221" s="80" t="s">
        <v>2256</v>
      </c>
      <c r="E221" s="2275" t="str">
        <f t="shared" si="16"/>
        <v>A1</v>
      </c>
      <c r="F221" s="55">
        <v>14</v>
      </c>
      <c r="G221" s="55" t="s">
        <v>512</v>
      </c>
      <c r="J221" s="55" t="str">
        <f t="shared" si="15"/>
        <v>A120</v>
      </c>
    </row>
    <row r="222" spans="1:10" hidden="1">
      <c r="A222" s="79" t="s">
        <v>2187</v>
      </c>
      <c r="B222" s="1779"/>
      <c r="C222" s="79" t="s">
        <v>2827</v>
      </c>
      <c r="D222" s="80" t="s">
        <v>2256</v>
      </c>
      <c r="E222" s="2275" t="str">
        <f t="shared" si="16"/>
        <v>A1</v>
      </c>
      <c r="F222" s="55">
        <v>14</v>
      </c>
      <c r="G222" s="55" t="s">
        <v>512</v>
      </c>
      <c r="J222" s="55" t="str">
        <f t="shared" si="15"/>
        <v>A150</v>
      </c>
    </row>
    <row r="223" spans="1:10" hidden="1">
      <c r="A223" s="79" t="s">
        <v>1072</v>
      </c>
      <c r="B223" s="1779"/>
      <c r="C223" s="79" t="s">
        <v>2828</v>
      </c>
      <c r="D223" s="80" t="s">
        <v>2256</v>
      </c>
      <c r="E223" s="2275" t="str">
        <f t="shared" si="16"/>
        <v>A1</v>
      </c>
      <c r="F223" s="55">
        <v>14</v>
      </c>
      <c r="G223" s="55" t="s">
        <v>512</v>
      </c>
      <c r="J223" s="55" t="str">
        <f t="shared" si="15"/>
        <v>A185</v>
      </c>
    </row>
    <row r="224" spans="1:10" hidden="1">
      <c r="A224" s="79" t="s">
        <v>1073</v>
      </c>
      <c r="B224" s="1779"/>
      <c r="C224" s="79" t="s">
        <v>2829</v>
      </c>
      <c r="D224" s="80" t="s">
        <v>2256</v>
      </c>
      <c r="E224" s="2275" t="str">
        <f t="shared" si="16"/>
        <v>A2</v>
      </c>
      <c r="F224" s="55">
        <v>14</v>
      </c>
      <c r="G224" s="55" t="s">
        <v>512</v>
      </c>
      <c r="J224" s="55" t="str">
        <f t="shared" si="15"/>
        <v>A240</v>
      </c>
    </row>
    <row r="225" spans="1:10" hidden="1">
      <c r="A225" s="1783" t="s">
        <v>275</v>
      </c>
      <c r="B225" s="84"/>
      <c r="C225" s="79" t="s">
        <v>2830</v>
      </c>
      <c r="D225" s="80" t="s">
        <v>2256</v>
      </c>
      <c r="E225" s="2275" t="str">
        <f t="shared" si="16"/>
        <v>C3</v>
      </c>
      <c r="F225" s="55">
        <v>16</v>
      </c>
      <c r="G225" s="55" t="s">
        <v>512</v>
      </c>
      <c r="J225" s="55" t="str">
        <f t="shared" si="15"/>
        <v>C3/8</v>
      </c>
    </row>
    <row r="226" spans="1:10" hidden="1">
      <c r="A226" s="1783" t="s">
        <v>1364</v>
      </c>
      <c r="B226" s="84"/>
      <c r="C226" s="79" t="s">
        <v>2831</v>
      </c>
      <c r="D226" s="80" t="s">
        <v>2256</v>
      </c>
      <c r="E226" s="2275" t="str">
        <f t="shared" si="16"/>
        <v>C5</v>
      </c>
      <c r="F226" s="55">
        <v>16</v>
      </c>
      <c r="G226" s="55" t="s">
        <v>512</v>
      </c>
      <c r="J226" s="55" t="str">
        <f t="shared" si="15"/>
        <v>C5/8</v>
      </c>
    </row>
    <row r="227" spans="1:10" hidden="1">
      <c r="A227" s="79" t="s">
        <v>1271</v>
      </c>
      <c r="B227" s="1779"/>
      <c r="C227" s="79" t="s">
        <v>2832</v>
      </c>
      <c r="D227" s="80" t="s">
        <v>2566</v>
      </c>
      <c r="E227" s="2275" t="str">
        <f t="shared" si="16"/>
        <v>CS</v>
      </c>
      <c r="F227" s="55">
        <v>50</v>
      </c>
      <c r="G227" s="55" t="s">
        <v>512</v>
      </c>
      <c r="J227" s="55" t="str">
        <f t="shared" si="15"/>
        <v>CSDI</v>
      </c>
    </row>
    <row r="228" spans="1:10" hidden="1">
      <c r="A228" s="79" t="s">
        <v>590</v>
      </c>
      <c r="B228" s="1779"/>
      <c r="C228" s="79" t="s">
        <v>2833</v>
      </c>
      <c r="D228" s="80" t="s">
        <v>2566</v>
      </c>
      <c r="E228" s="2275" t="str">
        <f t="shared" si="16"/>
        <v>CS</v>
      </c>
      <c r="F228" s="55">
        <v>50</v>
      </c>
      <c r="G228" s="55" t="s">
        <v>512</v>
      </c>
      <c r="J228" s="55" t="str">
        <f t="shared" si="15"/>
        <v>CSDG</v>
      </c>
    </row>
    <row r="229" spans="1:10" hidden="1">
      <c r="A229" s="1780" t="s">
        <v>1270</v>
      </c>
      <c r="B229" s="84"/>
      <c r="C229" s="79" t="s">
        <v>2834</v>
      </c>
      <c r="D229" s="80" t="s">
        <v>2566</v>
      </c>
      <c r="E229" s="2275" t="str">
        <f t="shared" si="16"/>
        <v>CS</v>
      </c>
      <c r="F229" s="55">
        <v>50</v>
      </c>
      <c r="G229" s="55" t="s">
        <v>512</v>
      </c>
      <c r="J229" s="55" t="str">
        <f t="shared" si="15"/>
        <v>CSD</v>
      </c>
    </row>
    <row r="230" spans="1:10" hidden="1">
      <c r="A230" s="79" t="s">
        <v>229</v>
      </c>
      <c r="B230" s="1779"/>
      <c r="C230" s="79" t="s">
        <v>2835</v>
      </c>
      <c r="D230" s="80" t="s">
        <v>2256</v>
      </c>
      <c r="E230" s="2275" t="str">
        <f t="shared" ref="E230" si="17">LEFT(A230,2)</f>
        <v>DA</v>
      </c>
      <c r="F230" s="55">
        <v>50</v>
      </c>
      <c r="G230" s="55" t="s">
        <v>512</v>
      </c>
      <c r="J230" s="55" t="str">
        <f t="shared" si="15"/>
        <v>DAYA</v>
      </c>
    </row>
    <row r="231" spans="1:10" hidden="1">
      <c r="A231" s="79" t="s">
        <v>4497</v>
      </c>
      <c r="B231" s="1779"/>
      <c r="C231" s="79" t="s">
        <v>4498</v>
      </c>
      <c r="D231" s="80" t="s">
        <v>2256</v>
      </c>
      <c r="E231" s="2275" t="str">
        <f t="shared" si="16"/>
        <v>DA</v>
      </c>
      <c r="F231" s="55">
        <v>50</v>
      </c>
      <c r="G231" s="55" t="s">
        <v>512</v>
      </c>
      <c r="J231" s="55" t="str">
        <f t="shared" si="15"/>
        <v>DAYA70</v>
      </c>
    </row>
    <row r="232" spans="1:10">
      <c r="A232" s="79" t="s">
        <v>1461</v>
      </c>
      <c r="B232" s="1779" t="s">
        <v>277</v>
      </c>
      <c r="C232" s="79" t="s">
        <v>2836</v>
      </c>
      <c r="D232" s="80" t="s">
        <v>2448</v>
      </c>
      <c r="E232" s="2275" t="str">
        <f t="shared" si="16"/>
        <v>GD</v>
      </c>
      <c r="F232" s="55">
        <v>50</v>
      </c>
      <c r="G232" s="55" t="s">
        <v>512</v>
      </c>
      <c r="J232" s="55" t="str">
        <f t="shared" si="15"/>
        <v>GDFCO</v>
      </c>
    </row>
    <row r="233" spans="1:10">
      <c r="A233" s="79" t="s">
        <v>1650</v>
      </c>
      <c r="B233" s="1779" t="s">
        <v>277</v>
      </c>
      <c r="C233" s="79" t="s">
        <v>2837</v>
      </c>
      <c r="D233" s="80" t="s">
        <v>2448</v>
      </c>
      <c r="E233" s="2275" t="str">
        <f t="shared" si="16"/>
        <v>GU</v>
      </c>
      <c r="F233" s="55">
        <v>50</v>
      </c>
      <c r="G233" s="55" t="s">
        <v>512</v>
      </c>
      <c r="J233" s="55" t="str">
        <f t="shared" si="15"/>
        <v>GUFCO</v>
      </c>
    </row>
    <row r="234" spans="1:10">
      <c r="A234" s="79" t="s">
        <v>147</v>
      </c>
      <c r="B234" s="1779" t="s">
        <v>1755</v>
      </c>
      <c r="C234" s="79" t="s">
        <v>2838</v>
      </c>
      <c r="D234" s="80" t="s">
        <v>1633</v>
      </c>
      <c r="E234" s="2275" t="str">
        <f t="shared" si="16"/>
        <v>GI</v>
      </c>
      <c r="F234" s="55">
        <v>50</v>
      </c>
      <c r="G234" s="55" t="s">
        <v>512</v>
      </c>
      <c r="J234" s="55" t="str">
        <f t="shared" si="15"/>
        <v>GIATFCO</v>
      </c>
    </row>
    <row r="235" spans="1:10">
      <c r="A235" s="79" t="s">
        <v>1268</v>
      </c>
      <c r="B235" s="1779"/>
      <c r="C235" s="79" t="s">
        <v>2839</v>
      </c>
      <c r="D235" s="80" t="s">
        <v>2448</v>
      </c>
      <c r="E235" s="2275" t="str">
        <f t="shared" si="16"/>
        <v>Gi</v>
      </c>
      <c r="F235" s="55">
        <v>50</v>
      </c>
      <c r="G235" s="55" t="s">
        <v>512</v>
      </c>
      <c r="J235" s="55" t="str">
        <f t="shared" si="15"/>
        <v>Gianoi1600</v>
      </c>
    </row>
    <row r="236" spans="1:10">
      <c r="A236" s="79" t="s">
        <v>1269</v>
      </c>
      <c r="B236" s="1779"/>
      <c r="C236" s="79" t="s">
        <v>2839</v>
      </c>
      <c r="D236" s="80" t="s">
        <v>2448</v>
      </c>
      <c r="E236" s="2275" t="str">
        <f t="shared" si="16"/>
        <v>Gi</v>
      </c>
      <c r="F236" s="55">
        <v>50</v>
      </c>
      <c r="G236" s="55" t="s">
        <v>512</v>
      </c>
      <c r="J236" s="55" t="str">
        <f t="shared" si="15"/>
        <v>Gianoi2500</v>
      </c>
    </row>
    <row r="237" spans="1:10">
      <c r="A237" s="79" t="s">
        <v>1540</v>
      </c>
      <c r="B237" s="1779"/>
      <c r="C237" s="79" t="s">
        <v>2839</v>
      </c>
      <c r="D237" s="80" t="s">
        <v>2448</v>
      </c>
      <c r="E237" s="2275" t="str">
        <f t="shared" si="16"/>
        <v>Gi</v>
      </c>
      <c r="F237" s="55">
        <v>50</v>
      </c>
      <c r="G237" s="55" t="s">
        <v>512</v>
      </c>
      <c r="J237" s="55" t="str">
        <f t="shared" si="15"/>
        <v>GianoiCB</v>
      </c>
    </row>
    <row r="238" spans="1:10" hidden="1">
      <c r="A238" s="79" t="s">
        <v>1178</v>
      </c>
      <c r="B238" s="1779"/>
      <c r="C238" s="79" t="s">
        <v>2840</v>
      </c>
      <c r="D238" s="80" t="s">
        <v>2256</v>
      </c>
      <c r="E238" s="2275" t="str">
        <f t="shared" si="16"/>
        <v>GC</v>
      </c>
      <c r="F238" s="55">
        <v>2000</v>
      </c>
      <c r="G238" s="55" t="s">
        <v>512</v>
      </c>
      <c r="J238" s="55" t="str">
        <f t="shared" si="15"/>
        <v>GCST</v>
      </c>
    </row>
    <row r="239" spans="1:10" hidden="1">
      <c r="A239" s="79" t="s">
        <v>1820</v>
      </c>
      <c r="B239" s="1779"/>
      <c r="C239" s="79" t="s">
        <v>2841</v>
      </c>
      <c r="D239" s="80" t="s">
        <v>2842</v>
      </c>
      <c r="E239" s="2275" t="str">
        <f t="shared" si="16"/>
        <v>G</v>
      </c>
      <c r="F239" s="55">
        <v>2000</v>
      </c>
      <c r="G239" s="55" t="s">
        <v>512</v>
      </c>
      <c r="J239" s="55" t="str">
        <f t="shared" si="15"/>
        <v>G</v>
      </c>
    </row>
    <row r="240" spans="1:10" hidden="1">
      <c r="A240" s="79" t="s">
        <v>1583</v>
      </c>
      <c r="B240" s="1779"/>
      <c r="C240" s="79" t="s">
        <v>2843</v>
      </c>
      <c r="D240" s="80" t="s">
        <v>2566</v>
      </c>
      <c r="E240" s="2275" t="str">
        <f t="shared" si="16"/>
        <v>K3</v>
      </c>
      <c r="F240" s="55">
        <v>50</v>
      </c>
      <c r="G240" s="55" t="s">
        <v>512</v>
      </c>
      <c r="J240" s="55" t="str">
        <f t="shared" si="15"/>
        <v>K3B</v>
      </c>
    </row>
    <row r="241" spans="1:10" hidden="1">
      <c r="A241" s="1780" t="s">
        <v>228</v>
      </c>
      <c r="B241" s="84"/>
      <c r="C241" s="79" t="s">
        <v>4386</v>
      </c>
      <c r="D241" s="80" t="s">
        <v>2286</v>
      </c>
      <c r="E241" s="2275" t="str">
        <f t="shared" si="16"/>
        <v>CT</v>
      </c>
      <c r="F241" s="55">
        <v>50</v>
      </c>
      <c r="G241" s="55" t="s">
        <v>512</v>
      </c>
      <c r="J241" s="55" t="str">
        <f t="shared" si="15"/>
        <v>CTD</v>
      </c>
    </row>
    <row r="242" spans="1:10" hidden="1">
      <c r="A242" s="1780" t="s">
        <v>1513</v>
      </c>
      <c r="B242" s="84"/>
      <c r="C242" s="79" t="s">
        <v>4936</v>
      </c>
      <c r="D242" s="80" t="s">
        <v>2448</v>
      </c>
      <c r="E242" s="2275" t="str">
        <f t="shared" si="16"/>
        <v>CT</v>
      </c>
      <c r="F242" s="55">
        <v>50</v>
      </c>
      <c r="G242" s="55" t="s">
        <v>512</v>
      </c>
      <c r="J242" s="55" t="str">
        <f t="shared" si="15"/>
        <v>CTD+K</v>
      </c>
    </row>
    <row r="243" spans="1:10" hidden="1">
      <c r="A243" s="79" t="s">
        <v>553</v>
      </c>
      <c r="B243" s="84"/>
      <c r="C243" s="79" t="s">
        <v>2844</v>
      </c>
      <c r="D243" s="80" t="s">
        <v>2566</v>
      </c>
      <c r="E243" s="2275" t="str">
        <f t="shared" si="16"/>
        <v>K-</v>
      </c>
      <c r="F243" s="55">
        <v>50</v>
      </c>
      <c r="G243" s="55" t="s">
        <v>512</v>
      </c>
      <c r="J243" s="55" t="str">
        <f t="shared" si="15"/>
        <v>K-Cu</v>
      </c>
    </row>
    <row r="244" spans="1:10" hidden="1">
      <c r="A244" s="79" t="s">
        <v>1795</v>
      </c>
      <c r="B244" s="84"/>
      <c r="C244" s="79" t="s">
        <v>2845</v>
      </c>
      <c r="D244" s="80" t="s">
        <v>2566</v>
      </c>
      <c r="E244" s="2275" t="str">
        <f t="shared" si="16"/>
        <v>K-</v>
      </c>
      <c r="F244" s="55">
        <v>50</v>
      </c>
      <c r="G244" s="55" t="s">
        <v>512</v>
      </c>
      <c r="J244" s="55" t="str">
        <f t="shared" si="15"/>
        <v>K-Fe</v>
      </c>
    </row>
    <row r="245" spans="1:10" hidden="1">
      <c r="A245" s="1780" t="s">
        <v>1388</v>
      </c>
      <c r="B245" s="84"/>
      <c r="C245" s="79" t="s">
        <v>2846</v>
      </c>
      <c r="D245" s="80" t="s">
        <v>2566</v>
      </c>
      <c r="E245" s="2275" t="str">
        <f t="shared" si="16"/>
        <v>K3</v>
      </c>
      <c r="F245" s="55">
        <v>50</v>
      </c>
      <c r="G245" s="55" t="s">
        <v>512</v>
      </c>
      <c r="J245" s="55" t="str">
        <f t="shared" si="15"/>
        <v>K35</v>
      </c>
    </row>
    <row r="246" spans="1:10" hidden="1">
      <c r="A246" s="1780" t="s">
        <v>1857</v>
      </c>
      <c r="B246" s="84"/>
      <c r="C246" s="79" t="s">
        <v>2847</v>
      </c>
      <c r="D246" s="80" t="s">
        <v>2566</v>
      </c>
      <c r="E246" s="2275" t="str">
        <f t="shared" si="16"/>
        <v>K5</v>
      </c>
      <c r="F246" s="55">
        <v>50</v>
      </c>
      <c r="G246" s="55" t="s">
        <v>512</v>
      </c>
      <c r="J246" s="55" t="str">
        <f t="shared" si="15"/>
        <v>K50</v>
      </c>
    </row>
    <row r="247" spans="1:10" hidden="1">
      <c r="A247" s="79" t="s">
        <v>1389</v>
      </c>
      <c r="B247" s="1779"/>
      <c r="C247" s="79" t="s">
        <v>2848</v>
      </c>
      <c r="D247" s="80" t="s">
        <v>2566</v>
      </c>
      <c r="E247" s="2275" t="str">
        <f t="shared" si="16"/>
        <v>K7</v>
      </c>
      <c r="F247" s="55">
        <v>50</v>
      </c>
      <c r="G247" s="55" t="s">
        <v>512</v>
      </c>
      <c r="J247" s="55" t="str">
        <f t="shared" si="15"/>
        <v>K70</v>
      </c>
    </row>
    <row r="248" spans="1:10" hidden="1">
      <c r="A248" s="79" t="s">
        <v>1390</v>
      </c>
      <c r="B248" s="84"/>
      <c r="C248" s="79" t="s">
        <v>2849</v>
      </c>
      <c r="D248" s="80" t="s">
        <v>2566</v>
      </c>
      <c r="E248" s="2275" t="str">
        <f t="shared" si="16"/>
        <v>K9</v>
      </c>
      <c r="F248" s="55">
        <v>50</v>
      </c>
      <c r="G248" s="55" t="s">
        <v>512</v>
      </c>
      <c r="J248" s="55" t="str">
        <f t="shared" si="15"/>
        <v>K95</v>
      </c>
    </row>
    <row r="249" spans="1:10" hidden="1">
      <c r="A249" s="1780" t="s">
        <v>2081</v>
      </c>
      <c r="B249" s="84"/>
      <c r="C249" s="79" t="s">
        <v>2850</v>
      </c>
      <c r="D249" s="80" t="s">
        <v>2566</v>
      </c>
      <c r="E249" s="2275" t="str">
        <f t="shared" si="16"/>
        <v>K1</v>
      </c>
      <c r="F249" s="55">
        <v>50</v>
      </c>
      <c r="G249" s="55" t="s">
        <v>512</v>
      </c>
      <c r="J249" s="55" t="str">
        <f t="shared" si="15"/>
        <v>K120</v>
      </c>
    </row>
    <row r="250" spans="1:10" hidden="1">
      <c r="A250" s="1780" t="s">
        <v>1179</v>
      </c>
      <c r="B250" s="84"/>
      <c r="C250" s="79" t="s">
        <v>2851</v>
      </c>
      <c r="D250" s="80" t="s">
        <v>2566</v>
      </c>
      <c r="E250" s="2275" t="str">
        <f t="shared" si="16"/>
        <v>K1</v>
      </c>
      <c r="F250" s="55">
        <v>50</v>
      </c>
      <c r="G250" s="55" t="s">
        <v>512</v>
      </c>
      <c r="J250" s="55" t="str">
        <f t="shared" si="15"/>
        <v>K150</v>
      </c>
    </row>
    <row r="251" spans="1:10" hidden="1">
      <c r="A251" s="1780" t="s">
        <v>2080</v>
      </c>
      <c r="B251" s="84"/>
      <c r="C251" s="79" t="s">
        <v>2852</v>
      </c>
      <c r="D251" s="80" t="s">
        <v>2566</v>
      </c>
      <c r="E251" s="2275" t="str">
        <f t="shared" si="16"/>
        <v>K1</v>
      </c>
      <c r="F251" s="55">
        <v>50</v>
      </c>
      <c r="G251" s="55" t="s">
        <v>512</v>
      </c>
      <c r="J251" s="55" t="str">
        <f t="shared" si="15"/>
        <v>K185</v>
      </c>
    </row>
    <row r="252" spans="1:10" hidden="1">
      <c r="A252" s="1780" t="s">
        <v>2079</v>
      </c>
      <c r="B252" s="84"/>
      <c r="C252" s="79" t="s">
        <v>2853</v>
      </c>
      <c r="D252" s="80" t="s">
        <v>2566</v>
      </c>
      <c r="E252" s="2275" t="str">
        <f t="shared" si="16"/>
        <v>K2</v>
      </c>
      <c r="F252" s="55">
        <v>50</v>
      </c>
      <c r="G252" s="55" t="s">
        <v>512</v>
      </c>
      <c r="J252" s="55" t="str">
        <f t="shared" si="15"/>
        <v>K240</v>
      </c>
    </row>
    <row r="253" spans="1:10" hidden="1">
      <c r="A253" s="1784" t="s">
        <v>580</v>
      </c>
      <c r="B253" s="84"/>
      <c r="C253" s="79" t="s">
        <v>2854</v>
      </c>
      <c r="D253" s="80" t="s">
        <v>2566</v>
      </c>
      <c r="E253" s="2275" t="str">
        <f t="shared" si="16"/>
        <v>KT</v>
      </c>
      <c r="F253" s="55">
        <v>50</v>
      </c>
      <c r="G253" s="55" t="s">
        <v>512</v>
      </c>
      <c r="J253" s="55" t="str">
        <f t="shared" si="15"/>
        <v>KTREO211</v>
      </c>
    </row>
    <row r="254" spans="1:10" hidden="1">
      <c r="A254" s="1784" t="s">
        <v>1881</v>
      </c>
      <c r="B254" s="84"/>
      <c r="C254" s="79" t="s">
        <v>2855</v>
      </c>
      <c r="D254" s="80" t="s">
        <v>2566</v>
      </c>
      <c r="E254" s="2275" t="str">
        <f t="shared" si="16"/>
        <v>KT</v>
      </c>
      <c r="F254" s="55">
        <v>50</v>
      </c>
      <c r="G254" s="55" t="s">
        <v>512</v>
      </c>
      <c r="J254" s="55" t="str">
        <f t="shared" si="15"/>
        <v>KTREO11</v>
      </c>
    </row>
    <row r="255" spans="1:10" hidden="1">
      <c r="A255" s="1784" t="s">
        <v>828</v>
      </c>
      <c r="B255" s="84"/>
      <c r="C255" s="79" t="s">
        <v>2856</v>
      </c>
      <c r="D255" s="80" t="s">
        <v>2566</v>
      </c>
      <c r="E255" s="2275" t="str">
        <f t="shared" si="16"/>
        <v>KT</v>
      </c>
      <c r="F255" s="55">
        <v>50</v>
      </c>
      <c r="G255" s="55" t="s">
        <v>512</v>
      </c>
      <c r="J255" s="55" t="str">
        <f t="shared" si="15"/>
        <v>KTREO22</v>
      </c>
    </row>
    <row r="256" spans="1:10" hidden="1">
      <c r="A256" s="1784" t="s">
        <v>2068</v>
      </c>
      <c r="B256" s="84"/>
      <c r="C256" s="79" t="s">
        <v>2857</v>
      </c>
      <c r="D256" s="80" t="s">
        <v>2566</v>
      </c>
      <c r="E256" s="2275" t="str">
        <f t="shared" si="16"/>
        <v>KT</v>
      </c>
      <c r="F256" s="55">
        <v>50</v>
      </c>
      <c r="G256" s="55" t="s">
        <v>512</v>
      </c>
      <c r="J256" s="55" t="str">
        <f t="shared" si="15"/>
        <v>KTREO35</v>
      </c>
    </row>
    <row r="257" spans="1:10" hidden="1">
      <c r="A257" s="1784" t="s">
        <v>1699</v>
      </c>
      <c r="B257" s="84"/>
      <c r="C257" s="79" t="s">
        <v>2858</v>
      </c>
      <c r="D257" s="80" t="s">
        <v>2566</v>
      </c>
      <c r="E257" s="2275" t="str">
        <f t="shared" si="16"/>
        <v>KT</v>
      </c>
      <c r="F257" s="55">
        <v>50</v>
      </c>
      <c r="G257" s="55" t="s">
        <v>512</v>
      </c>
      <c r="J257" s="55" t="str">
        <f t="shared" si="15"/>
        <v>KTREO50</v>
      </c>
    </row>
    <row r="258" spans="1:10" hidden="1">
      <c r="A258" s="1784" t="s">
        <v>1698</v>
      </c>
      <c r="B258" s="1785" t="s">
        <v>1774</v>
      </c>
      <c r="C258" s="79" t="s">
        <v>2859</v>
      </c>
      <c r="D258" s="80" t="s">
        <v>2566</v>
      </c>
      <c r="E258" s="2275" t="str">
        <f t="shared" si="16"/>
        <v>KT</v>
      </c>
      <c r="F258" s="55">
        <v>50</v>
      </c>
      <c r="G258" s="55" t="s">
        <v>512</v>
      </c>
      <c r="J258" s="55" t="str">
        <f t="shared" si="15"/>
        <v>KTREO70</v>
      </c>
    </row>
    <row r="259" spans="1:10" hidden="1">
      <c r="A259" s="1784" t="s">
        <v>1161</v>
      </c>
      <c r="B259" s="84"/>
      <c r="C259" s="79" t="s">
        <v>4979</v>
      </c>
      <c r="D259" s="80" t="s">
        <v>2566</v>
      </c>
      <c r="E259" s="2275" t="str">
        <f t="shared" si="16"/>
        <v>KT</v>
      </c>
      <c r="F259" s="55">
        <v>50</v>
      </c>
      <c r="G259" s="55" t="s">
        <v>512</v>
      </c>
      <c r="J259" s="55" t="str">
        <f t="shared" si="15"/>
        <v>KTREO95</v>
      </c>
    </row>
    <row r="260" spans="1:10" hidden="1">
      <c r="A260" s="1784" t="s">
        <v>1160</v>
      </c>
      <c r="B260" s="84"/>
      <c r="C260" s="79" t="s">
        <v>2860</v>
      </c>
      <c r="D260" s="80" t="s">
        <v>2566</v>
      </c>
      <c r="E260" s="2275" t="str">
        <f t="shared" si="16"/>
        <v>KT</v>
      </c>
      <c r="F260" s="55">
        <v>50</v>
      </c>
      <c r="G260" s="55" t="s">
        <v>512</v>
      </c>
      <c r="J260" s="55" t="str">
        <f t="shared" si="15"/>
        <v>KTREO120</v>
      </c>
    </row>
    <row r="261" spans="1:10" hidden="1">
      <c r="A261" s="1784" t="s">
        <v>146</v>
      </c>
      <c r="B261" s="84"/>
      <c r="C261" s="79" t="s">
        <v>2861</v>
      </c>
      <c r="D261" s="80" t="s">
        <v>2566</v>
      </c>
      <c r="E261" s="2275" t="str">
        <f t="shared" si="16"/>
        <v>KT</v>
      </c>
      <c r="F261" s="55">
        <v>50</v>
      </c>
      <c r="G261" s="55" t="s">
        <v>512</v>
      </c>
      <c r="J261" s="55" t="str">
        <f t="shared" si="15"/>
        <v>KTREO150</v>
      </c>
    </row>
    <row r="262" spans="1:10" hidden="1">
      <c r="A262" s="79" t="s">
        <v>1740</v>
      </c>
      <c r="B262" s="84"/>
      <c r="C262" s="79" t="s">
        <v>2862</v>
      </c>
      <c r="D262" s="80" t="s">
        <v>2566</v>
      </c>
      <c r="E262" s="2275" t="str">
        <f t="shared" si="16"/>
        <v>MT</v>
      </c>
      <c r="F262" s="55">
        <v>50</v>
      </c>
      <c r="G262" s="55" t="s">
        <v>512</v>
      </c>
      <c r="J262" s="55" t="str">
        <f t="shared" si="15"/>
        <v>MTREO A</v>
      </c>
    </row>
    <row r="263" spans="1:10" hidden="1">
      <c r="A263" s="79" t="s">
        <v>2216</v>
      </c>
      <c r="B263" s="84"/>
      <c r="C263" s="79" t="s">
        <v>2863</v>
      </c>
      <c r="D263" s="80" t="s">
        <v>2566</v>
      </c>
      <c r="E263" s="2275" t="str">
        <f t="shared" si="16"/>
        <v>MO</v>
      </c>
      <c r="F263" s="55">
        <v>50</v>
      </c>
      <c r="G263" s="55" t="s">
        <v>512</v>
      </c>
      <c r="J263" s="55" t="str">
        <f t="shared" ref="J263:J326" si="18">A263</f>
        <v>MOCDUNG</v>
      </c>
    </row>
    <row r="264" spans="1:10" hidden="1">
      <c r="A264" s="79" t="s">
        <v>2030</v>
      </c>
      <c r="B264" s="84"/>
      <c r="C264" s="79" t="s">
        <v>2864</v>
      </c>
      <c r="D264" s="80" t="s">
        <v>2566</v>
      </c>
      <c r="E264" s="2275" t="str">
        <f t="shared" ref="E264" si="19">LEFT(A264,2)</f>
        <v>MT</v>
      </c>
      <c r="F264" s="55">
        <v>50</v>
      </c>
      <c r="G264" s="55" t="s">
        <v>512</v>
      </c>
      <c r="J264" s="55" t="str">
        <f t="shared" si="18"/>
        <v xml:space="preserve">MTREO </v>
      </c>
    </row>
    <row r="265" spans="1:10" hidden="1">
      <c r="A265" s="79" t="s">
        <v>4530</v>
      </c>
      <c r="B265" s="84"/>
      <c r="C265" s="79" t="s">
        <v>4779</v>
      </c>
      <c r="D265" s="80" t="s">
        <v>2566</v>
      </c>
      <c r="E265" s="2275" t="str">
        <f t="shared" si="16"/>
        <v>KD</v>
      </c>
      <c r="F265" s="55">
        <v>50</v>
      </c>
      <c r="G265" s="55" t="s">
        <v>512</v>
      </c>
      <c r="J265" s="55" t="str">
        <f t="shared" si="18"/>
        <v>KDPLY</v>
      </c>
    </row>
    <row r="266" spans="1:10" hidden="1">
      <c r="A266" s="1784" t="s">
        <v>2219</v>
      </c>
      <c r="B266" s="84"/>
      <c r="C266" s="79" t="s">
        <v>2865</v>
      </c>
      <c r="D266" s="80" t="s">
        <v>2566</v>
      </c>
      <c r="E266" s="2275" t="str">
        <f t="shared" si="16"/>
        <v>KN</v>
      </c>
      <c r="F266" s="55">
        <v>50</v>
      </c>
      <c r="G266" s="55" t="s">
        <v>512</v>
      </c>
      <c r="J266" s="55" t="str">
        <f t="shared" si="18"/>
        <v>KNGUNG211</v>
      </c>
    </row>
    <row r="267" spans="1:10" hidden="1">
      <c r="A267" s="1784" t="s">
        <v>2218</v>
      </c>
      <c r="B267" s="84"/>
      <c r="C267" s="79" t="s">
        <v>2866</v>
      </c>
      <c r="D267" s="80" t="s">
        <v>2566</v>
      </c>
      <c r="E267" s="2275" t="str">
        <f t="shared" si="16"/>
        <v>KN</v>
      </c>
      <c r="F267" s="55">
        <v>50</v>
      </c>
      <c r="G267" s="55" t="s">
        <v>512</v>
      </c>
      <c r="J267" s="55" t="str">
        <f t="shared" si="18"/>
        <v>KNGUNG11</v>
      </c>
    </row>
    <row r="268" spans="1:10" hidden="1">
      <c r="A268" s="1784" t="s">
        <v>2217</v>
      </c>
      <c r="B268" s="84"/>
      <c r="C268" s="79" t="s">
        <v>2867</v>
      </c>
      <c r="D268" s="80" t="s">
        <v>2566</v>
      </c>
      <c r="E268" s="2275" t="str">
        <f t="shared" ref="E268:E333" si="20">LEFT(A268,2)</f>
        <v>KN</v>
      </c>
      <c r="F268" s="55">
        <v>50</v>
      </c>
      <c r="G268" s="55" t="s">
        <v>512</v>
      </c>
      <c r="J268" s="55" t="str">
        <f t="shared" si="18"/>
        <v>KNGUNG22</v>
      </c>
    </row>
    <row r="269" spans="1:10" hidden="1">
      <c r="A269" s="1784" t="s">
        <v>2069</v>
      </c>
      <c r="B269" s="84"/>
      <c r="C269" s="79" t="s">
        <v>2868</v>
      </c>
      <c r="D269" s="80" t="s">
        <v>2566</v>
      </c>
      <c r="E269" s="2275" t="str">
        <f t="shared" si="20"/>
        <v>KN</v>
      </c>
      <c r="F269" s="55">
        <v>50</v>
      </c>
      <c r="G269" s="55" t="s">
        <v>512</v>
      </c>
      <c r="J269" s="55" t="str">
        <f t="shared" si="18"/>
        <v>KNGUNG35</v>
      </c>
    </row>
    <row r="270" spans="1:10" hidden="1">
      <c r="A270" s="1784" t="s">
        <v>313</v>
      </c>
      <c r="B270" s="84"/>
      <c r="C270" s="79" t="s">
        <v>2869</v>
      </c>
      <c r="D270" s="80" t="s">
        <v>2566</v>
      </c>
      <c r="E270" s="2275" t="str">
        <f t="shared" si="20"/>
        <v>KN</v>
      </c>
      <c r="F270" s="55">
        <v>50</v>
      </c>
      <c r="G270" s="55" t="s">
        <v>512</v>
      </c>
      <c r="J270" s="55" t="str">
        <f t="shared" si="18"/>
        <v>KNGUNG50</v>
      </c>
    </row>
    <row r="271" spans="1:10" hidden="1">
      <c r="A271" s="1784" t="s">
        <v>2266</v>
      </c>
      <c r="B271" s="1785" t="s">
        <v>1774</v>
      </c>
      <c r="C271" s="79" t="s">
        <v>2870</v>
      </c>
      <c r="D271" s="80" t="s">
        <v>2566</v>
      </c>
      <c r="E271" s="2275" t="str">
        <f t="shared" si="20"/>
        <v>KN</v>
      </c>
      <c r="F271" s="55">
        <v>50</v>
      </c>
      <c r="G271" s="55" t="s">
        <v>512</v>
      </c>
      <c r="J271" s="55" t="str">
        <f t="shared" si="18"/>
        <v>KNGUNG70</v>
      </c>
    </row>
    <row r="272" spans="1:10" hidden="1">
      <c r="A272" s="1784" t="s">
        <v>1434</v>
      </c>
      <c r="B272" s="84"/>
      <c r="C272" s="79" t="s">
        <v>4811</v>
      </c>
      <c r="D272" s="80" t="s">
        <v>2566</v>
      </c>
      <c r="E272" s="2275" t="str">
        <f t="shared" si="20"/>
        <v>KN</v>
      </c>
      <c r="F272" s="55">
        <v>50</v>
      </c>
      <c r="G272" s="55" t="s">
        <v>512</v>
      </c>
      <c r="J272" s="55" t="str">
        <f t="shared" si="18"/>
        <v>KNGUNG95</v>
      </c>
    </row>
    <row r="273" spans="1:10" hidden="1">
      <c r="A273" s="1784" t="s">
        <v>1433</v>
      </c>
      <c r="B273" s="84"/>
      <c r="C273" s="79" t="s">
        <v>2871</v>
      </c>
      <c r="D273" s="80" t="s">
        <v>2566</v>
      </c>
      <c r="E273" s="2275" t="str">
        <f t="shared" si="20"/>
        <v>KN</v>
      </c>
      <c r="F273" s="55">
        <v>50</v>
      </c>
      <c r="G273" s="55" t="s">
        <v>512</v>
      </c>
      <c r="J273" s="55" t="str">
        <f t="shared" si="18"/>
        <v>KNGUNG120</v>
      </c>
    </row>
    <row r="274" spans="1:10" hidden="1">
      <c r="A274" s="1784" t="s">
        <v>2227</v>
      </c>
      <c r="B274" s="84"/>
      <c r="C274" s="79" t="s">
        <v>2872</v>
      </c>
      <c r="D274" s="80" t="s">
        <v>2566</v>
      </c>
      <c r="E274" s="2275" t="str">
        <f t="shared" si="20"/>
        <v>KN</v>
      </c>
      <c r="F274" s="55">
        <v>50</v>
      </c>
      <c r="G274" s="55" t="s">
        <v>512</v>
      </c>
      <c r="J274" s="55" t="str">
        <f t="shared" si="18"/>
        <v>KNGUNG150</v>
      </c>
    </row>
    <row r="275" spans="1:10" hidden="1">
      <c r="A275" s="79" t="s">
        <v>1819</v>
      </c>
      <c r="B275" s="1779"/>
      <c r="C275" s="79" t="s">
        <v>2873</v>
      </c>
      <c r="D275" s="80" t="s">
        <v>2566</v>
      </c>
      <c r="E275" s="2275" t="str">
        <f t="shared" si="20"/>
        <v>Ho</v>
      </c>
      <c r="F275" s="55">
        <v>50</v>
      </c>
      <c r="G275" s="55" t="s">
        <v>512</v>
      </c>
      <c r="J275" s="55" t="str">
        <f t="shared" si="18"/>
        <v>Hopcap240</v>
      </c>
    </row>
    <row r="276" spans="1:10" hidden="1">
      <c r="A276" s="79" t="s">
        <v>1845</v>
      </c>
      <c r="B276" s="1779"/>
      <c r="C276" s="79" t="s">
        <v>2874</v>
      </c>
      <c r="D276" s="80" t="s">
        <v>2566</v>
      </c>
      <c r="E276" s="2275" t="str">
        <f t="shared" si="20"/>
        <v>Ho</v>
      </c>
      <c r="F276" s="55">
        <v>50</v>
      </c>
      <c r="G276" s="55" t="s">
        <v>512</v>
      </c>
      <c r="J276" s="55" t="str">
        <f t="shared" si="18"/>
        <v>Hopcap185</v>
      </c>
    </row>
    <row r="277" spans="1:10" hidden="1">
      <c r="A277" s="79" t="s">
        <v>1362</v>
      </c>
      <c r="B277" s="1779"/>
      <c r="C277" s="79" t="s">
        <v>2875</v>
      </c>
      <c r="D277" s="80" t="s">
        <v>2566</v>
      </c>
      <c r="E277" s="2275" t="str">
        <f t="shared" si="20"/>
        <v>Ho</v>
      </c>
      <c r="F277" s="55">
        <v>50</v>
      </c>
      <c r="G277" s="55" t="s">
        <v>512</v>
      </c>
      <c r="J277" s="55" t="str">
        <f t="shared" si="18"/>
        <v>Hopcap150</v>
      </c>
    </row>
    <row r="278" spans="1:10" hidden="1">
      <c r="A278" s="79" t="s">
        <v>582</v>
      </c>
      <c r="B278" s="1779"/>
      <c r="C278" s="79" t="s">
        <v>2876</v>
      </c>
      <c r="D278" s="80" t="s">
        <v>2566</v>
      </c>
      <c r="E278" s="2275" t="str">
        <f t="shared" si="20"/>
        <v>Ho</v>
      </c>
      <c r="F278" s="55">
        <v>50</v>
      </c>
      <c r="G278" s="55" t="s">
        <v>512</v>
      </c>
      <c r="J278" s="55" t="str">
        <f t="shared" si="18"/>
        <v>Hopcap120</v>
      </c>
    </row>
    <row r="279" spans="1:10" hidden="1">
      <c r="A279" s="79" t="s">
        <v>47</v>
      </c>
      <c r="B279" s="1779"/>
      <c r="C279" s="79" t="s">
        <v>2877</v>
      </c>
      <c r="D279" s="80" t="s">
        <v>2566</v>
      </c>
      <c r="E279" s="2275" t="str">
        <f t="shared" si="20"/>
        <v>Ho</v>
      </c>
      <c r="F279" s="55">
        <v>50</v>
      </c>
      <c r="G279" s="55" t="s">
        <v>512</v>
      </c>
      <c r="J279" s="55" t="str">
        <f t="shared" si="18"/>
        <v>Hopcap95</v>
      </c>
    </row>
    <row r="280" spans="1:10" hidden="1">
      <c r="A280" s="79" t="s">
        <v>789</v>
      </c>
      <c r="B280" s="1779"/>
      <c r="C280" s="79" t="s">
        <v>2878</v>
      </c>
      <c r="D280" s="80" t="s">
        <v>2566</v>
      </c>
      <c r="E280" s="2275" t="str">
        <f t="shared" si="20"/>
        <v>Ho</v>
      </c>
      <c r="F280" s="55">
        <v>50</v>
      </c>
      <c r="G280" s="55" t="s">
        <v>512</v>
      </c>
      <c r="J280" s="55" t="str">
        <f t="shared" si="18"/>
        <v>Hopcap70</v>
      </c>
    </row>
    <row r="281" spans="1:10" hidden="1">
      <c r="A281" s="79" t="s">
        <v>1055</v>
      </c>
      <c r="B281" s="1779"/>
      <c r="C281" s="79" t="s">
        <v>2879</v>
      </c>
      <c r="D281" s="80" t="s">
        <v>2566</v>
      </c>
      <c r="E281" s="2275" t="str">
        <f t="shared" si="20"/>
        <v>Ho</v>
      </c>
      <c r="F281" s="55">
        <v>50</v>
      </c>
      <c r="G281" s="55" t="s">
        <v>512</v>
      </c>
      <c r="J281" s="55" t="str">
        <f t="shared" si="18"/>
        <v>Hopcap50</v>
      </c>
    </row>
    <row r="282" spans="1:10" hidden="1">
      <c r="A282" s="1786" t="s">
        <v>1158</v>
      </c>
      <c r="B282" s="1785" t="s">
        <v>1774</v>
      </c>
      <c r="C282" s="79" t="s">
        <v>4978</v>
      </c>
      <c r="D282" s="80" t="s">
        <v>2566</v>
      </c>
      <c r="E282" s="2275" t="str">
        <f t="shared" si="20"/>
        <v>HO</v>
      </c>
      <c r="F282" s="55">
        <v>50</v>
      </c>
      <c r="G282" s="55" t="s">
        <v>512</v>
      </c>
      <c r="J282" s="55" t="str">
        <f t="shared" si="18"/>
        <v>HOP9C</v>
      </c>
    </row>
    <row r="283" spans="1:10" hidden="1">
      <c r="A283" s="1786" t="s">
        <v>1159</v>
      </c>
      <c r="B283" s="84"/>
      <c r="C283" s="79" t="s">
        <v>2880</v>
      </c>
      <c r="D283" s="80" t="s">
        <v>2566</v>
      </c>
      <c r="E283" s="2275" t="str">
        <f t="shared" si="20"/>
        <v>HO</v>
      </c>
      <c r="F283" s="55">
        <v>50</v>
      </c>
      <c r="G283" s="55" t="s">
        <v>512</v>
      </c>
      <c r="J283" s="55" t="str">
        <f t="shared" si="18"/>
        <v>HOP6C</v>
      </c>
    </row>
    <row r="284" spans="1:10" hidden="1">
      <c r="A284" s="79" t="s">
        <v>1112</v>
      </c>
      <c r="B284" s="1779"/>
      <c r="C284" s="79" t="s">
        <v>2881</v>
      </c>
      <c r="D284" s="80" t="s">
        <v>858</v>
      </c>
      <c r="E284" s="2275" t="str">
        <f t="shared" si="20"/>
        <v>BT</v>
      </c>
      <c r="F284" s="55">
        <v>50</v>
      </c>
      <c r="G284" s="55" t="s">
        <v>512</v>
      </c>
      <c r="J284" s="55" t="str">
        <f t="shared" si="18"/>
        <v>BTNN</v>
      </c>
    </row>
    <row r="285" spans="1:10" hidden="1">
      <c r="A285" s="79" t="s">
        <v>587</v>
      </c>
      <c r="B285" s="1779"/>
      <c r="C285" s="79" t="s">
        <v>2882</v>
      </c>
      <c r="D285" s="80" t="s">
        <v>858</v>
      </c>
      <c r="E285" s="2275" t="str">
        <f t="shared" si="20"/>
        <v>BT</v>
      </c>
      <c r="F285" s="55">
        <v>50</v>
      </c>
      <c r="G285" s="55" t="s">
        <v>512</v>
      </c>
      <c r="J285" s="55" t="str">
        <f t="shared" si="18"/>
        <v>BTNN min</v>
      </c>
    </row>
    <row r="286" spans="1:10" hidden="1">
      <c r="A286" s="79" t="s">
        <v>1219</v>
      </c>
      <c r="B286" s="1779" t="s">
        <v>2039</v>
      </c>
      <c r="C286" s="79" t="s">
        <v>2883</v>
      </c>
      <c r="D286" s="80" t="s">
        <v>1966</v>
      </c>
      <c r="E286" s="2275" t="str">
        <f t="shared" si="20"/>
        <v>BT</v>
      </c>
      <c r="F286" s="55">
        <v>50</v>
      </c>
      <c r="G286" s="55" t="s">
        <v>512</v>
      </c>
      <c r="J286" s="55" t="str">
        <f t="shared" si="18"/>
        <v>BTNN-TL</v>
      </c>
    </row>
    <row r="287" spans="1:10" hidden="1">
      <c r="A287" s="79" t="s">
        <v>130</v>
      </c>
      <c r="B287" s="1779" t="s">
        <v>910</v>
      </c>
      <c r="C287" s="79" t="s">
        <v>2884</v>
      </c>
      <c r="D287" s="80" t="s">
        <v>1966</v>
      </c>
      <c r="E287" s="2275" t="str">
        <f t="shared" si="20"/>
        <v>BT</v>
      </c>
      <c r="F287" s="55">
        <v>50</v>
      </c>
      <c r="G287" s="55" t="s">
        <v>512</v>
      </c>
      <c r="J287" s="55" t="str">
        <f t="shared" si="18"/>
        <v>BTNN-TL min</v>
      </c>
    </row>
    <row r="288" spans="1:10" hidden="1">
      <c r="A288" s="79" t="s">
        <v>1066</v>
      </c>
      <c r="B288" s="84" t="s">
        <v>153</v>
      </c>
      <c r="C288" s="79" t="s">
        <v>1067</v>
      </c>
      <c r="D288" s="80" t="s">
        <v>1966</v>
      </c>
      <c r="E288" s="2275" t="str">
        <f t="shared" si="20"/>
        <v>BT</v>
      </c>
      <c r="F288" s="55">
        <v>50</v>
      </c>
      <c r="G288" s="55" t="s">
        <v>512</v>
      </c>
      <c r="J288" s="55" t="str">
        <f t="shared" si="18"/>
        <v>BT</v>
      </c>
    </row>
    <row r="289" spans="1:10" hidden="1">
      <c r="A289" s="1784" t="s">
        <v>2228</v>
      </c>
      <c r="B289" s="84"/>
      <c r="C289" s="79" t="s">
        <v>2885</v>
      </c>
      <c r="D289" s="80" t="s">
        <v>2566</v>
      </c>
      <c r="E289" s="2275" t="str">
        <f t="shared" si="20"/>
        <v>BI</v>
      </c>
      <c r="F289" s="55">
        <v>50</v>
      </c>
      <c r="G289" s="55" t="s">
        <v>512</v>
      </c>
      <c r="J289" s="55" t="str">
        <f t="shared" si="18"/>
        <v>BIT150</v>
      </c>
    </row>
    <row r="290" spans="1:10" hidden="1">
      <c r="A290" s="1784" t="s">
        <v>314</v>
      </c>
      <c r="B290" s="84"/>
      <c r="C290" s="79" t="s">
        <v>2886</v>
      </c>
      <c r="D290" s="80" t="s">
        <v>2566</v>
      </c>
      <c r="E290" s="2275" t="str">
        <f t="shared" si="20"/>
        <v>BI</v>
      </c>
      <c r="F290" s="55">
        <v>50</v>
      </c>
      <c r="G290" s="55" t="s">
        <v>512</v>
      </c>
      <c r="J290" s="55" t="str">
        <f t="shared" si="18"/>
        <v>BIT120</v>
      </c>
    </row>
    <row r="291" spans="1:10" hidden="1">
      <c r="A291" s="1784" t="s">
        <v>860</v>
      </c>
      <c r="B291" s="84"/>
      <c r="C291" s="79" t="s">
        <v>2887</v>
      </c>
      <c r="D291" s="80" t="s">
        <v>2566</v>
      </c>
      <c r="E291" s="2275" t="str">
        <f t="shared" si="20"/>
        <v>BI</v>
      </c>
      <c r="F291" s="55">
        <v>50</v>
      </c>
      <c r="G291" s="55" t="s">
        <v>512</v>
      </c>
      <c r="J291" s="55" t="str">
        <f t="shared" si="18"/>
        <v>BIT95</v>
      </c>
    </row>
    <row r="292" spans="1:10" hidden="1">
      <c r="A292" s="1784" t="s">
        <v>861</v>
      </c>
      <c r="B292" s="84"/>
      <c r="C292" s="79" t="s">
        <v>2888</v>
      </c>
      <c r="D292" s="80" t="s">
        <v>2566</v>
      </c>
      <c r="E292" s="2275" t="str">
        <f t="shared" si="20"/>
        <v>BI</v>
      </c>
      <c r="F292" s="55">
        <v>50</v>
      </c>
      <c r="G292" s="55" t="s">
        <v>512</v>
      </c>
      <c r="J292" s="55" t="str">
        <f t="shared" si="18"/>
        <v>BIT70</v>
      </c>
    </row>
    <row r="293" spans="1:10" hidden="1">
      <c r="A293" s="1784" t="s">
        <v>862</v>
      </c>
      <c r="B293" s="84"/>
      <c r="C293" s="79" t="s">
        <v>2889</v>
      </c>
      <c r="D293" s="80" t="s">
        <v>2566</v>
      </c>
      <c r="E293" s="2275" t="str">
        <f t="shared" si="20"/>
        <v>BI</v>
      </c>
      <c r="F293" s="55">
        <v>50</v>
      </c>
      <c r="G293" s="55" t="s">
        <v>512</v>
      </c>
      <c r="J293" s="55" t="str">
        <f t="shared" si="18"/>
        <v>BIT50</v>
      </c>
    </row>
    <row r="294" spans="1:10" hidden="1">
      <c r="A294" s="1784" t="s">
        <v>4320</v>
      </c>
      <c r="B294" s="84"/>
      <c r="C294" s="79" t="s">
        <v>2573</v>
      </c>
      <c r="D294" s="80" t="s">
        <v>2566</v>
      </c>
      <c r="E294" s="2275" t="str">
        <f t="shared" si="20"/>
        <v>BI</v>
      </c>
      <c r="F294" s="55">
        <v>50</v>
      </c>
      <c r="G294" s="55" t="s">
        <v>512</v>
      </c>
      <c r="J294" s="55" t="str">
        <f t="shared" si="18"/>
        <v>BIT35</v>
      </c>
    </row>
    <row r="295" spans="1:10" hidden="1">
      <c r="A295" s="79" t="s">
        <v>4352</v>
      </c>
      <c r="B295" s="84"/>
      <c r="C295" s="79" t="s">
        <v>4351</v>
      </c>
      <c r="D295" s="80" t="s">
        <v>2566</v>
      </c>
      <c r="E295" s="2275" t="str">
        <f t="shared" si="20"/>
        <v>KE</v>
      </c>
      <c r="F295" s="55">
        <v>50</v>
      </c>
      <c r="G295" s="55" t="s">
        <v>512</v>
      </c>
      <c r="J295" s="55" t="str">
        <f t="shared" si="18"/>
        <v>KE399</v>
      </c>
    </row>
    <row r="296" spans="1:10" hidden="1">
      <c r="A296" s="79" t="s">
        <v>1117</v>
      </c>
      <c r="B296" s="84"/>
      <c r="C296" s="79" t="s">
        <v>2890</v>
      </c>
      <c r="D296" s="80" t="s">
        <v>2566</v>
      </c>
      <c r="E296" s="2275" t="str">
        <f t="shared" si="20"/>
        <v>KE</v>
      </c>
      <c r="F296" s="55">
        <v>50</v>
      </c>
      <c r="G296" s="55" t="s">
        <v>512</v>
      </c>
      <c r="J296" s="55" t="str">
        <f t="shared" si="18"/>
        <v>KE25</v>
      </c>
    </row>
    <row r="297" spans="1:10" hidden="1">
      <c r="A297" s="79" t="s">
        <v>239</v>
      </c>
      <c r="B297" s="84"/>
      <c r="C297" s="79" t="s">
        <v>2891</v>
      </c>
      <c r="D297" s="80" t="s">
        <v>2566</v>
      </c>
      <c r="E297" s="2275" t="str">
        <f t="shared" si="20"/>
        <v>KE</v>
      </c>
      <c r="F297" s="55">
        <v>50</v>
      </c>
      <c r="G297" s="55" t="s">
        <v>512</v>
      </c>
      <c r="J297" s="55" t="str">
        <f t="shared" si="18"/>
        <v>KE35</v>
      </c>
    </row>
    <row r="298" spans="1:10" hidden="1">
      <c r="A298" s="79" t="s">
        <v>1584</v>
      </c>
      <c r="B298" s="84"/>
      <c r="C298" s="79" t="s">
        <v>2892</v>
      </c>
      <c r="D298" s="80" t="s">
        <v>2566</v>
      </c>
      <c r="E298" s="2275" t="str">
        <f t="shared" si="20"/>
        <v>KE</v>
      </c>
      <c r="F298" s="55">
        <v>50</v>
      </c>
      <c r="G298" s="55" t="s">
        <v>512</v>
      </c>
      <c r="J298" s="55" t="str">
        <f t="shared" si="18"/>
        <v>KE50</v>
      </c>
    </row>
    <row r="299" spans="1:10" hidden="1">
      <c r="A299" s="79" t="s">
        <v>1585</v>
      </c>
      <c r="B299" s="84"/>
      <c r="C299" s="79" t="s">
        <v>2893</v>
      </c>
      <c r="D299" s="80" t="s">
        <v>2566</v>
      </c>
      <c r="E299" s="2275" t="str">
        <f t="shared" si="20"/>
        <v>KE</v>
      </c>
      <c r="F299" s="55">
        <v>50</v>
      </c>
      <c r="G299" s="55" t="s">
        <v>512</v>
      </c>
      <c r="J299" s="55" t="str">
        <f t="shared" si="18"/>
        <v>KE70</v>
      </c>
    </row>
    <row r="300" spans="1:10" hidden="1">
      <c r="A300" s="79" t="s">
        <v>240</v>
      </c>
      <c r="B300" s="84"/>
      <c r="C300" s="79" t="s">
        <v>2894</v>
      </c>
      <c r="D300" s="80" t="s">
        <v>2566</v>
      </c>
      <c r="E300" s="2275" t="str">
        <f t="shared" si="20"/>
        <v>KE</v>
      </c>
      <c r="F300" s="55">
        <v>50</v>
      </c>
      <c r="G300" s="55" t="s">
        <v>512</v>
      </c>
      <c r="J300" s="55" t="str">
        <f t="shared" si="18"/>
        <v>KE95</v>
      </c>
    </row>
    <row r="301" spans="1:10" hidden="1">
      <c r="A301" s="79" t="s">
        <v>241</v>
      </c>
      <c r="B301" s="84"/>
      <c r="C301" s="79" t="s">
        <v>2895</v>
      </c>
      <c r="D301" s="80" t="s">
        <v>2566</v>
      </c>
      <c r="E301" s="2275" t="str">
        <f t="shared" si="20"/>
        <v>KE</v>
      </c>
      <c r="F301" s="55">
        <v>50</v>
      </c>
      <c r="G301" s="55" t="s">
        <v>512</v>
      </c>
      <c r="J301" s="55" t="str">
        <f t="shared" si="18"/>
        <v>KE120</v>
      </c>
    </row>
    <row r="302" spans="1:10" hidden="1">
      <c r="A302" s="79" t="s">
        <v>16</v>
      </c>
      <c r="B302" s="84"/>
      <c r="C302" s="79" t="s">
        <v>2896</v>
      </c>
      <c r="D302" s="80" t="s">
        <v>2566</v>
      </c>
      <c r="E302" s="2275" t="str">
        <f t="shared" si="20"/>
        <v>KE</v>
      </c>
      <c r="F302" s="55">
        <v>50</v>
      </c>
      <c r="G302" s="55" t="s">
        <v>512</v>
      </c>
      <c r="J302" s="55" t="str">
        <f t="shared" si="18"/>
        <v>KE150</v>
      </c>
    </row>
    <row r="303" spans="1:10" hidden="1">
      <c r="A303" s="79" t="s">
        <v>710</v>
      </c>
      <c r="B303" s="84"/>
      <c r="C303" s="79" t="s">
        <v>2897</v>
      </c>
      <c r="D303" s="80" t="s">
        <v>2566</v>
      </c>
      <c r="E303" s="2275" t="str">
        <f t="shared" si="20"/>
        <v>KE</v>
      </c>
      <c r="F303" s="55">
        <v>50</v>
      </c>
      <c r="G303" s="55" t="s">
        <v>512</v>
      </c>
      <c r="J303" s="55" t="str">
        <f t="shared" si="18"/>
        <v>KE185</v>
      </c>
    </row>
    <row r="304" spans="1:10" hidden="1">
      <c r="A304" s="79" t="s">
        <v>711</v>
      </c>
      <c r="B304" s="84"/>
      <c r="C304" s="79" t="s">
        <v>2898</v>
      </c>
      <c r="D304" s="80" t="s">
        <v>2566</v>
      </c>
      <c r="E304" s="2275" t="str">
        <f t="shared" si="20"/>
        <v>KE</v>
      </c>
      <c r="F304" s="55">
        <v>50</v>
      </c>
      <c r="G304" s="55" t="s">
        <v>512</v>
      </c>
      <c r="J304" s="55" t="str">
        <f t="shared" si="18"/>
        <v>KE240</v>
      </c>
    </row>
    <row r="305" spans="1:10" hidden="1">
      <c r="A305" s="79" t="s">
        <v>1483</v>
      </c>
      <c r="B305" s="1779"/>
      <c r="C305" s="79" t="s">
        <v>2899</v>
      </c>
      <c r="D305" s="80" t="s">
        <v>2566</v>
      </c>
      <c r="E305" s="2275" t="str">
        <f t="shared" si="20"/>
        <v>KC</v>
      </c>
      <c r="F305" s="55">
        <v>50</v>
      </c>
      <c r="G305" s="55" t="s">
        <v>512</v>
      </c>
      <c r="J305" s="55" t="str">
        <f t="shared" si="18"/>
        <v>KCUAL</v>
      </c>
    </row>
    <row r="306" spans="1:10" hidden="1">
      <c r="A306" s="79" t="s">
        <v>1879</v>
      </c>
      <c r="B306" s="1779"/>
      <c r="C306" s="79" t="s">
        <v>2900</v>
      </c>
      <c r="D306" s="80" t="s">
        <v>2566</v>
      </c>
      <c r="E306" s="2275" t="str">
        <f t="shared" si="20"/>
        <v>KC</v>
      </c>
      <c r="F306" s="55">
        <v>50</v>
      </c>
      <c r="G306" s="55" t="s">
        <v>512</v>
      </c>
      <c r="J306" s="55" t="str">
        <f t="shared" si="18"/>
        <v>KCUAL60</v>
      </c>
    </row>
    <row r="307" spans="1:10" hidden="1">
      <c r="A307" s="79" t="s">
        <v>1484</v>
      </c>
      <c r="B307" s="84" t="s">
        <v>1763</v>
      </c>
      <c r="C307" s="79" t="s">
        <v>3815</v>
      </c>
      <c r="D307" s="80" t="s">
        <v>2566</v>
      </c>
      <c r="E307" s="2275" t="str">
        <f t="shared" ref="E307" si="21">LEFT(A307,2)</f>
        <v>KQ</v>
      </c>
      <c r="F307" s="55">
        <v>50</v>
      </c>
      <c r="G307" s="55" t="s">
        <v>512</v>
      </c>
      <c r="J307" s="55" t="str">
        <f t="shared" si="18"/>
        <v>KQ2/0</v>
      </c>
    </row>
    <row r="308" spans="1:10" hidden="1">
      <c r="A308" s="79" t="s">
        <v>4494</v>
      </c>
      <c r="B308" s="84" t="s">
        <v>1763</v>
      </c>
      <c r="C308" s="79" t="s">
        <v>4375</v>
      </c>
      <c r="D308" s="80" t="s">
        <v>2448</v>
      </c>
      <c r="E308" s="2275" t="str">
        <f t="shared" si="20"/>
        <v>KQ</v>
      </c>
      <c r="F308" s="55">
        <v>50</v>
      </c>
      <c r="G308" s="55" t="s">
        <v>512</v>
      </c>
      <c r="J308" s="55" t="str">
        <f t="shared" si="18"/>
        <v xml:space="preserve">KQ2/0 </v>
      </c>
    </row>
    <row r="309" spans="1:10" hidden="1">
      <c r="A309" s="79" t="s">
        <v>236</v>
      </c>
      <c r="B309" s="84" t="s">
        <v>1763</v>
      </c>
      <c r="C309" s="79" t="s">
        <v>2901</v>
      </c>
      <c r="D309" s="80" t="s">
        <v>2566</v>
      </c>
      <c r="E309" s="2275" t="str">
        <f t="shared" si="20"/>
        <v>KQ</v>
      </c>
      <c r="F309" s="55">
        <v>50</v>
      </c>
      <c r="G309" s="55" t="s">
        <v>512</v>
      </c>
      <c r="J309" s="55" t="str">
        <f t="shared" si="18"/>
        <v>KQ4/0</v>
      </c>
    </row>
    <row r="310" spans="1:10" hidden="1">
      <c r="A310" s="79" t="s">
        <v>4528</v>
      </c>
      <c r="B310" s="84" t="s">
        <v>1763</v>
      </c>
      <c r="C310" s="79" t="s">
        <v>4529</v>
      </c>
      <c r="D310" s="80" t="s">
        <v>2566</v>
      </c>
      <c r="E310" s="2275" t="str">
        <f t="shared" ref="E310" si="22">LEFT(A310,2)</f>
        <v>KQ</v>
      </c>
      <c r="F310" s="55">
        <v>50</v>
      </c>
      <c r="G310" s="55" t="s">
        <v>512</v>
      </c>
      <c r="J310" s="55" t="str">
        <f t="shared" si="18"/>
        <v xml:space="preserve">KQ4/0 </v>
      </c>
    </row>
    <row r="311" spans="1:10" hidden="1">
      <c r="A311" s="79" t="s">
        <v>1482</v>
      </c>
      <c r="B311" s="84" t="s">
        <v>1763</v>
      </c>
      <c r="C311" s="79" t="s">
        <v>4365</v>
      </c>
      <c r="D311" s="80" t="s">
        <v>2566</v>
      </c>
      <c r="E311" s="2275" t="str">
        <f t="shared" si="20"/>
        <v>KH</v>
      </c>
      <c r="F311" s="55">
        <v>50</v>
      </c>
      <c r="G311" s="55" t="s">
        <v>512</v>
      </c>
      <c r="J311" s="55" t="str">
        <f t="shared" si="18"/>
        <v>KH2/0</v>
      </c>
    </row>
    <row r="312" spans="1:10" hidden="1">
      <c r="A312" s="79" t="s">
        <v>1051</v>
      </c>
      <c r="B312" s="84" t="s">
        <v>1763</v>
      </c>
      <c r="C312" s="79" t="s">
        <v>2902</v>
      </c>
      <c r="D312" s="80" t="s">
        <v>2566</v>
      </c>
      <c r="E312" s="2275" t="str">
        <f t="shared" si="20"/>
        <v>KH</v>
      </c>
      <c r="F312" s="55">
        <v>50</v>
      </c>
      <c r="G312" s="55" t="s">
        <v>512</v>
      </c>
      <c r="J312" s="55" t="str">
        <f t="shared" si="18"/>
        <v>KH4/0</v>
      </c>
    </row>
    <row r="313" spans="1:10" hidden="1">
      <c r="A313" s="79" t="s">
        <v>1676</v>
      </c>
      <c r="B313" s="84" t="s">
        <v>1763</v>
      </c>
      <c r="C313" s="79" t="s">
        <v>2903</v>
      </c>
      <c r="D313" s="80" t="s">
        <v>2566</v>
      </c>
      <c r="E313" s="2275" t="str">
        <f t="shared" si="20"/>
        <v>KH</v>
      </c>
      <c r="F313" s="55">
        <v>50</v>
      </c>
      <c r="G313" s="55" t="s">
        <v>512</v>
      </c>
      <c r="J313" s="55" t="str">
        <f t="shared" si="18"/>
        <v>KH350M</v>
      </c>
    </row>
    <row r="314" spans="1:10" hidden="1">
      <c r="A314" s="79" t="s">
        <v>957</v>
      </c>
      <c r="B314" s="1779"/>
      <c r="C314" s="79" t="s">
        <v>2904</v>
      </c>
      <c r="D314" s="80" t="s">
        <v>2566</v>
      </c>
      <c r="E314" s="2275" t="str">
        <f t="shared" si="20"/>
        <v>KE</v>
      </c>
      <c r="F314" s="55">
        <v>50</v>
      </c>
      <c r="G314" s="55" t="s">
        <v>512</v>
      </c>
      <c r="J314" s="55" t="str">
        <f t="shared" si="18"/>
        <v>KEU35</v>
      </c>
    </row>
    <row r="315" spans="1:10" hidden="1">
      <c r="A315" s="79" t="s">
        <v>2169</v>
      </c>
      <c r="B315" s="1779"/>
      <c r="C315" s="79" t="s">
        <v>2905</v>
      </c>
      <c r="D315" s="80" t="s">
        <v>2566</v>
      </c>
      <c r="E315" s="2275" t="str">
        <f t="shared" si="20"/>
        <v>KE</v>
      </c>
      <c r="F315" s="55">
        <v>50</v>
      </c>
      <c r="G315" s="55" t="s">
        <v>512</v>
      </c>
      <c r="J315" s="55" t="str">
        <f t="shared" si="18"/>
        <v>KEU50</v>
      </c>
    </row>
    <row r="316" spans="1:10" hidden="1">
      <c r="A316" s="79" t="s">
        <v>2170</v>
      </c>
      <c r="B316" s="1779"/>
      <c r="C316" s="79" t="s">
        <v>2906</v>
      </c>
      <c r="D316" s="80" t="s">
        <v>2566</v>
      </c>
      <c r="E316" s="2275" t="str">
        <f t="shared" si="20"/>
        <v>KE</v>
      </c>
      <c r="F316" s="55">
        <v>50</v>
      </c>
      <c r="G316" s="55" t="s">
        <v>512</v>
      </c>
      <c r="J316" s="55" t="str">
        <f t="shared" si="18"/>
        <v>KEU70</v>
      </c>
    </row>
    <row r="317" spans="1:10" hidden="1">
      <c r="A317" s="79" t="s">
        <v>1603</v>
      </c>
      <c r="B317" s="1779"/>
      <c r="C317" s="79" t="s">
        <v>2907</v>
      </c>
      <c r="D317" s="80" t="s">
        <v>2566</v>
      </c>
      <c r="E317" s="2275" t="str">
        <f t="shared" si="20"/>
        <v>KE</v>
      </c>
      <c r="F317" s="55">
        <v>50</v>
      </c>
      <c r="G317" s="55" t="s">
        <v>512</v>
      </c>
      <c r="J317" s="55" t="str">
        <f t="shared" si="18"/>
        <v>KEU95</v>
      </c>
    </row>
    <row r="318" spans="1:10" hidden="1">
      <c r="A318" s="1780" t="s">
        <v>1858</v>
      </c>
      <c r="B318" s="84"/>
      <c r="C318" s="79" t="s">
        <v>2908</v>
      </c>
      <c r="D318" s="80" t="s">
        <v>2566</v>
      </c>
      <c r="E318" s="2275" t="str">
        <f t="shared" si="20"/>
        <v>Kd</v>
      </c>
      <c r="F318" s="55">
        <v>50</v>
      </c>
      <c r="G318" s="55" t="s">
        <v>512</v>
      </c>
      <c r="J318" s="55" t="str">
        <f t="shared" si="18"/>
        <v>Kd50</v>
      </c>
    </row>
    <row r="319" spans="1:10" hidden="1">
      <c r="A319" s="1780" t="s">
        <v>359</v>
      </c>
      <c r="B319" s="84"/>
      <c r="C319" s="79" t="s">
        <v>2909</v>
      </c>
      <c r="D319" s="80" t="s">
        <v>2566</v>
      </c>
      <c r="E319" s="2275" t="str">
        <f t="shared" si="20"/>
        <v>Kd</v>
      </c>
      <c r="F319" s="55">
        <v>50</v>
      </c>
      <c r="G319" s="55" t="s">
        <v>512</v>
      </c>
      <c r="J319" s="55" t="str">
        <f t="shared" si="18"/>
        <v>Kd70</v>
      </c>
    </row>
    <row r="320" spans="1:10" hidden="1">
      <c r="A320" s="1780" t="s">
        <v>2262</v>
      </c>
      <c r="B320" s="84"/>
      <c r="C320" s="79" t="s">
        <v>2910</v>
      </c>
      <c r="D320" s="80" t="s">
        <v>2566</v>
      </c>
      <c r="E320" s="2275" t="str">
        <f t="shared" si="20"/>
        <v>Kd</v>
      </c>
      <c r="F320" s="55">
        <v>50</v>
      </c>
      <c r="G320" s="55" t="s">
        <v>512</v>
      </c>
      <c r="J320" s="55" t="str">
        <f t="shared" si="18"/>
        <v>Kd95</v>
      </c>
    </row>
    <row r="321" spans="1:10" hidden="1">
      <c r="A321" s="1780" t="s">
        <v>2263</v>
      </c>
      <c r="B321" s="84"/>
      <c r="C321" s="79" t="s">
        <v>2911</v>
      </c>
      <c r="D321" s="80" t="s">
        <v>2566</v>
      </c>
      <c r="E321" s="2275" t="str">
        <f t="shared" si="20"/>
        <v>Kd</v>
      </c>
      <c r="F321" s="55">
        <v>50</v>
      </c>
      <c r="G321" s="55" t="s">
        <v>512</v>
      </c>
      <c r="J321" s="55" t="str">
        <f t="shared" si="18"/>
        <v>Kd120</v>
      </c>
    </row>
    <row r="322" spans="1:10" hidden="1">
      <c r="A322" s="1780" t="s">
        <v>329</v>
      </c>
      <c r="B322" s="84"/>
      <c r="C322" s="79" t="s">
        <v>2912</v>
      </c>
      <c r="D322" s="80" t="s">
        <v>2566</v>
      </c>
      <c r="E322" s="2275" t="str">
        <f t="shared" si="20"/>
        <v>Kd</v>
      </c>
      <c r="F322" s="55">
        <v>50</v>
      </c>
      <c r="G322" s="55" t="s">
        <v>512</v>
      </c>
      <c r="J322" s="55" t="str">
        <f t="shared" si="18"/>
        <v>Kd150</v>
      </c>
    </row>
    <row r="323" spans="1:10" hidden="1">
      <c r="A323" s="1780" t="s">
        <v>330</v>
      </c>
      <c r="B323" s="84"/>
      <c r="C323" s="79" t="s">
        <v>2913</v>
      </c>
      <c r="D323" s="80" t="s">
        <v>2566</v>
      </c>
      <c r="E323" s="2275" t="str">
        <f t="shared" si="20"/>
        <v>Kd</v>
      </c>
      <c r="F323" s="55">
        <v>50</v>
      </c>
      <c r="G323" s="55" t="s">
        <v>512</v>
      </c>
      <c r="J323" s="55" t="str">
        <f t="shared" si="18"/>
        <v>Kd185</v>
      </c>
    </row>
    <row r="324" spans="1:10" hidden="1">
      <c r="A324" s="1780" t="s">
        <v>331</v>
      </c>
      <c r="B324" s="84"/>
      <c r="C324" s="79" t="s">
        <v>2914</v>
      </c>
      <c r="D324" s="80" t="s">
        <v>2566</v>
      </c>
      <c r="E324" s="2275" t="str">
        <f t="shared" si="20"/>
        <v>Kd</v>
      </c>
      <c r="F324" s="55">
        <v>50</v>
      </c>
      <c r="G324" s="55" t="s">
        <v>512</v>
      </c>
      <c r="J324" s="55" t="str">
        <f t="shared" si="18"/>
        <v>Kd240</v>
      </c>
    </row>
    <row r="325" spans="1:10" hidden="1">
      <c r="A325" s="1780" t="s">
        <v>1485</v>
      </c>
      <c r="B325" s="84"/>
      <c r="C325" s="79" t="s">
        <v>2915</v>
      </c>
      <c r="D325" s="80" t="s">
        <v>2566</v>
      </c>
      <c r="E325" s="2275" t="str">
        <f t="shared" si="20"/>
        <v>KD</v>
      </c>
      <c r="F325" s="55">
        <v>50</v>
      </c>
      <c r="G325" s="55" t="s">
        <v>512</v>
      </c>
      <c r="J325" s="55" t="str">
        <f t="shared" si="18"/>
        <v>KD357</v>
      </c>
    </row>
    <row r="326" spans="1:10" hidden="1">
      <c r="A326" s="1780" t="s">
        <v>2261</v>
      </c>
      <c r="B326" s="84"/>
      <c r="C326" s="79" t="s">
        <v>2916</v>
      </c>
      <c r="D326" s="80" t="s">
        <v>2566</v>
      </c>
      <c r="E326" s="2275" t="str">
        <f t="shared" si="20"/>
        <v>KD</v>
      </c>
      <c r="F326" s="55">
        <v>50</v>
      </c>
      <c r="G326" s="55" t="s">
        <v>512</v>
      </c>
      <c r="J326" s="55" t="str">
        <f t="shared" si="18"/>
        <v>KD912</v>
      </c>
    </row>
    <row r="327" spans="1:10" hidden="1">
      <c r="A327" s="1780" t="s">
        <v>1679</v>
      </c>
      <c r="B327" s="84"/>
      <c r="C327" s="79" t="s">
        <v>2917</v>
      </c>
      <c r="D327" s="80" t="s">
        <v>2566</v>
      </c>
      <c r="E327" s="2275" t="str">
        <f t="shared" si="20"/>
        <v>KD</v>
      </c>
      <c r="F327" s="55">
        <v>50</v>
      </c>
      <c r="G327" s="55" t="s">
        <v>512</v>
      </c>
      <c r="J327" s="55" t="str">
        <f t="shared" ref="J327:J392" si="23">A327</f>
        <v>KD158</v>
      </c>
    </row>
    <row r="328" spans="1:10" hidden="1">
      <c r="A328" s="79" t="s">
        <v>479</v>
      </c>
      <c r="B328" s="1779"/>
      <c r="C328" s="79" t="s">
        <v>2918</v>
      </c>
      <c r="D328" s="80" t="s">
        <v>2566</v>
      </c>
      <c r="E328" s="2275" t="str">
        <f t="shared" si="20"/>
        <v>KN</v>
      </c>
      <c r="F328" s="55">
        <v>50</v>
      </c>
      <c r="G328" s="55" t="s">
        <v>512</v>
      </c>
      <c r="J328" s="55" t="str">
        <f t="shared" si="23"/>
        <v>KN35</v>
      </c>
    </row>
    <row r="329" spans="1:10" hidden="1">
      <c r="A329" s="79" t="s">
        <v>1487</v>
      </c>
      <c r="B329" s="1779"/>
      <c r="C329" s="79" t="s">
        <v>2919</v>
      </c>
      <c r="D329" s="80" t="s">
        <v>2566</v>
      </c>
      <c r="E329" s="2275" t="str">
        <f t="shared" si="20"/>
        <v>KN</v>
      </c>
      <c r="F329" s="55">
        <v>50</v>
      </c>
      <c r="G329" s="55" t="s">
        <v>512</v>
      </c>
      <c r="J329" s="55" t="str">
        <f t="shared" si="23"/>
        <v>KN50</v>
      </c>
    </row>
    <row r="330" spans="1:10" hidden="1">
      <c r="A330" s="1780" t="s">
        <v>2239</v>
      </c>
      <c r="B330" s="84"/>
      <c r="C330" s="79" t="s">
        <v>2920</v>
      </c>
      <c r="D330" s="80" t="s">
        <v>2566</v>
      </c>
      <c r="E330" s="2275" t="str">
        <f t="shared" si="20"/>
        <v>KN</v>
      </c>
      <c r="F330" s="55">
        <v>50</v>
      </c>
      <c r="G330" s="55" t="s">
        <v>512</v>
      </c>
      <c r="J330" s="55" t="str">
        <f t="shared" si="23"/>
        <v>KN70</v>
      </c>
    </row>
    <row r="331" spans="1:10" hidden="1">
      <c r="A331" s="1780" t="s">
        <v>1262</v>
      </c>
      <c r="B331" s="84"/>
      <c r="C331" s="79" t="s">
        <v>2921</v>
      </c>
      <c r="D331" s="80" t="s">
        <v>2566</v>
      </c>
      <c r="E331" s="2275" t="str">
        <f t="shared" si="20"/>
        <v>KN</v>
      </c>
      <c r="F331" s="55">
        <v>50</v>
      </c>
      <c r="G331" s="55" t="s">
        <v>512</v>
      </c>
      <c r="J331" s="55" t="str">
        <f t="shared" si="23"/>
        <v>KN95</v>
      </c>
    </row>
    <row r="332" spans="1:10" hidden="1">
      <c r="A332" s="1780" t="s">
        <v>431</v>
      </c>
      <c r="B332" s="84"/>
      <c r="C332" s="79" t="s">
        <v>2922</v>
      </c>
      <c r="D332" s="80" t="s">
        <v>2566</v>
      </c>
      <c r="E332" s="2275" t="str">
        <f t="shared" si="20"/>
        <v>KN</v>
      </c>
      <c r="F332" s="55">
        <v>50</v>
      </c>
      <c r="G332" s="55" t="s">
        <v>512</v>
      </c>
      <c r="J332" s="55" t="str">
        <f t="shared" si="23"/>
        <v>KN120</v>
      </c>
    </row>
    <row r="333" spans="1:10" hidden="1">
      <c r="A333" s="1780" t="s">
        <v>2117</v>
      </c>
      <c r="B333" s="84"/>
      <c r="C333" s="79" t="s">
        <v>2923</v>
      </c>
      <c r="D333" s="80" t="s">
        <v>2566</v>
      </c>
      <c r="E333" s="2275" t="str">
        <f t="shared" si="20"/>
        <v>KN</v>
      </c>
      <c r="F333" s="55">
        <v>50</v>
      </c>
      <c r="G333" s="55" t="s">
        <v>512</v>
      </c>
      <c r="J333" s="55" t="str">
        <f t="shared" si="23"/>
        <v>KN150</v>
      </c>
    </row>
    <row r="334" spans="1:10" hidden="1">
      <c r="A334" s="1780" t="s">
        <v>1748</v>
      </c>
      <c r="B334" s="84"/>
      <c r="C334" s="79" t="s">
        <v>2924</v>
      </c>
      <c r="D334" s="80" t="s">
        <v>2566</v>
      </c>
      <c r="E334" s="2275" t="str">
        <f t="shared" ref="E334:E411" si="24">LEFT(A334,2)</f>
        <v>KN</v>
      </c>
      <c r="F334" s="55">
        <v>50</v>
      </c>
      <c r="G334" s="55" t="s">
        <v>512</v>
      </c>
      <c r="J334" s="55" t="str">
        <f t="shared" si="23"/>
        <v>KN185</v>
      </c>
    </row>
    <row r="335" spans="1:10" hidden="1">
      <c r="A335" s="1780" t="s">
        <v>1747</v>
      </c>
      <c r="B335" s="84"/>
      <c r="C335" s="79" t="s">
        <v>2925</v>
      </c>
      <c r="D335" s="80" t="s">
        <v>2566</v>
      </c>
      <c r="E335" s="2275" t="str">
        <f t="shared" si="24"/>
        <v>KN</v>
      </c>
      <c r="F335" s="55">
        <v>50</v>
      </c>
      <c r="G335" s="55" t="s">
        <v>512</v>
      </c>
      <c r="J335" s="55" t="str">
        <f t="shared" si="23"/>
        <v>KN240</v>
      </c>
    </row>
    <row r="336" spans="1:10" hidden="1">
      <c r="A336" s="1780" t="s">
        <v>106</v>
      </c>
      <c r="B336" s="84"/>
      <c r="C336" s="79" t="s">
        <v>2926</v>
      </c>
      <c r="D336" s="80" t="s">
        <v>2566</v>
      </c>
      <c r="E336" s="2275" t="str">
        <f t="shared" si="24"/>
        <v>KN</v>
      </c>
      <c r="F336" s="55">
        <v>50</v>
      </c>
      <c r="G336" s="55" t="s">
        <v>512</v>
      </c>
      <c r="J336" s="55" t="str">
        <f t="shared" si="23"/>
        <v>KN158</v>
      </c>
    </row>
    <row r="337" spans="1:10" hidden="1">
      <c r="A337" s="1780" t="s">
        <v>1601</v>
      </c>
      <c r="B337" s="84"/>
      <c r="C337" s="79" t="s">
        <v>2927</v>
      </c>
      <c r="D337" s="80" t="s">
        <v>2566</v>
      </c>
      <c r="E337" s="2275" t="str">
        <f t="shared" si="24"/>
        <v>KN</v>
      </c>
      <c r="F337" s="55">
        <v>50</v>
      </c>
      <c r="G337" s="55" t="s">
        <v>512</v>
      </c>
      <c r="J337" s="55" t="str">
        <f t="shared" si="23"/>
        <v>KN912</v>
      </c>
    </row>
    <row r="338" spans="1:10" hidden="1">
      <c r="A338" s="1780" t="s">
        <v>1488</v>
      </c>
      <c r="B338" s="84"/>
      <c r="C338" s="79" t="s">
        <v>2928</v>
      </c>
      <c r="D338" s="80" t="s">
        <v>2566</v>
      </c>
      <c r="E338" s="2275" t="str">
        <f t="shared" si="24"/>
        <v>KN</v>
      </c>
      <c r="F338" s="55">
        <v>50</v>
      </c>
      <c r="G338" s="55" t="s">
        <v>512</v>
      </c>
      <c r="J338" s="55" t="str">
        <f t="shared" si="23"/>
        <v>KN357</v>
      </c>
    </row>
    <row r="339" spans="1:10">
      <c r="A339" s="79" t="s">
        <v>544</v>
      </c>
      <c r="B339" s="84"/>
      <c r="C339" s="79" t="s">
        <v>4964</v>
      </c>
      <c r="D339" s="80" t="s">
        <v>2566</v>
      </c>
      <c r="E339" s="2275" t="str">
        <f t="shared" si="24"/>
        <v>GN</v>
      </c>
      <c r="F339" s="55">
        <v>50</v>
      </c>
      <c r="G339" s="55" t="s">
        <v>512</v>
      </c>
      <c r="J339" s="55" t="str">
        <f t="shared" si="23"/>
        <v>GNIU</v>
      </c>
    </row>
    <row r="340" spans="1:10" hidden="1">
      <c r="A340" s="79" t="s">
        <v>2007</v>
      </c>
      <c r="B340" s="1779"/>
      <c r="C340" s="79" t="s">
        <v>2929</v>
      </c>
      <c r="D340" s="80" t="s">
        <v>2566</v>
      </c>
      <c r="E340" s="2275" t="str">
        <f t="shared" si="24"/>
        <v>MA</v>
      </c>
      <c r="F340" s="55">
        <v>50</v>
      </c>
      <c r="G340" s="55" t="s">
        <v>512</v>
      </c>
      <c r="J340" s="55" t="str">
        <f t="shared" si="23"/>
        <v>MANG</v>
      </c>
    </row>
    <row r="341" spans="1:10" hidden="1">
      <c r="A341" s="79" t="s">
        <v>1489</v>
      </c>
      <c r="B341" s="1779"/>
      <c r="C341" s="79" t="s">
        <v>2930</v>
      </c>
      <c r="D341" s="80" t="s">
        <v>2566</v>
      </c>
      <c r="E341" s="2275" t="str">
        <f t="shared" si="24"/>
        <v>MN</v>
      </c>
      <c r="F341" s="55">
        <v>50</v>
      </c>
      <c r="G341" s="55" t="s">
        <v>512</v>
      </c>
      <c r="J341" s="55" t="str">
        <f t="shared" si="23"/>
        <v>MND</v>
      </c>
    </row>
    <row r="342" spans="1:10" hidden="1">
      <c r="A342" s="79" t="s">
        <v>1490</v>
      </c>
      <c r="B342" s="1779"/>
      <c r="C342" s="79" t="s">
        <v>2931</v>
      </c>
      <c r="D342" s="80" t="s">
        <v>2566</v>
      </c>
      <c r="E342" s="2275" t="str">
        <f t="shared" si="24"/>
        <v>MN</v>
      </c>
      <c r="F342" s="55">
        <v>50</v>
      </c>
      <c r="G342" s="55" t="s">
        <v>512</v>
      </c>
      <c r="J342" s="55" t="str">
        <f t="shared" si="23"/>
        <v>MNTG</v>
      </c>
    </row>
    <row r="343" spans="1:10" hidden="1">
      <c r="A343" s="79" t="s">
        <v>1491</v>
      </c>
      <c r="B343" s="1779"/>
      <c r="C343" s="79" t="s">
        <v>2932</v>
      </c>
      <c r="D343" s="80" t="s">
        <v>2566</v>
      </c>
      <c r="E343" s="2275" t="str">
        <f t="shared" si="24"/>
        <v>MT</v>
      </c>
      <c r="F343" s="55">
        <v>50</v>
      </c>
      <c r="G343" s="55" t="s">
        <v>512</v>
      </c>
      <c r="J343" s="55" t="str">
        <f t="shared" si="23"/>
        <v>MT</v>
      </c>
    </row>
    <row r="344" spans="1:10" hidden="1">
      <c r="A344" s="79" t="s">
        <v>1257</v>
      </c>
      <c r="B344" s="1779"/>
      <c r="C344" s="79" t="s">
        <v>2933</v>
      </c>
      <c r="D344" s="80" t="s">
        <v>2566</v>
      </c>
      <c r="E344" s="2275" t="str">
        <f t="shared" si="24"/>
        <v>MT</v>
      </c>
      <c r="F344" s="55">
        <v>50</v>
      </c>
      <c r="G344" s="55" t="s">
        <v>512</v>
      </c>
      <c r="J344" s="55" t="str">
        <f t="shared" si="23"/>
        <v>MT61A</v>
      </c>
    </row>
    <row r="345" spans="1:10" hidden="1">
      <c r="A345" s="79" t="s">
        <v>1574</v>
      </c>
      <c r="B345" s="1779"/>
      <c r="C345" s="79" t="s">
        <v>2934</v>
      </c>
      <c r="D345" s="80" t="s">
        <v>2566</v>
      </c>
      <c r="E345" s="2275" t="str">
        <f t="shared" si="24"/>
        <v>VT</v>
      </c>
      <c r="F345" s="55">
        <v>50</v>
      </c>
      <c r="G345" s="55" t="s">
        <v>512</v>
      </c>
      <c r="J345" s="55" t="str">
        <f t="shared" si="23"/>
        <v>VT</v>
      </c>
    </row>
    <row r="346" spans="1:10" hidden="1">
      <c r="A346" s="1780" t="s">
        <v>707</v>
      </c>
      <c r="B346" s="84"/>
      <c r="C346" s="79" t="s">
        <v>2935</v>
      </c>
      <c r="D346" s="80" t="s">
        <v>2566</v>
      </c>
      <c r="E346" s="2275" t="str">
        <f t="shared" si="24"/>
        <v>ON</v>
      </c>
      <c r="F346" s="55">
        <v>50</v>
      </c>
      <c r="G346" s="55" t="s">
        <v>512</v>
      </c>
      <c r="J346" s="55" t="str">
        <f t="shared" si="23"/>
        <v>ON240A</v>
      </c>
    </row>
    <row r="347" spans="1:10" hidden="1">
      <c r="A347" s="1780" t="s">
        <v>209</v>
      </c>
      <c r="B347" s="84"/>
      <c r="C347" s="79" t="s">
        <v>2936</v>
      </c>
      <c r="D347" s="80" t="s">
        <v>2566</v>
      </c>
      <c r="E347" s="2275" t="str">
        <f t="shared" si="24"/>
        <v>ON</v>
      </c>
      <c r="F347" s="55">
        <v>50</v>
      </c>
      <c r="G347" s="55" t="s">
        <v>512</v>
      </c>
      <c r="J347" s="55" t="str">
        <f t="shared" si="23"/>
        <v>ON185A</v>
      </c>
    </row>
    <row r="348" spans="1:10" hidden="1">
      <c r="A348" s="1780" t="s">
        <v>2226</v>
      </c>
      <c r="B348" s="84"/>
      <c r="C348" s="79" t="s">
        <v>2937</v>
      </c>
      <c r="D348" s="80" t="s">
        <v>2566</v>
      </c>
      <c r="E348" s="2275" t="str">
        <f t="shared" si="24"/>
        <v>ON</v>
      </c>
      <c r="F348" s="55">
        <v>50</v>
      </c>
      <c r="G348" s="55" t="s">
        <v>512</v>
      </c>
      <c r="J348" s="55" t="str">
        <f t="shared" si="23"/>
        <v>ON120A</v>
      </c>
    </row>
    <row r="349" spans="1:10" hidden="1">
      <c r="A349" s="79" t="s">
        <v>524</v>
      </c>
      <c r="B349" s="1779"/>
      <c r="C349" s="79" t="s">
        <v>2938</v>
      </c>
      <c r="D349" s="80" t="s">
        <v>2566</v>
      </c>
      <c r="E349" s="2275" t="str">
        <f t="shared" si="24"/>
        <v>ON</v>
      </c>
      <c r="F349" s="55">
        <v>50</v>
      </c>
      <c r="G349" s="55" t="s">
        <v>512</v>
      </c>
      <c r="J349" s="55" t="str">
        <f t="shared" si="23"/>
        <v>ON95A</v>
      </c>
    </row>
    <row r="350" spans="1:10" hidden="1">
      <c r="A350" s="1780" t="s">
        <v>523</v>
      </c>
      <c r="B350" s="84"/>
      <c r="C350" s="79" t="s">
        <v>2939</v>
      </c>
      <c r="D350" s="80" t="s">
        <v>2566</v>
      </c>
      <c r="E350" s="2275" t="str">
        <f t="shared" si="24"/>
        <v>ON</v>
      </c>
      <c r="F350" s="55">
        <v>50</v>
      </c>
      <c r="G350" s="55" t="s">
        <v>512</v>
      </c>
      <c r="J350" s="55" t="str">
        <f t="shared" si="23"/>
        <v>ON70A</v>
      </c>
    </row>
    <row r="351" spans="1:10" hidden="1">
      <c r="A351" s="1780" t="s">
        <v>522</v>
      </c>
      <c r="B351" s="84"/>
      <c r="C351" s="79" t="s">
        <v>2940</v>
      </c>
      <c r="D351" s="80" t="s">
        <v>2566</v>
      </c>
      <c r="E351" s="2275" t="str">
        <f t="shared" si="24"/>
        <v>ON</v>
      </c>
      <c r="F351" s="55">
        <v>50</v>
      </c>
      <c r="G351" s="55" t="s">
        <v>512</v>
      </c>
      <c r="J351" s="55" t="str">
        <f t="shared" si="23"/>
        <v>ON50A</v>
      </c>
    </row>
    <row r="352" spans="1:10" hidden="1">
      <c r="A352" s="1780" t="s">
        <v>618</v>
      </c>
      <c r="B352" s="84"/>
      <c r="C352" s="79" t="s">
        <v>2941</v>
      </c>
      <c r="D352" s="80" t="s">
        <v>2566</v>
      </c>
      <c r="E352" s="2275" t="str">
        <f t="shared" si="24"/>
        <v>ON</v>
      </c>
      <c r="F352" s="55">
        <v>50</v>
      </c>
      <c r="G352" s="55" t="s">
        <v>512</v>
      </c>
      <c r="J352" s="55" t="str">
        <f t="shared" si="23"/>
        <v>ON35A</v>
      </c>
    </row>
    <row r="353" spans="1:10" hidden="1">
      <c r="A353" s="1780" t="s">
        <v>574</v>
      </c>
      <c r="B353" s="84"/>
      <c r="C353" s="79" t="s">
        <v>2942</v>
      </c>
      <c r="D353" s="80" t="s">
        <v>2566</v>
      </c>
      <c r="E353" s="2275" t="str">
        <f t="shared" si="24"/>
        <v>ON</v>
      </c>
      <c r="F353" s="55">
        <v>50</v>
      </c>
      <c r="G353" s="55" t="s">
        <v>512</v>
      </c>
      <c r="J353" s="55" t="str">
        <f t="shared" si="23"/>
        <v>ON35</v>
      </c>
    </row>
    <row r="354" spans="1:10" hidden="1">
      <c r="A354" s="1780" t="s">
        <v>1492</v>
      </c>
      <c r="B354" s="84"/>
      <c r="C354" s="79" t="s">
        <v>2943</v>
      </c>
      <c r="D354" s="80" t="s">
        <v>2566</v>
      </c>
      <c r="E354" s="2275" t="str">
        <f t="shared" si="24"/>
        <v>ON</v>
      </c>
      <c r="F354" s="55">
        <v>50</v>
      </c>
      <c r="G354" s="55" t="s">
        <v>512</v>
      </c>
      <c r="J354" s="55" t="str">
        <f t="shared" si="23"/>
        <v>ON50</v>
      </c>
    </row>
    <row r="355" spans="1:10" hidden="1">
      <c r="A355" s="1780" t="s">
        <v>1493</v>
      </c>
      <c r="B355" s="84"/>
      <c r="C355" s="79" t="s">
        <v>2944</v>
      </c>
      <c r="D355" s="80" t="s">
        <v>2566</v>
      </c>
      <c r="E355" s="2275" t="str">
        <f t="shared" si="24"/>
        <v>ON</v>
      </c>
      <c r="F355" s="55">
        <v>50</v>
      </c>
      <c r="G355" s="55" t="s">
        <v>512</v>
      </c>
      <c r="J355" s="55" t="str">
        <f t="shared" si="23"/>
        <v>ON70</v>
      </c>
    </row>
    <row r="356" spans="1:10" hidden="1">
      <c r="A356" s="79" t="s">
        <v>432</v>
      </c>
      <c r="B356" s="1779"/>
      <c r="C356" s="79" t="s">
        <v>2945</v>
      </c>
      <c r="D356" s="80" t="s">
        <v>2566</v>
      </c>
      <c r="E356" s="2275" t="str">
        <f t="shared" si="24"/>
        <v>ON</v>
      </c>
      <c r="F356" s="55">
        <v>50</v>
      </c>
      <c r="G356" s="55" t="s">
        <v>512</v>
      </c>
      <c r="J356" s="55" t="str">
        <f t="shared" si="23"/>
        <v>ON95</v>
      </c>
    </row>
    <row r="357" spans="1:10" hidden="1">
      <c r="A357" s="1780" t="s">
        <v>573</v>
      </c>
      <c r="B357" s="84"/>
      <c r="C357" s="79" t="s">
        <v>2946</v>
      </c>
      <c r="D357" s="80" t="s">
        <v>2566</v>
      </c>
      <c r="E357" s="2275" t="str">
        <f t="shared" si="24"/>
        <v>ON</v>
      </c>
      <c r="F357" s="55">
        <v>50</v>
      </c>
      <c r="G357" s="55" t="s">
        <v>512</v>
      </c>
      <c r="J357" s="55" t="str">
        <f t="shared" si="23"/>
        <v>ON120</v>
      </c>
    </row>
    <row r="358" spans="1:10" hidden="1">
      <c r="A358" s="1780" t="s">
        <v>939</v>
      </c>
      <c r="B358" s="84"/>
      <c r="C358" s="79" t="s">
        <v>2947</v>
      </c>
      <c r="D358" s="80" t="s">
        <v>2566</v>
      </c>
      <c r="E358" s="2275" t="str">
        <f t="shared" si="24"/>
        <v>ON</v>
      </c>
      <c r="F358" s="55">
        <v>50</v>
      </c>
      <c r="G358" s="55" t="s">
        <v>512</v>
      </c>
      <c r="J358" s="55" t="str">
        <f t="shared" si="23"/>
        <v>ON150</v>
      </c>
    </row>
    <row r="359" spans="1:10" hidden="1">
      <c r="A359" s="1780" t="s">
        <v>572</v>
      </c>
      <c r="B359" s="84"/>
      <c r="C359" s="79" t="s">
        <v>2948</v>
      </c>
      <c r="D359" s="80" t="s">
        <v>2566</v>
      </c>
      <c r="E359" s="2275" t="str">
        <f t="shared" si="24"/>
        <v>ON</v>
      </c>
      <c r="F359" s="55">
        <v>50</v>
      </c>
      <c r="G359" s="55" t="s">
        <v>512</v>
      </c>
      <c r="J359" s="55" t="str">
        <f t="shared" si="23"/>
        <v>ON185</v>
      </c>
    </row>
    <row r="360" spans="1:10" hidden="1">
      <c r="A360" s="1780" t="s">
        <v>571</v>
      </c>
      <c r="B360" s="84"/>
      <c r="C360" s="79" t="s">
        <v>2949</v>
      </c>
      <c r="D360" s="80" t="s">
        <v>2566</v>
      </c>
      <c r="E360" s="2275" t="str">
        <f t="shared" si="24"/>
        <v>ON</v>
      </c>
      <c r="F360" s="55">
        <v>50</v>
      </c>
      <c r="G360" s="55" t="s">
        <v>512</v>
      </c>
      <c r="J360" s="55" t="str">
        <f t="shared" si="23"/>
        <v>ON240</v>
      </c>
    </row>
    <row r="361" spans="1:10" hidden="1">
      <c r="A361" s="79" t="s">
        <v>433</v>
      </c>
      <c r="B361" s="1779"/>
      <c r="C361" s="79" t="s">
        <v>2950</v>
      </c>
      <c r="D361" s="80" t="s">
        <v>2566</v>
      </c>
      <c r="E361" s="2275" t="str">
        <f t="shared" si="24"/>
        <v>ON</v>
      </c>
      <c r="F361" s="55">
        <v>50</v>
      </c>
      <c r="G361" s="55" t="s">
        <v>512</v>
      </c>
      <c r="J361" s="55" t="str">
        <f t="shared" si="23"/>
        <v>ON50B</v>
      </c>
    </row>
    <row r="362" spans="1:10" hidden="1">
      <c r="A362" s="79" t="s">
        <v>2196</v>
      </c>
      <c r="B362" s="1779"/>
      <c r="C362" s="79" t="s">
        <v>2197</v>
      </c>
      <c r="D362" s="80" t="s">
        <v>2566</v>
      </c>
      <c r="E362" s="2275" t="str">
        <f t="shared" si="24"/>
        <v>PU</v>
      </c>
      <c r="F362" s="55">
        <v>50</v>
      </c>
      <c r="G362" s="55" t="s">
        <v>512</v>
      </c>
      <c r="J362" s="55" t="str">
        <f t="shared" si="23"/>
        <v>PU</v>
      </c>
    </row>
    <row r="363" spans="1:10" hidden="1">
      <c r="A363" s="79" t="s">
        <v>1915</v>
      </c>
      <c r="B363" s="1779"/>
      <c r="C363" s="79" t="s">
        <v>2951</v>
      </c>
      <c r="D363" s="80" t="s">
        <v>2448</v>
      </c>
      <c r="E363" s="2275" t="str">
        <f t="shared" si="24"/>
        <v>R1</v>
      </c>
      <c r="F363" s="55">
        <v>50</v>
      </c>
      <c r="G363" s="55" t="s">
        <v>512</v>
      </c>
      <c r="J363" s="55" t="str">
        <f t="shared" si="23"/>
        <v>R1</v>
      </c>
    </row>
    <row r="364" spans="1:10" hidden="1">
      <c r="A364" s="79" t="s">
        <v>2267</v>
      </c>
      <c r="B364" s="1779"/>
      <c r="C364" s="79" t="s">
        <v>2952</v>
      </c>
      <c r="D364" s="80" t="s">
        <v>2448</v>
      </c>
      <c r="E364" s="2275" t="str">
        <f t="shared" si="24"/>
        <v>R2</v>
      </c>
      <c r="F364" s="55">
        <v>50</v>
      </c>
      <c r="G364" s="55" t="s">
        <v>512</v>
      </c>
      <c r="J364" s="55" t="str">
        <f t="shared" si="23"/>
        <v>R2</v>
      </c>
    </row>
    <row r="365" spans="1:10" hidden="1">
      <c r="A365" s="79" t="s">
        <v>667</v>
      </c>
      <c r="B365" s="1779"/>
      <c r="C365" s="79" t="s">
        <v>2953</v>
      </c>
      <c r="D365" s="80" t="s">
        <v>2448</v>
      </c>
      <c r="E365" s="2275" t="str">
        <f t="shared" si="24"/>
        <v>R3</v>
      </c>
      <c r="F365" s="55">
        <v>50</v>
      </c>
      <c r="G365" s="55" t="s">
        <v>512</v>
      </c>
      <c r="J365" s="55" t="str">
        <f t="shared" si="23"/>
        <v>R3</v>
      </c>
    </row>
    <row r="366" spans="1:10" hidden="1">
      <c r="A366" s="79" t="s">
        <v>51</v>
      </c>
      <c r="B366" s="1779"/>
      <c r="C366" s="1780" t="s">
        <v>1452</v>
      </c>
      <c r="D366" s="80" t="s">
        <v>2566</v>
      </c>
      <c r="E366" s="2275" t="str">
        <f t="shared" si="24"/>
        <v>R4</v>
      </c>
      <c r="F366" s="55">
        <v>50</v>
      </c>
      <c r="G366" s="55" t="s">
        <v>512</v>
      </c>
      <c r="J366" s="55" t="str">
        <f t="shared" si="23"/>
        <v>R4</v>
      </c>
    </row>
    <row r="367" spans="1:10" hidden="1">
      <c r="A367" s="79" t="s">
        <v>1454</v>
      </c>
      <c r="B367" s="1779"/>
      <c r="C367" s="79" t="s">
        <v>2954</v>
      </c>
      <c r="D367" s="80" t="s">
        <v>2448</v>
      </c>
      <c r="E367" s="2275" t="str">
        <f t="shared" si="24"/>
        <v>R4</v>
      </c>
      <c r="F367" s="55">
        <v>50</v>
      </c>
      <c r="G367" s="55" t="s">
        <v>512</v>
      </c>
      <c r="J367" s="55" t="str">
        <f t="shared" si="23"/>
        <v>R4S</v>
      </c>
    </row>
    <row r="368" spans="1:10" hidden="1">
      <c r="A368" s="79" t="s">
        <v>698</v>
      </c>
      <c r="B368" s="1779"/>
      <c r="C368" s="79" t="s">
        <v>2955</v>
      </c>
      <c r="D368" s="80" t="s">
        <v>2566</v>
      </c>
      <c r="E368" s="2275" t="str">
        <f t="shared" ref="E368:E369" si="25">LEFT(A368,2)</f>
        <v>SD</v>
      </c>
      <c r="F368" s="55">
        <v>6</v>
      </c>
      <c r="G368" s="55" t="s">
        <v>512</v>
      </c>
      <c r="J368" s="55" t="str">
        <f t="shared" ref="J368:J369" si="26">A368</f>
        <v>SD</v>
      </c>
    </row>
    <row r="369" spans="1:10" hidden="1">
      <c r="A369" s="79" t="s">
        <v>5177</v>
      </c>
      <c r="B369" s="1779"/>
      <c r="C369" s="79" t="s">
        <v>4961</v>
      </c>
      <c r="D369" s="80" t="s">
        <v>2566</v>
      </c>
      <c r="E369" s="2275" t="str">
        <f t="shared" si="25"/>
        <v>SD</v>
      </c>
      <c r="F369" s="55">
        <v>6</v>
      </c>
      <c r="G369" s="55" t="s">
        <v>512</v>
      </c>
      <c r="J369" s="55" t="str">
        <f t="shared" si="26"/>
        <v>SDC</v>
      </c>
    </row>
    <row r="370" spans="1:10" hidden="1">
      <c r="A370" s="79" t="s">
        <v>5178</v>
      </c>
      <c r="B370" s="1779"/>
      <c r="C370" s="79" t="s">
        <v>4962</v>
      </c>
      <c r="D370" s="80" t="s">
        <v>2566</v>
      </c>
      <c r="E370" s="2275" t="str">
        <f t="shared" si="24"/>
        <v>CS</v>
      </c>
      <c r="F370" s="55">
        <v>6</v>
      </c>
      <c r="G370" s="55" t="s">
        <v>512</v>
      </c>
      <c r="J370" s="55" t="str">
        <f t="shared" si="23"/>
        <v>CSDC</v>
      </c>
    </row>
    <row r="371" spans="1:10" hidden="1">
      <c r="A371" s="79" t="s">
        <v>1003</v>
      </c>
      <c r="B371" s="1779"/>
      <c r="C371" s="79" t="s">
        <v>2956</v>
      </c>
      <c r="D371" s="80" t="s">
        <v>2448</v>
      </c>
      <c r="E371" s="2275" t="str">
        <f t="shared" si="24"/>
        <v>SD</v>
      </c>
      <c r="F371" s="55">
        <v>6</v>
      </c>
      <c r="G371" s="55" t="s">
        <v>512</v>
      </c>
      <c r="J371" s="55" t="str">
        <f t="shared" si="23"/>
        <v>SD35</v>
      </c>
    </row>
    <row r="372" spans="1:10" hidden="1">
      <c r="A372" s="79" t="s">
        <v>734</v>
      </c>
      <c r="B372" s="1779"/>
      <c r="C372" s="79" t="s">
        <v>2957</v>
      </c>
      <c r="D372" s="80" t="s">
        <v>2448</v>
      </c>
      <c r="E372" s="2275" t="str">
        <f t="shared" si="24"/>
        <v>SD</v>
      </c>
      <c r="F372" s="55">
        <v>6</v>
      </c>
      <c r="G372" s="55" t="s">
        <v>512</v>
      </c>
      <c r="J372" s="55" t="str">
        <f t="shared" si="23"/>
        <v>SDI35</v>
      </c>
    </row>
    <row r="373" spans="1:10" hidden="1">
      <c r="A373" s="79" t="s">
        <v>735</v>
      </c>
      <c r="B373" s="1779"/>
      <c r="C373" s="79" t="s">
        <v>2958</v>
      </c>
      <c r="D373" s="80" t="s">
        <v>2566</v>
      </c>
      <c r="E373" s="2275" t="str">
        <f t="shared" si="24"/>
        <v>SD</v>
      </c>
      <c r="F373" s="55">
        <v>6</v>
      </c>
      <c r="G373" s="55" t="s">
        <v>512</v>
      </c>
      <c r="J373" s="55" t="str">
        <f t="shared" si="23"/>
        <v>SDCM</v>
      </c>
    </row>
    <row r="374" spans="1:10" hidden="1">
      <c r="A374" s="79" t="s">
        <v>111</v>
      </c>
      <c r="B374" s="1779"/>
      <c r="C374" s="79" t="s">
        <v>2959</v>
      </c>
      <c r="D374" s="80" t="s">
        <v>2566</v>
      </c>
      <c r="E374" s="2275" t="str">
        <f t="shared" si="24"/>
        <v>SN</v>
      </c>
      <c r="F374" s="55">
        <v>50</v>
      </c>
      <c r="G374" s="55" t="s">
        <v>512</v>
      </c>
      <c r="J374" s="55" t="str">
        <f t="shared" si="23"/>
        <v>SN</v>
      </c>
    </row>
    <row r="375" spans="1:10" hidden="1">
      <c r="A375" s="79" t="s">
        <v>2136</v>
      </c>
      <c r="B375" s="1779"/>
      <c r="C375" s="79" t="s">
        <v>2960</v>
      </c>
      <c r="D375" s="80" t="s">
        <v>2566</v>
      </c>
      <c r="E375" s="2275" t="str">
        <f t="shared" si="24"/>
        <v>SO</v>
      </c>
      <c r="F375" s="55">
        <v>50</v>
      </c>
      <c r="G375" s="55" t="s">
        <v>512</v>
      </c>
      <c r="J375" s="55" t="str">
        <f t="shared" si="23"/>
        <v>SOC</v>
      </c>
    </row>
    <row r="376" spans="1:10" hidden="1">
      <c r="A376" s="79" t="s">
        <v>112</v>
      </c>
      <c r="B376" s="1779"/>
      <c r="C376" s="79" t="s">
        <v>2961</v>
      </c>
      <c r="D376" s="80" t="s">
        <v>2962</v>
      </c>
      <c r="E376" s="2275" t="str">
        <f t="shared" si="24"/>
        <v>ST</v>
      </c>
      <c r="F376" s="55">
        <v>50</v>
      </c>
      <c r="G376" s="55" t="s">
        <v>512</v>
      </c>
      <c r="J376" s="55" t="str">
        <f t="shared" si="23"/>
        <v>ST</v>
      </c>
    </row>
    <row r="377" spans="1:10" hidden="1">
      <c r="A377" s="79" t="s">
        <v>558</v>
      </c>
      <c r="B377" s="1779"/>
      <c r="C377" s="79" t="s">
        <v>2963</v>
      </c>
      <c r="D377" s="80" t="s">
        <v>2962</v>
      </c>
      <c r="E377" s="2275" t="str">
        <f t="shared" si="24"/>
        <v>ST</v>
      </c>
      <c r="F377" s="55">
        <v>50</v>
      </c>
      <c r="G377" s="55" t="s">
        <v>512</v>
      </c>
      <c r="J377" s="55" t="str">
        <f t="shared" si="23"/>
        <v>ST120</v>
      </c>
    </row>
    <row r="378" spans="1:10" hidden="1">
      <c r="A378" s="79" t="s">
        <v>1031</v>
      </c>
      <c r="B378" s="1779"/>
      <c r="C378" s="79" t="s">
        <v>2964</v>
      </c>
      <c r="D378" s="80" t="s">
        <v>2521</v>
      </c>
      <c r="E378" s="2275" t="str">
        <f t="shared" si="24"/>
        <v>ST</v>
      </c>
      <c r="F378" s="55">
        <v>7</v>
      </c>
      <c r="G378" s="55" t="s">
        <v>512</v>
      </c>
      <c r="J378" s="55" t="str">
        <f t="shared" si="23"/>
        <v>STply</v>
      </c>
    </row>
    <row r="379" spans="1:10" hidden="1">
      <c r="A379" s="79" t="s">
        <v>538</v>
      </c>
      <c r="B379" s="1779"/>
      <c r="C379" s="79" t="s">
        <v>2965</v>
      </c>
      <c r="D379" s="80" t="s">
        <v>2566</v>
      </c>
      <c r="E379" s="2275" t="str">
        <f t="shared" si="24"/>
        <v>St</v>
      </c>
      <c r="F379" s="55">
        <v>50</v>
      </c>
      <c r="G379" s="55" t="s">
        <v>512</v>
      </c>
      <c r="J379" s="55" t="str">
        <f t="shared" si="23"/>
        <v>Stply-HT</v>
      </c>
    </row>
    <row r="380" spans="1:10" hidden="1">
      <c r="A380" s="79" t="s">
        <v>1032</v>
      </c>
      <c r="B380" s="1779"/>
      <c r="C380" s="79" t="s">
        <v>2966</v>
      </c>
      <c r="D380" s="80" t="s">
        <v>2256</v>
      </c>
      <c r="E380" s="2275" t="str">
        <f t="shared" si="24"/>
        <v>S4</v>
      </c>
      <c r="F380" s="55">
        <v>50</v>
      </c>
      <c r="G380" s="55" t="s">
        <v>512</v>
      </c>
      <c r="J380" s="55" t="str">
        <f t="shared" si="23"/>
        <v>S40</v>
      </c>
    </row>
    <row r="381" spans="1:10" hidden="1">
      <c r="A381" s="79" t="s">
        <v>2114</v>
      </c>
      <c r="B381" s="1779"/>
      <c r="C381" s="79" t="s">
        <v>4950</v>
      </c>
      <c r="D381" s="80" t="s">
        <v>2256</v>
      </c>
      <c r="E381" s="2275" t="str">
        <f t="shared" si="24"/>
        <v>S5</v>
      </c>
      <c r="F381" s="55">
        <v>50</v>
      </c>
      <c r="G381" s="55" t="s">
        <v>512</v>
      </c>
      <c r="J381" s="55" t="str">
        <f t="shared" si="23"/>
        <v>S50</v>
      </c>
    </row>
    <row r="382" spans="1:10" hidden="1">
      <c r="A382" s="79" t="s">
        <v>279</v>
      </c>
      <c r="B382" s="1779"/>
      <c r="C382" s="79" t="s">
        <v>2967</v>
      </c>
      <c r="D382" s="80" t="s">
        <v>2256</v>
      </c>
      <c r="E382" s="2275" t="str">
        <f t="shared" si="24"/>
        <v>S6</v>
      </c>
      <c r="F382" s="55">
        <v>50</v>
      </c>
      <c r="G382" s="55" t="s">
        <v>512</v>
      </c>
      <c r="J382" s="55" t="str">
        <f t="shared" si="23"/>
        <v>S60</v>
      </c>
    </row>
    <row r="383" spans="1:10" hidden="1">
      <c r="A383" s="79" t="s">
        <v>1121</v>
      </c>
      <c r="B383" s="1779"/>
      <c r="C383" s="79" t="s">
        <v>2968</v>
      </c>
      <c r="D383" s="80" t="s">
        <v>2256</v>
      </c>
      <c r="E383" s="2275" t="str">
        <f t="shared" si="24"/>
        <v>S7</v>
      </c>
      <c r="F383" s="55">
        <v>50</v>
      </c>
      <c r="G383" s="55" t="s">
        <v>512</v>
      </c>
      <c r="J383" s="55" t="str">
        <f t="shared" si="23"/>
        <v>S70</v>
      </c>
    </row>
    <row r="384" spans="1:10" hidden="1">
      <c r="A384" s="1780" t="s">
        <v>1122</v>
      </c>
      <c r="B384" s="84"/>
      <c r="C384" s="79" t="s">
        <v>2969</v>
      </c>
      <c r="D384" s="80" t="s">
        <v>2256</v>
      </c>
      <c r="E384" s="2275" t="str">
        <f t="shared" si="24"/>
        <v>S8</v>
      </c>
      <c r="F384" s="55">
        <v>50</v>
      </c>
      <c r="G384" s="55" t="s">
        <v>512</v>
      </c>
      <c r="J384" s="55" t="str">
        <f t="shared" si="23"/>
        <v>S806</v>
      </c>
    </row>
    <row r="385" spans="1:10" hidden="1">
      <c r="A385" s="1780" t="s">
        <v>2235</v>
      </c>
      <c r="B385" s="84"/>
      <c r="C385" s="79" t="s">
        <v>2970</v>
      </c>
      <c r="D385" s="80" t="s">
        <v>2256</v>
      </c>
      <c r="E385" s="2275" t="str">
        <f t="shared" si="24"/>
        <v>S8</v>
      </c>
      <c r="F385" s="55">
        <v>50</v>
      </c>
      <c r="G385" s="55" t="s">
        <v>512</v>
      </c>
      <c r="J385" s="55" t="str">
        <f t="shared" si="23"/>
        <v>S80</v>
      </c>
    </row>
    <row r="386" spans="1:10" hidden="1">
      <c r="A386" s="79" t="s">
        <v>2236</v>
      </c>
      <c r="B386" s="1779"/>
      <c r="C386" s="79" t="s">
        <v>2971</v>
      </c>
      <c r="D386" s="80" t="s">
        <v>2256</v>
      </c>
      <c r="E386" s="2275" t="str">
        <f t="shared" si="24"/>
        <v>S1</v>
      </c>
      <c r="F386" s="55">
        <v>50</v>
      </c>
      <c r="G386" s="55" t="s">
        <v>512</v>
      </c>
      <c r="J386" s="55" t="str">
        <f t="shared" si="23"/>
        <v>S1008</v>
      </c>
    </row>
    <row r="387" spans="1:10" hidden="1">
      <c r="A387" s="1780" t="s">
        <v>640</v>
      </c>
      <c r="B387" s="84"/>
      <c r="C387" s="79" t="s">
        <v>2972</v>
      </c>
      <c r="D387" s="80" t="s">
        <v>2256</v>
      </c>
      <c r="E387" s="2275" t="str">
        <f t="shared" si="24"/>
        <v>SL</v>
      </c>
      <c r="F387" s="55">
        <v>50</v>
      </c>
      <c r="G387" s="55" t="s">
        <v>512</v>
      </c>
      <c r="J387" s="55" t="str">
        <f t="shared" si="23"/>
        <v>SL32</v>
      </c>
    </row>
    <row r="388" spans="1:10" hidden="1">
      <c r="A388" s="1780" t="s">
        <v>1618</v>
      </c>
      <c r="B388" s="84"/>
      <c r="C388" s="79" t="s">
        <v>2973</v>
      </c>
      <c r="D388" s="80" t="s">
        <v>2256</v>
      </c>
      <c r="E388" s="2275" t="str">
        <f t="shared" si="24"/>
        <v>SL</v>
      </c>
      <c r="F388" s="55">
        <v>50</v>
      </c>
      <c r="G388" s="55" t="s">
        <v>512</v>
      </c>
      <c r="J388" s="55" t="str">
        <f t="shared" si="23"/>
        <v>SL40</v>
      </c>
    </row>
    <row r="389" spans="1:10" hidden="1">
      <c r="A389" s="79" t="s">
        <v>1520</v>
      </c>
      <c r="B389" s="1779"/>
      <c r="C389" s="79" t="s">
        <v>2974</v>
      </c>
      <c r="D389" s="80" t="s">
        <v>2256</v>
      </c>
      <c r="E389" s="2275" t="str">
        <f t="shared" si="24"/>
        <v>SL</v>
      </c>
      <c r="F389" s="55">
        <v>50</v>
      </c>
      <c r="G389" s="55" t="s">
        <v>512</v>
      </c>
      <c r="J389" s="55" t="str">
        <f t="shared" si="23"/>
        <v>SL45</v>
      </c>
    </row>
    <row r="390" spans="1:10" hidden="1">
      <c r="A390" s="1780" t="s">
        <v>457</v>
      </c>
      <c r="B390" s="84"/>
      <c r="C390" s="79" t="s">
        <v>2975</v>
      </c>
      <c r="D390" s="80" t="s">
        <v>2256</v>
      </c>
      <c r="E390" s="2275" t="str">
        <f t="shared" ref="E390:E394" si="27">LEFT(A390,2)</f>
        <v>SL</v>
      </c>
      <c r="F390" s="55">
        <v>50</v>
      </c>
      <c r="G390" s="55" t="s">
        <v>512</v>
      </c>
      <c r="J390" s="55" t="str">
        <f t="shared" si="23"/>
        <v>SL50</v>
      </c>
    </row>
    <row r="391" spans="1:10" hidden="1">
      <c r="A391" s="2273" t="str">
        <f t="shared" ref="A391:A392" si="28">"SL50-"&amp;H391</f>
        <v>SL50-720</v>
      </c>
      <c r="B391" s="1779"/>
      <c r="C391" s="79" t="str">
        <f t="shared" ref="C391" si="29">"Sắt góc L50 x50 x5 "&amp;"x"&amp;H391</f>
        <v>Sắt góc L50 x50 x5 x720</v>
      </c>
      <c r="D391" s="80" t="s">
        <v>2566</v>
      </c>
      <c r="E391" s="2275" t="str">
        <f t="shared" ref="E391:E393" si="30">LEFT(A391,2)</f>
        <v>SL</v>
      </c>
      <c r="F391" s="55">
        <v>50</v>
      </c>
      <c r="G391" s="55" t="s">
        <v>512</v>
      </c>
      <c r="H391" s="55">
        <v>720</v>
      </c>
      <c r="J391" s="55" t="str">
        <f t="shared" si="23"/>
        <v>SL50-720</v>
      </c>
    </row>
    <row r="392" spans="1:10" hidden="1">
      <c r="A392" s="2273" t="str">
        <f t="shared" si="28"/>
        <v>SL50-810</v>
      </c>
      <c r="B392" s="1779"/>
      <c r="C392" s="79" t="s">
        <v>4945</v>
      </c>
      <c r="D392" s="80" t="s">
        <v>2566</v>
      </c>
      <c r="E392" s="2275" t="str">
        <f t="shared" si="30"/>
        <v>SL</v>
      </c>
      <c r="F392" s="55">
        <v>50</v>
      </c>
      <c r="G392" s="55" t="s">
        <v>512</v>
      </c>
      <c r="H392" s="55">
        <v>810</v>
      </c>
      <c r="J392" s="55" t="str">
        <f t="shared" si="23"/>
        <v>SL50-810</v>
      </c>
    </row>
    <row r="393" spans="1:10" hidden="1">
      <c r="A393" s="2273" t="str">
        <f>"SL50-"&amp;H393</f>
        <v>SL50-920</v>
      </c>
      <c r="B393" s="1779"/>
      <c r="C393" s="79" t="str">
        <f>"Sắt góc L50 x50 x5 "&amp;"x"&amp;H393</f>
        <v>Sắt góc L50 x50 x5 x920</v>
      </c>
      <c r="D393" s="80" t="s">
        <v>2566</v>
      </c>
      <c r="E393" s="2275" t="str">
        <f t="shared" si="30"/>
        <v>SL</v>
      </c>
      <c r="F393" s="55">
        <v>50</v>
      </c>
      <c r="G393" s="55" t="s">
        <v>512</v>
      </c>
      <c r="H393" s="55">
        <v>920</v>
      </c>
      <c r="J393" s="55" t="str">
        <f t="shared" ref="J393:J457" si="31">A393</f>
        <v>SL50-920</v>
      </c>
    </row>
    <row r="394" spans="1:10" hidden="1">
      <c r="A394" s="2273" t="str">
        <f>"SL50-"&amp;H394</f>
        <v>SL50-1190</v>
      </c>
      <c r="B394" s="1779"/>
      <c r="C394" s="79" t="str">
        <f>"Sắt góc L50 x50 x5 "&amp;"x"&amp;H394</f>
        <v>Sắt góc L50 x50 x5 x1190</v>
      </c>
      <c r="D394" s="80" t="s">
        <v>2566</v>
      </c>
      <c r="E394" s="2275" t="str">
        <f t="shared" si="27"/>
        <v>SL</v>
      </c>
      <c r="F394" s="55">
        <v>50</v>
      </c>
      <c r="G394" s="55" t="s">
        <v>512</v>
      </c>
      <c r="H394" s="55">
        <v>1190</v>
      </c>
      <c r="J394" s="55" t="str">
        <f t="shared" si="31"/>
        <v>SL50-1190</v>
      </c>
    </row>
    <row r="395" spans="1:10" hidden="1">
      <c r="A395" s="1780" t="s">
        <v>4761</v>
      </c>
      <c r="B395" s="84"/>
      <c r="C395" s="79" t="s">
        <v>2975</v>
      </c>
      <c r="D395" s="80" t="s">
        <v>2256</v>
      </c>
      <c r="E395" s="2275" t="str">
        <f t="shared" si="24"/>
        <v>SL</v>
      </c>
      <c r="F395" s="55">
        <v>50</v>
      </c>
      <c r="G395" s="55" t="s">
        <v>512</v>
      </c>
      <c r="J395" s="55" t="str">
        <f t="shared" si="31"/>
        <v>SL50kg</v>
      </c>
    </row>
    <row r="396" spans="1:10" hidden="1">
      <c r="A396" s="79" t="s">
        <v>1120</v>
      </c>
      <c r="B396" s="1779"/>
      <c r="C396" s="79" t="s">
        <v>2976</v>
      </c>
      <c r="D396" s="80" t="s">
        <v>2256</v>
      </c>
      <c r="E396" s="2275" t="str">
        <f t="shared" si="24"/>
        <v>SL</v>
      </c>
      <c r="F396" s="55">
        <v>50</v>
      </c>
      <c r="G396" s="55" t="s">
        <v>512</v>
      </c>
      <c r="J396" s="55" t="str">
        <f t="shared" si="31"/>
        <v>SL70</v>
      </c>
    </row>
    <row r="397" spans="1:10" hidden="1">
      <c r="A397" s="79" t="s">
        <v>4760</v>
      </c>
      <c r="B397" s="1779"/>
      <c r="C397" s="79" t="s">
        <v>2446</v>
      </c>
      <c r="D397" s="80" t="s">
        <v>2256</v>
      </c>
      <c r="E397" s="2275" t="str">
        <f t="shared" ref="E397:E403" si="32">LEFT(A397,2)</f>
        <v>SL</v>
      </c>
      <c r="F397" s="55">
        <v>50</v>
      </c>
      <c r="G397" s="55" t="s">
        <v>512</v>
      </c>
      <c r="J397" s="55" t="str">
        <f t="shared" si="31"/>
        <v>SL75kg</v>
      </c>
    </row>
    <row r="398" spans="1:10" hidden="1">
      <c r="A398" s="79" t="s">
        <v>109</v>
      </c>
      <c r="B398" s="1779"/>
      <c r="C398" s="79" t="s">
        <v>2446</v>
      </c>
      <c r="D398" s="80" t="s">
        <v>2256</v>
      </c>
      <c r="E398" s="2275" t="str">
        <f t="shared" si="32"/>
        <v>SL</v>
      </c>
      <c r="F398" s="55">
        <v>50</v>
      </c>
      <c r="G398" s="55" t="s">
        <v>512</v>
      </c>
      <c r="J398" s="55" t="str">
        <f t="shared" si="31"/>
        <v>SL75</v>
      </c>
    </row>
    <row r="399" spans="1:10" hidden="1">
      <c r="A399" s="2273" t="str">
        <f t="shared" ref="A399:A403" si="33">"SL75-"&amp;H399</f>
        <v>SL75-1660</v>
      </c>
      <c r="B399" s="1779"/>
      <c r="C399" s="79" t="str">
        <f t="shared" ref="C399:C403" si="34">"Sắt góc L75 x75 x8 "&amp;"x"&amp;H399</f>
        <v>Sắt góc L75 x75 x8 x1660</v>
      </c>
      <c r="D399" s="80" t="s">
        <v>2566</v>
      </c>
      <c r="E399" s="2275" t="str">
        <f t="shared" si="32"/>
        <v>SL</v>
      </c>
      <c r="F399" s="55">
        <v>50</v>
      </c>
      <c r="G399" s="55" t="s">
        <v>512</v>
      </c>
      <c r="H399" s="55">
        <v>1660</v>
      </c>
      <c r="J399" s="55" t="str">
        <f t="shared" si="31"/>
        <v>SL75-1660</v>
      </c>
    </row>
    <row r="400" spans="1:10" hidden="1">
      <c r="A400" s="2273" t="str">
        <f t="shared" si="33"/>
        <v>SL75-2000</v>
      </c>
      <c r="B400" s="1779"/>
      <c r="C400" s="79" t="s">
        <v>4944</v>
      </c>
      <c r="D400" s="80" t="s">
        <v>2566</v>
      </c>
      <c r="E400" s="2275" t="str">
        <f t="shared" si="32"/>
        <v>SL</v>
      </c>
      <c r="F400" s="55">
        <v>50</v>
      </c>
      <c r="G400" s="55" t="s">
        <v>512</v>
      </c>
      <c r="H400" s="55">
        <v>2000</v>
      </c>
      <c r="J400" s="55" t="str">
        <f t="shared" si="31"/>
        <v>SL75-2000</v>
      </c>
    </row>
    <row r="401" spans="1:10" hidden="1">
      <c r="A401" s="2273" t="str">
        <f t="shared" ref="A401" si="35">"SL75-"&amp;H401</f>
        <v>SL75-1990</v>
      </c>
      <c r="B401" s="1779"/>
      <c r="C401" s="79" t="s">
        <v>4949</v>
      </c>
      <c r="D401" s="80" t="s">
        <v>2566</v>
      </c>
      <c r="E401" s="2275" t="str">
        <f t="shared" ref="E401" si="36">LEFT(A401,2)</f>
        <v>SL</v>
      </c>
      <c r="F401" s="55">
        <v>50</v>
      </c>
      <c r="G401" s="55" t="s">
        <v>512</v>
      </c>
      <c r="H401" s="55">
        <v>1990</v>
      </c>
      <c r="J401" s="55" t="str">
        <f t="shared" ref="J401" si="37">A401</f>
        <v>SL75-1990</v>
      </c>
    </row>
    <row r="402" spans="1:10" hidden="1">
      <c r="A402" s="2273" t="str">
        <f t="shared" si="33"/>
        <v>SL75-2100</v>
      </c>
      <c r="B402" s="1779"/>
      <c r="C402" s="79" t="s">
        <v>4948</v>
      </c>
      <c r="D402" s="80" t="s">
        <v>2566</v>
      </c>
      <c r="E402" s="2275" t="str">
        <f t="shared" si="32"/>
        <v>SL</v>
      </c>
      <c r="F402" s="55">
        <v>50</v>
      </c>
      <c r="G402" s="55" t="s">
        <v>512</v>
      </c>
      <c r="H402" s="55">
        <v>2100</v>
      </c>
      <c r="J402" s="55" t="str">
        <f t="shared" si="31"/>
        <v>SL75-2100</v>
      </c>
    </row>
    <row r="403" spans="1:10" hidden="1">
      <c r="A403" s="2273" t="str">
        <f t="shared" si="33"/>
        <v>SL75-2200</v>
      </c>
      <c r="B403" s="1779"/>
      <c r="C403" s="79" t="str">
        <f t="shared" si="34"/>
        <v>Sắt góc L75 x75 x8 x2200</v>
      </c>
      <c r="D403" s="80" t="s">
        <v>2566</v>
      </c>
      <c r="E403" s="2275" t="str">
        <f t="shared" si="32"/>
        <v>SL</v>
      </c>
      <c r="F403" s="55">
        <v>50</v>
      </c>
      <c r="G403" s="55" t="s">
        <v>512</v>
      </c>
      <c r="H403" s="55">
        <v>2200</v>
      </c>
      <c r="J403" s="55" t="str">
        <f t="shared" si="31"/>
        <v>SL75-2200</v>
      </c>
    </row>
    <row r="404" spans="1:10" hidden="1">
      <c r="A404" s="2273" t="str">
        <f>"SL75-"&amp;H404</f>
        <v>SL75-2400</v>
      </c>
      <c r="B404" s="1779"/>
      <c r="C404" s="79" t="str">
        <f>"Sắt góc L75 x75 x8 "&amp;"x"&amp;H404</f>
        <v>Sắt góc L75 x75 x8 x2400</v>
      </c>
      <c r="D404" s="80" t="s">
        <v>2566</v>
      </c>
      <c r="E404" s="2275" t="str">
        <f t="shared" si="24"/>
        <v>SL</v>
      </c>
      <c r="F404" s="55">
        <v>50</v>
      </c>
      <c r="G404" s="55" t="s">
        <v>512</v>
      </c>
      <c r="H404" s="55">
        <v>2400</v>
      </c>
      <c r="J404" s="55" t="str">
        <f t="shared" si="31"/>
        <v>SL75-2400</v>
      </c>
    </row>
    <row r="405" spans="1:10" hidden="1">
      <c r="A405" s="79" t="s">
        <v>1979</v>
      </c>
      <c r="B405" s="1779"/>
      <c r="C405" s="79" t="s">
        <v>4855</v>
      </c>
      <c r="D405" s="80" t="s">
        <v>2256</v>
      </c>
      <c r="E405" s="2275" t="str">
        <f t="shared" si="24"/>
        <v>SO</v>
      </c>
      <c r="F405" s="55">
        <v>50</v>
      </c>
      <c r="G405" s="55" t="s">
        <v>512</v>
      </c>
      <c r="J405" s="55" t="str">
        <f t="shared" si="31"/>
        <v>SO6</v>
      </c>
    </row>
    <row r="406" spans="1:10" hidden="1">
      <c r="A406" s="79" t="s">
        <v>1429</v>
      </c>
      <c r="B406" s="1779"/>
      <c r="C406" s="79" t="s">
        <v>4856</v>
      </c>
      <c r="D406" s="80" t="s">
        <v>2256</v>
      </c>
      <c r="E406" s="2275" t="str">
        <f t="shared" si="24"/>
        <v>SO</v>
      </c>
      <c r="F406" s="55">
        <v>50</v>
      </c>
      <c r="G406" s="55" t="s">
        <v>512</v>
      </c>
      <c r="J406" s="55" t="str">
        <f t="shared" si="31"/>
        <v>SO8</v>
      </c>
    </row>
    <row r="407" spans="1:10" hidden="1">
      <c r="A407" s="79" t="s">
        <v>2014</v>
      </c>
      <c r="B407" s="1779"/>
      <c r="C407" s="79" t="s">
        <v>4857</v>
      </c>
      <c r="D407" s="80" t="s">
        <v>2256</v>
      </c>
      <c r="E407" s="2275" t="str">
        <f t="shared" si="24"/>
        <v>SO</v>
      </c>
      <c r="F407" s="55">
        <v>50</v>
      </c>
      <c r="G407" s="55" t="s">
        <v>512</v>
      </c>
      <c r="J407" s="55" t="str">
        <f t="shared" si="31"/>
        <v>SO10</v>
      </c>
    </row>
    <row r="408" spans="1:10" hidden="1">
      <c r="A408" s="79" t="s">
        <v>1521</v>
      </c>
      <c r="B408" s="1779"/>
      <c r="C408" s="79" t="s">
        <v>4858</v>
      </c>
      <c r="D408" s="80" t="s">
        <v>2256</v>
      </c>
      <c r="E408" s="2275" t="str">
        <f t="shared" si="24"/>
        <v>SO</v>
      </c>
      <c r="F408" s="55">
        <v>50</v>
      </c>
      <c r="G408" s="55" t="s">
        <v>512</v>
      </c>
      <c r="J408" s="55" t="str">
        <f t="shared" si="31"/>
        <v>SO12</v>
      </c>
    </row>
    <row r="409" spans="1:10" hidden="1">
      <c r="A409" s="79" t="s">
        <v>1440</v>
      </c>
      <c r="B409" s="1779"/>
      <c r="C409" s="79" t="s">
        <v>4859</v>
      </c>
      <c r="D409" s="80" t="s">
        <v>2256</v>
      </c>
      <c r="E409" s="2275" t="str">
        <f t="shared" si="24"/>
        <v>SO</v>
      </c>
      <c r="F409" s="55">
        <v>50</v>
      </c>
      <c r="G409" s="55" t="s">
        <v>512</v>
      </c>
      <c r="J409" s="55" t="str">
        <f t="shared" si="31"/>
        <v>SO16</v>
      </c>
    </row>
    <row r="410" spans="1:10" hidden="1">
      <c r="A410" s="79" t="s">
        <v>1980</v>
      </c>
      <c r="B410" s="1779"/>
      <c r="C410" s="79" t="s">
        <v>4860</v>
      </c>
      <c r="D410" s="80" t="s">
        <v>2256</v>
      </c>
      <c r="E410" s="2275" t="str">
        <f t="shared" si="24"/>
        <v>SO</v>
      </c>
      <c r="F410" s="55">
        <v>50</v>
      </c>
      <c r="G410" s="55" t="s">
        <v>512</v>
      </c>
      <c r="J410" s="55" t="str">
        <f t="shared" si="31"/>
        <v>SO24</v>
      </c>
    </row>
    <row r="411" spans="1:10" hidden="1">
      <c r="A411" s="79" t="s">
        <v>2233</v>
      </c>
      <c r="B411" s="1779"/>
      <c r="C411" s="79" t="s">
        <v>2977</v>
      </c>
      <c r="D411" s="80" t="s">
        <v>2256</v>
      </c>
      <c r="E411" s="2275" t="str">
        <f t="shared" si="24"/>
        <v>EK</v>
      </c>
      <c r="F411" s="55">
        <v>50</v>
      </c>
      <c r="G411" s="55" t="s">
        <v>512</v>
      </c>
      <c r="J411" s="55" t="str">
        <f t="shared" si="31"/>
        <v>EKE300</v>
      </c>
    </row>
    <row r="412" spans="1:10" hidden="1">
      <c r="A412" s="79" t="s">
        <v>52</v>
      </c>
      <c r="B412" s="1779"/>
      <c r="C412" s="1787" t="s">
        <v>2978</v>
      </c>
      <c r="D412" s="80" t="s">
        <v>2256</v>
      </c>
      <c r="E412" s="2275" t="str">
        <f t="shared" ref="E412:E480" si="38">LEFT(A412,2)</f>
        <v>th</v>
      </c>
      <c r="F412" s="55">
        <v>50</v>
      </c>
      <c r="G412" s="55" t="s">
        <v>512</v>
      </c>
      <c r="J412" s="55" t="str">
        <f t="shared" si="31"/>
        <v>thept6</v>
      </c>
    </row>
    <row r="413" spans="1:10" hidden="1">
      <c r="A413" s="79" t="s">
        <v>702</v>
      </c>
      <c r="B413" s="1779"/>
      <c r="C413" s="1787" t="s">
        <v>2979</v>
      </c>
      <c r="D413" s="80" t="s">
        <v>2256</v>
      </c>
      <c r="E413" s="2275" t="str">
        <f t="shared" si="38"/>
        <v>th</v>
      </c>
      <c r="F413" s="55">
        <v>50</v>
      </c>
      <c r="G413" s="55" t="s">
        <v>512</v>
      </c>
      <c r="J413" s="55" t="str">
        <f t="shared" si="31"/>
        <v>thept5</v>
      </c>
    </row>
    <row r="414" spans="1:10" hidden="1">
      <c r="A414" s="79" t="s">
        <v>341</v>
      </c>
      <c r="B414" s="1779"/>
      <c r="C414" s="1787" t="s">
        <v>2980</v>
      </c>
      <c r="D414" s="80" t="s">
        <v>2256</v>
      </c>
      <c r="E414" s="2275" t="str">
        <f t="shared" si="38"/>
        <v>th</v>
      </c>
      <c r="F414" s="55">
        <v>50</v>
      </c>
      <c r="G414" s="55" t="s">
        <v>512</v>
      </c>
      <c r="J414" s="55" t="str">
        <f t="shared" si="31"/>
        <v>thept4</v>
      </c>
    </row>
    <row r="415" spans="1:10" hidden="1">
      <c r="A415" s="79" t="s">
        <v>883</v>
      </c>
      <c r="B415" s="1779"/>
      <c r="C415" s="1787" t="s">
        <v>2981</v>
      </c>
      <c r="D415" s="80" t="s">
        <v>2256</v>
      </c>
      <c r="E415" s="2275" t="str">
        <f t="shared" si="38"/>
        <v>th</v>
      </c>
      <c r="F415" s="55">
        <v>50</v>
      </c>
      <c r="G415" s="55" t="s">
        <v>512</v>
      </c>
      <c r="J415" s="55" t="str">
        <f t="shared" si="31"/>
        <v>thept2</v>
      </c>
    </row>
    <row r="416" spans="1:10" hidden="1">
      <c r="A416" s="79" t="s">
        <v>607</v>
      </c>
      <c r="B416" s="1779"/>
      <c r="C416" s="79" t="s">
        <v>4387</v>
      </c>
      <c r="D416" s="80" t="s">
        <v>2448</v>
      </c>
      <c r="E416" s="2275" t="str">
        <f t="shared" si="38"/>
        <v>CL</v>
      </c>
      <c r="F416" s="55">
        <v>50</v>
      </c>
      <c r="G416" s="55" t="s">
        <v>512</v>
      </c>
      <c r="J416" s="55" t="str">
        <f t="shared" si="31"/>
        <v>CL</v>
      </c>
    </row>
    <row r="417" spans="1:10" hidden="1">
      <c r="A417" s="79" t="s">
        <v>188</v>
      </c>
      <c r="B417" s="1779"/>
      <c r="C417" s="79" t="s">
        <v>4388</v>
      </c>
      <c r="D417" s="80" t="s">
        <v>2448</v>
      </c>
      <c r="E417" s="2275" t="str">
        <f t="shared" si="38"/>
        <v>CL</v>
      </c>
      <c r="F417" s="55">
        <v>50</v>
      </c>
      <c r="G417" s="55" t="s">
        <v>512</v>
      </c>
      <c r="J417" s="55" t="str">
        <f t="shared" si="31"/>
        <v>CLHT</v>
      </c>
    </row>
    <row r="418" spans="1:10" hidden="1">
      <c r="A418" s="1780" t="s">
        <v>2054</v>
      </c>
      <c r="B418" s="84"/>
      <c r="C418" s="1780" t="s">
        <v>4389</v>
      </c>
      <c r="D418" s="80" t="s">
        <v>2566</v>
      </c>
      <c r="E418" s="2275" t="str">
        <f t="shared" si="38"/>
        <v>TN</v>
      </c>
      <c r="F418" s="55">
        <v>50</v>
      </c>
      <c r="G418" s="55" t="s">
        <v>512</v>
      </c>
      <c r="J418" s="55" t="str">
        <f t="shared" si="31"/>
        <v>TN1618</v>
      </c>
    </row>
    <row r="419" spans="1:10" hidden="1">
      <c r="A419" s="1780" t="s">
        <v>748</v>
      </c>
      <c r="B419" s="84"/>
      <c r="C419" s="1780" t="s">
        <v>4390</v>
      </c>
      <c r="D419" s="80" t="s">
        <v>2566</v>
      </c>
      <c r="E419" s="2275" t="str">
        <f t="shared" si="38"/>
        <v>TN</v>
      </c>
      <c r="F419" s="55">
        <v>50</v>
      </c>
      <c r="G419" s="55" t="s">
        <v>512</v>
      </c>
      <c r="J419" s="55" t="str">
        <f t="shared" si="31"/>
        <v>TN1624</v>
      </c>
    </row>
    <row r="420" spans="1:10" hidden="1">
      <c r="A420" s="1780" t="s">
        <v>2171</v>
      </c>
      <c r="B420" s="84"/>
      <c r="C420" s="1780" t="s">
        <v>4391</v>
      </c>
      <c r="D420" s="80" t="s">
        <v>2566</v>
      </c>
      <c r="E420" s="2275" t="str">
        <f t="shared" si="38"/>
        <v>TN</v>
      </c>
      <c r="F420" s="55">
        <v>50</v>
      </c>
      <c r="G420" s="55" t="s">
        <v>512</v>
      </c>
      <c r="J420" s="55" t="str">
        <f t="shared" si="31"/>
        <v>TN1824</v>
      </c>
    </row>
    <row r="421" spans="1:10" hidden="1">
      <c r="A421" s="1780" t="s">
        <v>536</v>
      </c>
      <c r="B421" s="84"/>
      <c r="C421" s="1780" t="s">
        <v>4392</v>
      </c>
      <c r="D421" s="80" t="s">
        <v>2566</v>
      </c>
      <c r="E421" s="2275" t="str">
        <f t="shared" si="38"/>
        <v>TN</v>
      </c>
      <c r="F421" s="55">
        <v>50</v>
      </c>
      <c r="G421" s="55" t="s">
        <v>512</v>
      </c>
      <c r="J421" s="55" t="str">
        <f t="shared" si="31"/>
        <v>TN2224</v>
      </c>
    </row>
    <row r="422" spans="1:10" hidden="1">
      <c r="A422" s="1780" t="s">
        <v>2005</v>
      </c>
      <c r="B422" s="84"/>
      <c r="C422" s="1780" t="s">
        <v>4393</v>
      </c>
      <c r="D422" s="80" t="s">
        <v>2566</v>
      </c>
      <c r="E422" s="2275" t="str">
        <f t="shared" si="38"/>
        <v>TN</v>
      </c>
      <c r="F422" s="55">
        <v>50</v>
      </c>
      <c r="G422" s="55" t="s">
        <v>512</v>
      </c>
      <c r="J422" s="55" t="str">
        <f t="shared" si="31"/>
        <v>TN30</v>
      </c>
    </row>
    <row r="423" spans="1:10" hidden="1">
      <c r="A423" s="1780" t="s">
        <v>113</v>
      </c>
      <c r="B423" s="84"/>
      <c r="C423" s="1780" t="s">
        <v>4394</v>
      </c>
      <c r="D423" s="80" t="s">
        <v>2566</v>
      </c>
      <c r="E423" s="2275" t="str">
        <f t="shared" si="38"/>
        <v>TN</v>
      </c>
      <c r="F423" s="55">
        <v>50</v>
      </c>
      <c r="G423" s="55" t="s">
        <v>512</v>
      </c>
      <c r="J423" s="55" t="str">
        <f t="shared" si="31"/>
        <v>TN37</v>
      </c>
    </row>
    <row r="424" spans="1:10" hidden="1">
      <c r="A424" s="79" t="s">
        <v>1294</v>
      </c>
      <c r="B424" s="84" t="s">
        <v>1752</v>
      </c>
      <c r="C424" s="79" t="s">
        <v>2982</v>
      </c>
      <c r="D424" s="80" t="s">
        <v>2566</v>
      </c>
      <c r="E424" s="2275" t="str">
        <f t="shared" si="38"/>
        <v>NX</v>
      </c>
      <c r="F424" s="55">
        <v>50</v>
      </c>
      <c r="G424" s="55" t="s">
        <v>512</v>
      </c>
      <c r="J424" s="55" t="str">
        <f t="shared" si="31"/>
        <v>NX</v>
      </c>
    </row>
    <row r="425" spans="1:10" hidden="1">
      <c r="A425" s="79" t="s">
        <v>1295</v>
      </c>
      <c r="B425" s="1779" t="s">
        <v>1760</v>
      </c>
      <c r="C425" s="79" t="s">
        <v>2983</v>
      </c>
      <c r="D425" s="80" t="s">
        <v>2448</v>
      </c>
      <c r="E425" s="2275" t="str">
        <f t="shared" si="38"/>
        <v>CD</v>
      </c>
      <c r="F425" s="55">
        <v>50</v>
      </c>
      <c r="G425" s="55" t="s">
        <v>512</v>
      </c>
      <c r="J425" s="55" t="str">
        <f t="shared" si="31"/>
        <v>CD142</v>
      </c>
    </row>
    <row r="426" spans="1:10" hidden="1">
      <c r="A426" s="79" t="s">
        <v>222</v>
      </c>
      <c r="B426" s="1779" t="s">
        <v>1760</v>
      </c>
      <c r="C426" s="79" t="s">
        <v>2984</v>
      </c>
      <c r="D426" s="80" t="s">
        <v>2448</v>
      </c>
      <c r="E426" s="2275" t="str">
        <f t="shared" si="38"/>
        <v>CD</v>
      </c>
      <c r="F426" s="55">
        <v>50</v>
      </c>
      <c r="G426" s="55" t="s">
        <v>512</v>
      </c>
      <c r="J426" s="55" t="str">
        <f t="shared" si="31"/>
        <v>CD142a</v>
      </c>
    </row>
    <row r="427" spans="1:10" hidden="1">
      <c r="A427" s="79" t="s">
        <v>1844</v>
      </c>
      <c r="B427" s="1779" t="s">
        <v>1760</v>
      </c>
      <c r="C427" s="79" t="s">
        <v>2985</v>
      </c>
      <c r="D427" s="80" t="s">
        <v>2448</v>
      </c>
      <c r="E427" s="2275" t="str">
        <f t="shared" si="38"/>
        <v>CD</v>
      </c>
      <c r="F427" s="55">
        <v>50</v>
      </c>
      <c r="G427" s="55" t="s">
        <v>512</v>
      </c>
      <c r="J427" s="55" t="str">
        <f t="shared" si="31"/>
        <v>CD146</v>
      </c>
    </row>
    <row r="428" spans="1:10" hidden="1">
      <c r="A428" s="79" t="s">
        <v>1856</v>
      </c>
      <c r="B428" s="1779" t="s">
        <v>1760</v>
      </c>
      <c r="C428" s="79" t="s">
        <v>2986</v>
      </c>
      <c r="D428" s="80" t="s">
        <v>2448</v>
      </c>
      <c r="E428" s="2275" t="str">
        <f t="shared" si="38"/>
        <v>CD</v>
      </c>
      <c r="F428" s="55">
        <v>50</v>
      </c>
      <c r="G428" s="55" t="s">
        <v>512</v>
      </c>
      <c r="J428" s="55" t="str">
        <f t="shared" si="31"/>
        <v>CD146a</v>
      </c>
    </row>
    <row r="429" spans="1:10" hidden="1">
      <c r="A429" s="79" t="s">
        <v>846</v>
      </c>
      <c r="B429" s="1779" t="s">
        <v>1760</v>
      </c>
      <c r="C429" s="79" t="s">
        <v>2987</v>
      </c>
      <c r="D429" s="80" t="s">
        <v>2448</v>
      </c>
      <c r="E429" s="2275" t="str">
        <f t="shared" si="38"/>
        <v>CD</v>
      </c>
      <c r="F429" s="55">
        <v>50</v>
      </c>
      <c r="G429" s="55" t="s">
        <v>512</v>
      </c>
      <c r="J429" s="55" t="str">
        <f t="shared" si="31"/>
        <v>CD682</v>
      </c>
    </row>
    <row r="430" spans="1:10" hidden="1">
      <c r="A430" s="79" t="s">
        <v>1132</v>
      </c>
      <c r="B430" s="1779" t="s">
        <v>682</v>
      </c>
      <c r="C430" s="79" t="s">
        <v>2988</v>
      </c>
      <c r="D430" s="80" t="s">
        <v>2448</v>
      </c>
      <c r="E430" s="2275" t="str">
        <f t="shared" si="38"/>
        <v>LC</v>
      </c>
      <c r="F430" s="55">
        <v>2000</v>
      </c>
      <c r="G430" s="55" t="s">
        <v>512</v>
      </c>
      <c r="J430" s="55" t="str">
        <f t="shared" si="31"/>
        <v>LCD</v>
      </c>
    </row>
    <row r="431" spans="1:10" hidden="1">
      <c r="A431" s="79" t="s">
        <v>1597</v>
      </c>
      <c r="B431" s="1779" t="s">
        <v>1760</v>
      </c>
      <c r="C431" s="79" t="s">
        <v>4385</v>
      </c>
      <c r="D431" s="80" t="s">
        <v>2448</v>
      </c>
      <c r="E431" s="2275" t="str">
        <f t="shared" si="38"/>
        <v>CD</v>
      </c>
      <c r="F431" s="55">
        <v>50</v>
      </c>
      <c r="G431" s="55" t="s">
        <v>512</v>
      </c>
      <c r="J431" s="55" t="str">
        <f t="shared" si="31"/>
        <v>CD21</v>
      </c>
    </row>
    <row r="432" spans="1:10" hidden="1">
      <c r="A432" s="79" t="s">
        <v>374</v>
      </c>
      <c r="B432" s="1779" t="s">
        <v>1760</v>
      </c>
      <c r="C432" s="79" t="s">
        <v>4395</v>
      </c>
      <c r="D432" s="80" t="s">
        <v>2448</v>
      </c>
      <c r="E432" s="2275" t="str">
        <f t="shared" si="38"/>
        <v>CD</v>
      </c>
      <c r="F432" s="55">
        <v>50</v>
      </c>
      <c r="G432" s="55" t="s">
        <v>512</v>
      </c>
      <c r="J432" s="55" t="str">
        <f t="shared" si="31"/>
        <v>CD21S10</v>
      </c>
    </row>
    <row r="433" spans="1:10" hidden="1">
      <c r="A433" s="79" t="s">
        <v>1997</v>
      </c>
      <c r="B433" s="1779" t="s">
        <v>1760</v>
      </c>
      <c r="C433" s="79" t="s">
        <v>4396</v>
      </c>
      <c r="D433" s="80" t="s">
        <v>2448</v>
      </c>
      <c r="E433" s="2275" t="str">
        <f t="shared" si="38"/>
        <v>CD</v>
      </c>
      <c r="F433" s="55">
        <v>50</v>
      </c>
      <c r="G433" s="55" t="s">
        <v>512</v>
      </c>
      <c r="J433" s="55" t="str">
        <f t="shared" si="31"/>
        <v>CD60</v>
      </c>
    </row>
    <row r="434" spans="1:10" hidden="1">
      <c r="A434" s="79" t="s">
        <v>1996</v>
      </c>
      <c r="B434" s="1779" t="s">
        <v>1760</v>
      </c>
      <c r="C434" s="79" t="s">
        <v>4397</v>
      </c>
      <c r="D434" s="80" t="s">
        <v>2448</v>
      </c>
      <c r="E434" s="2275" t="str">
        <f t="shared" si="38"/>
        <v>CD</v>
      </c>
      <c r="F434" s="55">
        <v>50</v>
      </c>
      <c r="G434" s="55" t="s">
        <v>512</v>
      </c>
      <c r="J434" s="55" t="str">
        <f t="shared" si="31"/>
        <v>CD90</v>
      </c>
    </row>
    <row r="435" spans="1:10" hidden="1">
      <c r="A435" s="79" t="s">
        <v>733</v>
      </c>
      <c r="B435" s="1779" t="s">
        <v>1760</v>
      </c>
      <c r="C435" s="79" t="s">
        <v>4398</v>
      </c>
      <c r="D435" s="80" t="s">
        <v>2448</v>
      </c>
      <c r="E435" s="2275" t="str">
        <f t="shared" si="38"/>
        <v>CD</v>
      </c>
      <c r="F435" s="55">
        <v>50</v>
      </c>
      <c r="G435" s="55" t="s">
        <v>512</v>
      </c>
      <c r="J435" s="55" t="str">
        <f t="shared" si="31"/>
        <v>CD114</v>
      </c>
    </row>
    <row r="436" spans="1:10" hidden="1">
      <c r="A436" s="79" t="s">
        <v>1541</v>
      </c>
      <c r="B436" s="1779" t="s">
        <v>1760</v>
      </c>
      <c r="C436" s="79" t="s">
        <v>4399</v>
      </c>
      <c r="D436" s="80" t="s">
        <v>2448</v>
      </c>
      <c r="E436" s="2275" t="str">
        <f t="shared" si="38"/>
        <v>CD</v>
      </c>
      <c r="F436" s="55">
        <v>50</v>
      </c>
      <c r="G436" s="55" t="s">
        <v>512</v>
      </c>
      <c r="J436" s="55" t="str">
        <f t="shared" si="31"/>
        <v>CD140</v>
      </c>
    </row>
    <row r="437" spans="1:10" hidden="1">
      <c r="A437" s="79" t="s">
        <v>947</v>
      </c>
      <c r="B437" s="1779" t="s">
        <v>1760</v>
      </c>
      <c r="C437" s="79" t="s">
        <v>4400</v>
      </c>
      <c r="D437" s="80" t="s">
        <v>2448</v>
      </c>
      <c r="E437" s="2275" t="str">
        <f t="shared" si="38"/>
        <v>CD</v>
      </c>
      <c r="F437" s="55">
        <v>50</v>
      </c>
      <c r="G437" s="55" t="s">
        <v>512</v>
      </c>
      <c r="J437" s="55" t="str">
        <f t="shared" si="31"/>
        <v>CD140TK</v>
      </c>
    </row>
    <row r="438" spans="1:10" hidden="1">
      <c r="A438" s="79" t="s">
        <v>225</v>
      </c>
      <c r="B438" s="1779" t="s">
        <v>1760</v>
      </c>
      <c r="C438" s="79" t="s">
        <v>4401</v>
      </c>
      <c r="D438" s="80" t="s">
        <v>2448</v>
      </c>
      <c r="E438" s="2275" t="str">
        <f t="shared" si="38"/>
        <v>CD</v>
      </c>
      <c r="F438" s="55">
        <v>50</v>
      </c>
      <c r="G438" s="55" t="s">
        <v>512</v>
      </c>
      <c r="J438" s="55" t="str">
        <f t="shared" si="31"/>
        <v>CD195</v>
      </c>
    </row>
    <row r="439" spans="1:10" hidden="1">
      <c r="A439" s="79" t="s">
        <v>847</v>
      </c>
      <c r="B439" s="1779" t="s">
        <v>1760</v>
      </c>
      <c r="C439" s="79" t="s">
        <v>4402</v>
      </c>
      <c r="D439" s="80" t="s">
        <v>2448</v>
      </c>
      <c r="E439" s="2275" t="str">
        <f t="shared" si="38"/>
        <v>CD</v>
      </c>
      <c r="F439" s="55">
        <v>50</v>
      </c>
      <c r="G439" s="55" t="s">
        <v>512</v>
      </c>
      <c r="J439" s="55" t="str">
        <f t="shared" si="31"/>
        <v>CD207</v>
      </c>
    </row>
    <row r="440" spans="1:10" hidden="1">
      <c r="A440" s="79" t="s">
        <v>1995</v>
      </c>
      <c r="B440" s="1779" t="s">
        <v>1760</v>
      </c>
      <c r="C440" s="79" t="s">
        <v>4403</v>
      </c>
      <c r="D440" s="80" t="s">
        <v>2448</v>
      </c>
      <c r="E440" s="2275" t="str">
        <f t="shared" si="38"/>
        <v>CD</v>
      </c>
      <c r="F440" s="55">
        <v>50</v>
      </c>
      <c r="G440" s="55" t="s">
        <v>512</v>
      </c>
      <c r="J440" s="55" t="str">
        <f t="shared" si="31"/>
        <v>CD220</v>
      </c>
    </row>
    <row r="441" spans="1:10" hidden="1">
      <c r="A441" s="79" t="s">
        <v>805</v>
      </c>
      <c r="B441" s="1779" t="s">
        <v>1760</v>
      </c>
      <c r="C441" s="79" t="s">
        <v>4404</v>
      </c>
      <c r="D441" s="80" t="s">
        <v>2448</v>
      </c>
      <c r="E441" s="2275" t="str">
        <f t="shared" si="38"/>
        <v>CD</v>
      </c>
      <c r="F441" s="55">
        <v>50</v>
      </c>
      <c r="G441" s="55" t="s">
        <v>512</v>
      </c>
      <c r="J441" s="55" t="str">
        <f t="shared" si="31"/>
        <v>CD240</v>
      </c>
    </row>
    <row r="442" spans="1:10" hidden="1">
      <c r="A442" s="79" t="s">
        <v>2078</v>
      </c>
      <c r="B442" s="1779" t="s">
        <v>1760</v>
      </c>
      <c r="C442" s="79" t="s">
        <v>4405</v>
      </c>
      <c r="D442" s="80" t="s">
        <v>2448</v>
      </c>
      <c r="E442" s="2275" t="str">
        <f t="shared" si="38"/>
        <v>CD</v>
      </c>
      <c r="F442" s="55">
        <v>50</v>
      </c>
      <c r="G442" s="55" t="s">
        <v>512</v>
      </c>
      <c r="J442" s="55" t="str">
        <f t="shared" si="31"/>
        <v>CD250</v>
      </c>
    </row>
    <row r="443" spans="1:10" hidden="1">
      <c r="A443" s="79" t="s">
        <v>319</v>
      </c>
      <c r="B443" s="1779" t="s">
        <v>1760</v>
      </c>
      <c r="C443" s="79" t="s">
        <v>2989</v>
      </c>
      <c r="D443" s="80" t="s">
        <v>2448</v>
      </c>
      <c r="E443" s="2275" t="str">
        <f t="shared" si="38"/>
        <v>CD</v>
      </c>
      <c r="F443" s="55">
        <v>50</v>
      </c>
      <c r="G443" s="55" t="s">
        <v>512</v>
      </c>
      <c r="J443" s="55" t="str">
        <f t="shared" si="31"/>
        <v>CD320</v>
      </c>
    </row>
    <row r="444" spans="1:10" hidden="1">
      <c r="A444" s="79" t="s">
        <v>1883</v>
      </c>
      <c r="B444" s="1779" t="s">
        <v>1760</v>
      </c>
      <c r="C444" s="1788" t="s">
        <v>2990</v>
      </c>
      <c r="D444" s="80" t="s">
        <v>2448</v>
      </c>
      <c r="E444" s="2275" t="str">
        <f t="shared" si="38"/>
        <v>Cd</v>
      </c>
      <c r="F444" s="55">
        <v>50</v>
      </c>
      <c r="G444" s="55" t="s">
        <v>512</v>
      </c>
      <c r="J444" s="55" t="str">
        <f t="shared" si="31"/>
        <v>Cdtrudoi</v>
      </c>
    </row>
    <row r="445" spans="1:10" hidden="1">
      <c r="A445" s="79" t="s">
        <v>1884</v>
      </c>
      <c r="B445" s="1779" t="s">
        <v>1760</v>
      </c>
      <c r="C445" s="1788" t="s">
        <v>2991</v>
      </c>
      <c r="D445" s="80" t="s">
        <v>2448</v>
      </c>
      <c r="E445" s="2275" t="str">
        <f t="shared" si="38"/>
        <v>Cd</v>
      </c>
      <c r="F445" s="55">
        <v>50</v>
      </c>
      <c r="G445" s="55" t="s">
        <v>512</v>
      </c>
      <c r="J445" s="55" t="str">
        <f t="shared" si="31"/>
        <v>CdtrudoiHT</v>
      </c>
    </row>
    <row r="446" spans="1:10" hidden="1">
      <c r="A446" s="79" t="s">
        <v>472</v>
      </c>
      <c r="B446" s="1779" t="s">
        <v>1760</v>
      </c>
      <c r="C446" s="1788" t="s">
        <v>2992</v>
      </c>
      <c r="D446" s="80" t="s">
        <v>2448</v>
      </c>
      <c r="E446" s="2275" t="str">
        <f t="shared" si="38"/>
        <v>Cd</v>
      </c>
      <c r="F446" s="55">
        <v>50</v>
      </c>
      <c r="G446" s="55" t="s">
        <v>512</v>
      </c>
      <c r="J446" s="55" t="str">
        <f t="shared" si="31"/>
        <v>Cdedaucap</v>
      </c>
    </row>
    <row r="447" spans="1:10" hidden="1">
      <c r="A447" s="79" t="s">
        <v>223</v>
      </c>
      <c r="B447" s="1779" t="s">
        <v>1760</v>
      </c>
      <c r="C447" s="1788" t="s">
        <v>2993</v>
      </c>
      <c r="D447" s="80" t="s">
        <v>2448</v>
      </c>
      <c r="E447" s="2275" t="str">
        <f t="shared" si="38"/>
        <v>Cd</v>
      </c>
      <c r="F447" s="55">
        <v>50</v>
      </c>
      <c r="G447" s="55" t="s">
        <v>512</v>
      </c>
      <c r="J447" s="55" t="str">
        <f t="shared" si="31"/>
        <v>Cdtrudoi140</v>
      </c>
    </row>
    <row r="448" spans="1:10" hidden="1">
      <c r="A448" s="79" t="s">
        <v>471</v>
      </c>
      <c r="B448" s="1779" t="s">
        <v>1760</v>
      </c>
      <c r="C448" s="1788" t="s">
        <v>2994</v>
      </c>
      <c r="D448" s="80" t="s">
        <v>2448</v>
      </c>
      <c r="E448" s="2275" t="str">
        <f t="shared" si="38"/>
        <v>Cd</v>
      </c>
      <c r="F448" s="55">
        <v>50</v>
      </c>
      <c r="G448" s="55" t="s">
        <v>512</v>
      </c>
      <c r="J448" s="55" t="str">
        <f t="shared" si="31"/>
        <v>Cdtru140</v>
      </c>
    </row>
    <row r="449" spans="1:10" hidden="1">
      <c r="A449" s="79" t="s">
        <v>2008</v>
      </c>
      <c r="B449" s="1779" t="s">
        <v>1760</v>
      </c>
      <c r="C449" s="1788" t="s">
        <v>2995</v>
      </c>
      <c r="D449" s="80" t="s">
        <v>2448</v>
      </c>
      <c r="E449" s="2275" t="str">
        <f t="shared" si="38"/>
        <v>Cd</v>
      </c>
      <c r="F449" s="55">
        <v>50</v>
      </c>
      <c r="G449" s="55" t="s">
        <v>512</v>
      </c>
      <c r="J449" s="55" t="str">
        <f t="shared" si="31"/>
        <v>Cdeoptru</v>
      </c>
    </row>
    <row r="450" spans="1:10" hidden="1">
      <c r="A450" s="79" t="s">
        <v>2429</v>
      </c>
      <c r="B450" s="1779" t="s">
        <v>1760</v>
      </c>
      <c r="C450" s="1789" t="s">
        <v>2996</v>
      </c>
      <c r="D450" s="80" t="s">
        <v>2448</v>
      </c>
      <c r="E450" s="2275" t="str">
        <f t="shared" si="38"/>
        <v>CD</v>
      </c>
      <c r="F450" s="55">
        <v>50</v>
      </c>
      <c r="G450" s="55" t="s">
        <v>512</v>
      </c>
      <c r="J450" s="55" t="str">
        <f t="shared" si="31"/>
        <v>CD bắt xà</v>
      </c>
    </row>
    <row r="451" spans="1:10" hidden="1">
      <c r="A451" s="79" t="s">
        <v>226</v>
      </c>
      <c r="B451" s="1779" t="s">
        <v>1760</v>
      </c>
      <c r="C451" s="1788" t="s">
        <v>2997</v>
      </c>
      <c r="D451" s="80" t="s">
        <v>2448</v>
      </c>
      <c r="E451" s="2275" t="str">
        <f t="shared" si="38"/>
        <v>CD</v>
      </c>
      <c r="F451" s="55">
        <v>50</v>
      </c>
      <c r="G451" s="55" t="s">
        <v>512</v>
      </c>
      <c r="J451" s="55" t="str">
        <f t="shared" si="31"/>
        <v>CD30x3</v>
      </c>
    </row>
    <row r="452" spans="1:10" hidden="1">
      <c r="A452" s="79" t="s">
        <v>227</v>
      </c>
      <c r="B452" s="1779" t="s">
        <v>1760</v>
      </c>
      <c r="C452" s="1788" t="s">
        <v>2998</v>
      </c>
      <c r="D452" s="80" t="s">
        <v>2448</v>
      </c>
      <c r="E452" s="2275" t="str">
        <f t="shared" si="38"/>
        <v>CD</v>
      </c>
      <c r="F452" s="55">
        <v>50</v>
      </c>
      <c r="G452" s="55" t="s">
        <v>512</v>
      </c>
      <c r="J452" s="55" t="str">
        <f t="shared" si="31"/>
        <v>CD25x2</v>
      </c>
    </row>
    <row r="453" spans="1:10" hidden="1">
      <c r="A453" s="79" t="s">
        <v>1825</v>
      </c>
      <c r="B453" s="1779" t="s">
        <v>1760</v>
      </c>
      <c r="C453" s="79" t="s">
        <v>4406</v>
      </c>
      <c r="D453" s="80" t="s">
        <v>2448</v>
      </c>
      <c r="E453" s="2275" t="str">
        <f t="shared" si="38"/>
        <v>CD</v>
      </c>
      <c r="F453" s="55">
        <v>50</v>
      </c>
      <c r="G453" s="55" t="s">
        <v>512</v>
      </c>
      <c r="J453" s="55" t="str">
        <f t="shared" si="31"/>
        <v>CD21T</v>
      </c>
    </row>
    <row r="454" spans="1:10" hidden="1">
      <c r="A454" s="79" t="s">
        <v>203</v>
      </c>
      <c r="B454" s="1779" t="s">
        <v>1760</v>
      </c>
      <c r="C454" s="1788" t="s">
        <v>2999</v>
      </c>
      <c r="D454" s="80" t="s">
        <v>2448</v>
      </c>
      <c r="E454" s="2275" t="str">
        <f t="shared" si="38"/>
        <v>Cd</v>
      </c>
      <c r="F454" s="55">
        <v>50</v>
      </c>
      <c r="G454" s="55" t="s">
        <v>512</v>
      </c>
      <c r="J454" s="55" t="str">
        <f t="shared" si="31"/>
        <v>Cd42T</v>
      </c>
    </row>
    <row r="455" spans="1:10" hidden="1">
      <c r="A455" s="79" t="s">
        <v>1249</v>
      </c>
      <c r="B455" s="1779" t="s">
        <v>1760</v>
      </c>
      <c r="C455" s="1788" t="s">
        <v>3000</v>
      </c>
      <c r="D455" s="80" t="s">
        <v>2448</v>
      </c>
      <c r="E455" s="2275" t="str">
        <f t="shared" si="38"/>
        <v>Cd</v>
      </c>
      <c r="F455" s="55">
        <v>50</v>
      </c>
      <c r="G455" s="55" t="s">
        <v>512</v>
      </c>
      <c r="J455" s="55" t="str">
        <f t="shared" si="31"/>
        <v>Cd114T</v>
      </c>
    </row>
    <row r="456" spans="1:10" hidden="1">
      <c r="A456" s="79" t="s">
        <v>120</v>
      </c>
      <c r="B456" s="1779" t="s">
        <v>1760</v>
      </c>
      <c r="C456" s="1788" t="s">
        <v>3001</v>
      </c>
      <c r="D456" s="80" t="s">
        <v>2448</v>
      </c>
      <c r="E456" s="2275" t="str">
        <f t="shared" si="38"/>
        <v>Cd</v>
      </c>
      <c r="F456" s="55">
        <v>50</v>
      </c>
      <c r="G456" s="55" t="s">
        <v>512</v>
      </c>
      <c r="J456" s="55" t="str">
        <f t="shared" si="31"/>
        <v>Cd140T</v>
      </c>
    </row>
    <row r="457" spans="1:10" hidden="1">
      <c r="A457" s="79" t="s">
        <v>588</v>
      </c>
      <c r="B457" s="1779" t="s">
        <v>1760</v>
      </c>
      <c r="C457" s="1788" t="s">
        <v>3002</v>
      </c>
      <c r="D457" s="80" t="s">
        <v>2448</v>
      </c>
      <c r="E457" s="2275" t="str">
        <f t="shared" ref="E457" si="39">LEFT(A457,2)</f>
        <v>CD</v>
      </c>
      <c r="F457" s="55">
        <v>50</v>
      </c>
      <c r="G457" s="55" t="s">
        <v>512</v>
      </c>
      <c r="J457" s="55" t="str">
        <f t="shared" si="31"/>
        <v>CD5x50</v>
      </c>
    </row>
    <row r="458" spans="1:10" hidden="1">
      <c r="A458" s="79" t="s">
        <v>4896</v>
      </c>
      <c r="B458" s="1779" t="s">
        <v>1760</v>
      </c>
      <c r="C458" s="1788" t="s">
        <v>4895</v>
      </c>
      <c r="D458" s="80" t="s">
        <v>2448</v>
      </c>
      <c r="E458" s="2275" t="str">
        <f t="shared" si="38"/>
        <v>CD</v>
      </c>
      <c r="F458" s="55">
        <v>50</v>
      </c>
      <c r="G458" s="55" t="s">
        <v>512</v>
      </c>
      <c r="J458" s="55" t="str">
        <f t="shared" ref="J458:J521" si="40">A458</f>
        <v>CD6x60</v>
      </c>
    </row>
    <row r="459" spans="1:10" hidden="1">
      <c r="A459" s="79" t="s">
        <v>569</v>
      </c>
      <c r="B459" s="1779" t="s">
        <v>1760</v>
      </c>
      <c r="C459" s="1788" t="s">
        <v>3003</v>
      </c>
      <c r="D459" s="80" t="s">
        <v>2448</v>
      </c>
      <c r="E459" s="2275" t="str">
        <f t="shared" si="38"/>
        <v>CD</v>
      </c>
      <c r="F459" s="55">
        <v>50</v>
      </c>
      <c r="G459" s="55" t="s">
        <v>512</v>
      </c>
      <c r="J459" s="55" t="str">
        <f t="shared" si="40"/>
        <v>CDXA</v>
      </c>
    </row>
    <row r="460" spans="1:10" hidden="1">
      <c r="A460" s="79" t="s">
        <v>4357</v>
      </c>
      <c r="B460" s="1779"/>
      <c r="C460" s="1788" t="s">
        <v>4358</v>
      </c>
      <c r="D460" s="80" t="s">
        <v>2566</v>
      </c>
      <c r="E460" s="2275" t="str">
        <f t="shared" si="38"/>
        <v>CO</v>
      </c>
      <c r="F460" s="55">
        <v>50</v>
      </c>
      <c r="G460" s="55" t="s">
        <v>512</v>
      </c>
      <c r="J460" s="55" t="str">
        <f t="shared" si="40"/>
        <v>COM110x800x5-2,4</v>
      </c>
    </row>
    <row r="461" spans="1:10" hidden="1">
      <c r="A461" s="79" t="s">
        <v>4486</v>
      </c>
      <c r="B461" s="1779"/>
      <c r="C461" s="1788" t="s">
        <v>4487</v>
      </c>
      <c r="D461" s="80" t="s">
        <v>2566</v>
      </c>
      <c r="E461" s="2275" t="str">
        <f t="shared" ref="E461:E462" si="41">LEFT(A461,2)</f>
        <v>CO</v>
      </c>
      <c r="F461" s="55">
        <v>50</v>
      </c>
      <c r="G461" s="55" t="s">
        <v>512</v>
      </c>
      <c r="J461" s="55" t="str">
        <f t="shared" si="40"/>
        <v>COM110x800x5-2,6</v>
      </c>
    </row>
    <row r="462" spans="1:10" hidden="1">
      <c r="A462" s="79" t="s">
        <v>4577</v>
      </c>
      <c r="B462" s="1779"/>
      <c r="C462" s="1788" t="s">
        <v>4954</v>
      </c>
      <c r="D462" s="80" t="s">
        <v>2566</v>
      </c>
      <c r="E462" s="2275" t="str">
        <f t="shared" si="41"/>
        <v>CO</v>
      </c>
      <c r="F462" s="55">
        <v>50</v>
      </c>
      <c r="G462" s="55" t="s">
        <v>512</v>
      </c>
      <c r="J462" s="55" t="str">
        <f t="shared" si="40"/>
        <v>COM08</v>
      </c>
    </row>
    <row r="463" spans="1:10" hidden="1">
      <c r="A463" s="79" t="s">
        <v>4547</v>
      </c>
      <c r="B463" s="1779"/>
      <c r="C463" s="1788" t="s">
        <v>4548</v>
      </c>
      <c r="D463" s="80" t="s">
        <v>2566</v>
      </c>
      <c r="E463" s="2275" t="str">
        <f t="shared" ref="E463" si="42">LEFT(A463,2)</f>
        <v>CO</v>
      </c>
      <c r="F463" s="55">
        <v>50</v>
      </c>
      <c r="G463" s="55" t="s">
        <v>512</v>
      </c>
      <c r="J463" s="55" t="str">
        <f t="shared" si="40"/>
        <v>COM08-720</v>
      </c>
    </row>
    <row r="464" spans="1:10" hidden="1">
      <c r="A464" s="79" t="s">
        <v>4777</v>
      </c>
      <c r="B464" s="1779"/>
      <c r="C464" s="1788" t="s">
        <v>4955</v>
      </c>
      <c r="D464" s="80" t="s">
        <v>2566</v>
      </c>
      <c r="E464" s="2275" t="str">
        <f t="shared" ref="E464" si="43">LEFT(A464,2)</f>
        <v>co</v>
      </c>
      <c r="F464" s="55">
        <v>50</v>
      </c>
      <c r="G464" s="55" t="s">
        <v>512</v>
      </c>
      <c r="J464" s="55" t="str">
        <f t="shared" si="40"/>
        <v>com40x10x720</v>
      </c>
    </row>
    <row r="465" spans="1:10" hidden="1">
      <c r="A465" s="79" t="s">
        <v>362</v>
      </c>
      <c r="B465" s="1779"/>
      <c r="C465" s="1788" t="s">
        <v>3004</v>
      </c>
      <c r="D465" s="80" t="s">
        <v>2566</v>
      </c>
      <c r="E465" s="2275" t="str">
        <f t="shared" si="38"/>
        <v>CO</v>
      </c>
      <c r="F465" s="55">
        <v>50</v>
      </c>
      <c r="G465" s="55" t="s">
        <v>512</v>
      </c>
      <c r="J465" s="55" t="str">
        <f t="shared" si="40"/>
        <v>COM110x800x5</v>
      </c>
    </row>
    <row r="466" spans="1:10" hidden="1">
      <c r="A466" s="79" t="s">
        <v>363</v>
      </c>
      <c r="B466" s="1779"/>
      <c r="C466" s="1788" t="s">
        <v>3005</v>
      </c>
      <c r="D466" s="80" t="s">
        <v>2566</v>
      </c>
      <c r="E466" s="2275" t="str">
        <f t="shared" si="38"/>
        <v>CO</v>
      </c>
      <c r="F466" s="55">
        <v>50</v>
      </c>
      <c r="G466" s="55" t="s">
        <v>512</v>
      </c>
      <c r="J466" s="55" t="str">
        <f t="shared" si="40"/>
        <v>COM40X10X920</v>
      </c>
    </row>
    <row r="467" spans="1:10" hidden="1">
      <c r="A467" s="79" t="s">
        <v>1538</v>
      </c>
      <c r="B467" s="1779"/>
      <c r="C467" s="79" t="s">
        <v>3006</v>
      </c>
      <c r="D467" s="80" t="s">
        <v>2842</v>
      </c>
      <c r="E467" s="2275" t="str">
        <f t="shared" si="38"/>
        <v>T7</v>
      </c>
      <c r="F467" s="55">
        <v>2</v>
      </c>
      <c r="G467" s="55" t="s">
        <v>512</v>
      </c>
      <c r="J467" s="55" t="str">
        <f t="shared" si="40"/>
        <v>T75</v>
      </c>
    </row>
    <row r="468" spans="1:10" hidden="1">
      <c r="A468" s="79" t="s">
        <v>876</v>
      </c>
      <c r="B468" s="1779"/>
      <c r="C468" s="79" t="s">
        <v>3007</v>
      </c>
      <c r="D468" s="80" t="s">
        <v>2842</v>
      </c>
      <c r="E468" s="2275" t="str">
        <f t="shared" si="38"/>
        <v>T8</v>
      </c>
      <c r="F468" s="55">
        <v>2</v>
      </c>
      <c r="G468" s="55" t="s">
        <v>512</v>
      </c>
      <c r="J468" s="55" t="str">
        <f t="shared" si="40"/>
        <v>T84</v>
      </c>
    </row>
    <row r="469" spans="1:10" hidden="1">
      <c r="A469" s="79" t="s">
        <v>186</v>
      </c>
      <c r="B469" s="1779"/>
      <c r="C469" s="79" t="s">
        <v>3008</v>
      </c>
      <c r="D469" s="80" t="s">
        <v>2842</v>
      </c>
      <c r="E469" s="2275" t="str">
        <f t="shared" si="38"/>
        <v>T8</v>
      </c>
      <c r="F469" s="55">
        <v>2</v>
      </c>
      <c r="G469" s="55" t="s">
        <v>512</v>
      </c>
      <c r="J469" s="55" t="str">
        <f t="shared" si="40"/>
        <v>T84td</v>
      </c>
    </row>
    <row r="470" spans="1:10" hidden="1">
      <c r="A470" s="79" t="s">
        <v>995</v>
      </c>
      <c r="B470" s="1779"/>
      <c r="C470" s="79" t="s">
        <v>3009</v>
      </c>
      <c r="D470" s="80" t="s">
        <v>2842</v>
      </c>
      <c r="E470" s="2275" t="str">
        <f t="shared" si="38"/>
        <v>T8</v>
      </c>
      <c r="F470" s="55">
        <v>2</v>
      </c>
      <c r="G470" s="55" t="s">
        <v>512</v>
      </c>
      <c r="J470" s="55" t="str">
        <f t="shared" si="40"/>
        <v>T85</v>
      </c>
    </row>
    <row r="471" spans="1:10" hidden="1">
      <c r="A471" s="79" t="s">
        <v>1880</v>
      </c>
      <c r="B471" s="1779"/>
      <c r="C471" s="79" t="s">
        <v>3010</v>
      </c>
      <c r="D471" s="80" t="s">
        <v>2842</v>
      </c>
      <c r="E471" s="2275" t="str">
        <f t="shared" si="38"/>
        <v>T1</v>
      </c>
      <c r="F471" s="55">
        <v>2</v>
      </c>
      <c r="G471" s="55" t="s">
        <v>512</v>
      </c>
      <c r="J471" s="55" t="str">
        <f t="shared" si="40"/>
        <v>T10</v>
      </c>
    </row>
    <row r="472" spans="1:10" hidden="1">
      <c r="A472" s="79" t="s">
        <v>114</v>
      </c>
      <c r="B472" s="1779"/>
      <c r="C472" s="79" t="s">
        <v>3011</v>
      </c>
      <c r="D472" s="80" t="s">
        <v>2842</v>
      </c>
      <c r="E472" s="2275" t="str">
        <f t="shared" si="38"/>
        <v>T1</v>
      </c>
      <c r="F472" s="55">
        <v>2</v>
      </c>
      <c r="G472" s="55" t="s">
        <v>512</v>
      </c>
      <c r="J472" s="55" t="str">
        <f t="shared" si="40"/>
        <v>T105</v>
      </c>
    </row>
    <row r="473" spans="1:10" hidden="1">
      <c r="A473" s="79" t="s">
        <v>115</v>
      </c>
      <c r="B473" s="1779"/>
      <c r="C473" s="79" t="s">
        <v>3012</v>
      </c>
      <c r="D473" s="80" t="s">
        <v>2842</v>
      </c>
      <c r="E473" s="2275" t="str">
        <f t="shared" si="38"/>
        <v>T1</v>
      </c>
      <c r="F473" s="55">
        <v>2</v>
      </c>
      <c r="G473" s="55" t="s">
        <v>512</v>
      </c>
      <c r="J473" s="55" t="str">
        <f t="shared" si="40"/>
        <v>T12</v>
      </c>
    </row>
    <row r="474" spans="1:10" hidden="1">
      <c r="A474" s="79" t="s">
        <v>2421</v>
      </c>
      <c r="B474" s="1779"/>
      <c r="C474" s="79" t="s">
        <v>3013</v>
      </c>
      <c r="D474" s="80" t="s">
        <v>2842</v>
      </c>
      <c r="E474" s="2275" t="str">
        <f t="shared" si="38"/>
        <v>T1</v>
      </c>
      <c r="F474" s="55">
        <v>2</v>
      </c>
      <c r="G474" s="55" t="s">
        <v>512</v>
      </c>
      <c r="J474" s="55" t="str">
        <f t="shared" si="40"/>
        <v>T12TĐ</v>
      </c>
    </row>
    <row r="475" spans="1:10" hidden="1">
      <c r="A475" s="79" t="s">
        <v>107</v>
      </c>
      <c r="B475" s="1779"/>
      <c r="C475" s="79" t="s">
        <v>3014</v>
      </c>
      <c r="D475" s="80" t="s">
        <v>2842</v>
      </c>
      <c r="E475" s="2275" t="str">
        <f t="shared" si="38"/>
        <v>T1</v>
      </c>
      <c r="F475" s="55">
        <v>2</v>
      </c>
      <c r="G475" s="55" t="s">
        <v>512</v>
      </c>
      <c r="J475" s="55" t="str">
        <f t="shared" si="40"/>
        <v>T14</v>
      </c>
    </row>
    <row r="476" spans="1:10" hidden="1">
      <c r="A476" s="79" t="s">
        <v>2099</v>
      </c>
      <c r="B476" s="1779"/>
      <c r="C476" s="79" t="s">
        <v>3015</v>
      </c>
      <c r="D476" s="80" t="s">
        <v>2842</v>
      </c>
      <c r="E476" s="2275" t="str">
        <f t="shared" si="38"/>
        <v>T2</v>
      </c>
      <c r="F476" s="55">
        <v>2</v>
      </c>
      <c r="G476" s="55" t="s">
        <v>512</v>
      </c>
      <c r="J476" s="55" t="str">
        <f t="shared" si="40"/>
        <v>T20</v>
      </c>
    </row>
    <row r="477" spans="1:10" hidden="1">
      <c r="A477" s="79" t="s">
        <v>110</v>
      </c>
      <c r="B477" s="1779"/>
      <c r="C477" s="79" t="s">
        <v>3016</v>
      </c>
      <c r="D477" s="80" t="s">
        <v>2256</v>
      </c>
      <c r="E477" s="2275" t="str">
        <f t="shared" si="38"/>
        <v>SO</v>
      </c>
      <c r="F477" s="55">
        <v>50</v>
      </c>
      <c r="G477" s="55" t="s">
        <v>512</v>
      </c>
      <c r="J477" s="55" t="str">
        <f t="shared" si="40"/>
        <v>SON</v>
      </c>
    </row>
    <row r="478" spans="1:10" hidden="1">
      <c r="A478" s="79" t="s">
        <v>857</v>
      </c>
      <c r="B478" s="1779"/>
      <c r="C478" s="79" t="s">
        <v>3017</v>
      </c>
      <c r="D478" s="80" t="s">
        <v>2256</v>
      </c>
      <c r="E478" s="2275" t="str">
        <f t="shared" si="38"/>
        <v>SO</v>
      </c>
      <c r="F478" s="55">
        <v>50</v>
      </c>
      <c r="G478" s="55" t="s">
        <v>512</v>
      </c>
      <c r="J478" s="55" t="str">
        <f t="shared" si="40"/>
        <v>SONCR</v>
      </c>
    </row>
    <row r="479" spans="1:10" hidden="1">
      <c r="A479" s="79" t="s">
        <v>757</v>
      </c>
      <c r="B479" s="1779"/>
      <c r="C479" s="79" t="s">
        <v>3018</v>
      </c>
      <c r="D479" s="80" t="s">
        <v>858</v>
      </c>
      <c r="E479" s="2275" t="str">
        <f t="shared" si="38"/>
        <v>NU</v>
      </c>
      <c r="F479" s="55">
        <v>50</v>
      </c>
      <c r="G479" s="55" t="s">
        <v>512</v>
      </c>
      <c r="J479" s="55" t="str">
        <f t="shared" si="40"/>
        <v>NU</v>
      </c>
    </row>
    <row r="480" spans="1:10" hidden="1">
      <c r="A480" s="79" t="s">
        <v>859</v>
      </c>
      <c r="B480" s="1779"/>
      <c r="C480" s="79" t="s">
        <v>3019</v>
      </c>
      <c r="D480" s="80" t="s">
        <v>858</v>
      </c>
      <c r="E480" s="2275" t="str">
        <f t="shared" si="38"/>
        <v>GO</v>
      </c>
      <c r="F480" s="55">
        <v>50</v>
      </c>
      <c r="G480" s="55" t="s">
        <v>512</v>
      </c>
      <c r="J480" s="55" t="str">
        <f t="shared" si="40"/>
        <v>GO</v>
      </c>
    </row>
    <row r="481" spans="1:10" hidden="1">
      <c r="A481" s="79" t="s">
        <v>2064</v>
      </c>
      <c r="B481" s="1779"/>
      <c r="C481" s="79" t="s">
        <v>3020</v>
      </c>
      <c r="D481" s="80" t="s">
        <v>2256</v>
      </c>
      <c r="E481" s="2275" t="str">
        <f t="shared" ref="E481:E544" si="44">LEFT(A481,2)</f>
        <v>DI</v>
      </c>
      <c r="F481" s="55">
        <v>50</v>
      </c>
      <c r="G481" s="55" t="s">
        <v>512</v>
      </c>
      <c r="J481" s="55" t="str">
        <f t="shared" si="40"/>
        <v>DINH</v>
      </c>
    </row>
    <row r="482" spans="1:10" hidden="1">
      <c r="A482" s="79" t="s">
        <v>755</v>
      </c>
      <c r="B482" s="84"/>
      <c r="C482" s="79" t="s">
        <v>3021</v>
      </c>
      <c r="D482" s="80" t="s">
        <v>858</v>
      </c>
      <c r="E482" s="2275" t="str">
        <f t="shared" si="44"/>
        <v>D1</v>
      </c>
      <c r="F482" s="55">
        <v>999</v>
      </c>
      <c r="G482" s="55" t="s">
        <v>512</v>
      </c>
      <c r="J482" s="55" t="str">
        <f t="shared" si="40"/>
        <v>D1x2</v>
      </c>
    </row>
    <row r="483" spans="1:10" hidden="1">
      <c r="A483" s="79" t="s">
        <v>131</v>
      </c>
      <c r="B483" s="84"/>
      <c r="C483" s="79" t="s">
        <v>3022</v>
      </c>
      <c r="D483" s="80" t="s">
        <v>858</v>
      </c>
      <c r="E483" s="2275" t="str">
        <f t="shared" si="44"/>
        <v>D0</v>
      </c>
      <c r="F483" s="55">
        <v>999</v>
      </c>
      <c r="G483" s="55" t="s">
        <v>512</v>
      </c>
      <c r="J483" s="55" t="str">
        <f t="shared" si="40"/>
        <v>D0x4</v>
      </c>
    </row>
    <row r="484" spans="1:10" hidden="1">
      <c r="A484" s="79" t="s">
        <v>520</v>
      </c>
      <c r="B484" s="84"/>
      <c r="C484" s="79" t="s">
        <v>3023</v>
      </c>
      <c r="D484" s="80" t="s">
        <v>858</v>
      </c>
      <c r="E484" s="2275" t="str">
        <f t="shared" si="44"/>
        <v>D2</v>
      </c>
      <c r="F484" s="55">
        <v>999</v>
      </c>
      <c r="G484" s="55" t="s">
        <v>512</v>
      </c>
      <c r="J484" s="55" t="str">
        <f t="shared" si="40"/>
        <v>D2x4</v>
      </c>
    </row>
    <row r="485" spans="1:10" hidden="1">
      <c r="A485" s="79" t="s">
        <v>756</v>
      </c>
      <c r="B485" s="1779"/>
      <c r="C485" s="79" t="s">
        <v>3024</v>
      </c>
      <c r="D485" s="80" t="s">
        <v>858</v>
      </c>
      <c r="E485" s="2275" t="str">
        <f t="shared" si="44"/>
        <v>D4</v>
      </c>
      <c r="F485" s="55">
        <v>999</v>
      </c>
      <c r="G485" s="55" t="s">
        <v>512</v>
      </c>
      <c r="J485" s="55" t="str">
        <f t="shared" si="40"/>
        <v>D4x6</v>
      </c>
    </row>
    <row r="486" spans="1:10" hidden="1">
      <c r="A486" s="1021" t="s">
        <v>4447</v>
      </c>
      <c r="B486" s="1779"/>
      <c r="C486" s="79" t="s">
        <v>3025</v>
      </c>
      <c r="D486" s="80" t="s">
        <v>858</v>
      </c>
      <c r="E486" s="2275" t="str">
        <f t="shared" si="44"/>
        <v>ca</v>
      </c>
      <c r="F486" s="55">
        <v>997</v>
      </c>
      <c r="G486" s="55" t="s">
        <v>512</v>
      </c>
      <c r="J486" s="55" t="str">
        <f t="shared" si="40"/>
        <v>cat</v>
      </c>
    </row>
    <row r="487" spans="1:10" hidden="1">
      <c r="A487" s="79" t="s">
        <v>936</v>
      </c>
      <c r="B487" s="1779"/>
      <c r="C487" s="79" t="s">
        <v>3026</v>
      </c>
      <c r="D487" s="80" t="s">
        <v>3027</v>
      </c>
      <c r="E487" s="2275" t="str">
        <f t="shared" si="44"/>
        <v>ga</v>
      </c>
      <c r="F487" s="55">
        <v>50</v>
      </c>
      <c r="G487" s="55" t="s">
        <v>512</v>
      </c>
      <c r="J487" s="55" t="str">
        <f t="shared" si="40"/>
        <v>gachong</v>
      </c>
    </row>
    <row r="488" spans="1:10" hidden="1">
      <c r="A488" s="79" t="s">
        <v>1681</v>
      </c>
      <c r="B488" s="1779"/>
      <c r="C488" s="79" t="s">
        <v>3028</v>
      </c>
      <c r="D488" s="80" t="s">
        <v>3027</v>
      </c>
      <c r="E488" s="2275" t="str">
        <f t="shared" si="44"/>
        <v>ga</v>
      </c>
      <c r="F488" s="55">
        <v>50</v>
      </c>
      <c r="G488" s="55" t="s">
        <v>512</v>
      </c>
      <c r="J488" s="55" t="str">
        <f t="shared" si="40"/>
        <v>gachtau</v>
      </c>
    </row>
    <row r="489" spans="1:10" hidden="1">
      <c r="A489" s="79" t="s">
        <v>84</v>
      </c>
      <c r="B489" s="1779"/>
      <c r="C489" s="79" t="s">
        <v>3029</v>
      </c>
      <c r="D489" s="80" t="s">
        <v>3027</v>
      </c>
      <c r="E489" s="2275" t="str">
        <f t="shared" si="44"/>
        <v>ga</v>
      </c>
      <c r="F489" s="55">
        <v>50</v>
      </c>
      <c r="G489" s="55" t="s">
        <v>512</v>
      </c>
      <c r="J489" s="55" t="str">
        <f t="shared" si="40"/>
        <v>gachthe</v>
      </c>
    </row>
    <row r="490" spans="1:10" hidden="1">
      <c r="A490" s="79" t="s">
        <v>753</v>
      </c>
      <c r="B490" s="1779"/>
      <c r="C490" s="79" t="s">
        <v>4932</v>
      </c>
      <c r="D490" s="80" t="s">
        <v>2256</v>
      </c>
      <c r="E490" s="2275" t="str">
        <f t="shared" si="44"/>
        <v>XM</v>
      </c>
      <c r="F490" s="55">
        <v>996</v>
      </c>
      <c r="G490" s="55" t="s">
        <v>512</v>
      </c>
      <c r="J490" s="55" t="str">
        <f t="shared" si="40"/>
        <v>XM</v>
      </c>
    </row>
    <row r="491" spans="1:10" hidden="1">
      <c r="A491" s="79" t="s">
        <v>704</v>
      </c>
      <c r="B491" s="1779"/>
      <c r="C491" s="1787" t="s">
        <v>3030</v>
      </c>
      <c r="D491" s="80" t="s">
        <v>2256</v>
      </c>
      <c r="E491" s="2275" t="str">
        <f t="shared" si="44"/>
        <v>qh</v>
      </c>
      <c r="F491" s="55">
        <v>50</v>
      </c>
      <c r="G491" s="55" t="s">
        <v>512</v>
      </c>
      <c r="J491" s="55" t="str">
        <f t="shared" si="40"/>
        <v>qhan</v>
      </c>
    </row>
    <row r="492" spans="1:10" hidden="1">
      <c r="A492" s="79" t="s">
        <v>871</v>
      </c>
      <c r="B492" s="1779"/>
      <c r="C492" s="1787" t="s">
        <v>3031</v>
      </c>
      <c r="D492" s="80" t="s">
        <v>2566</v>
      </c>
      <c r="E492" s="2275" t="str">
        <f t="shared" si="44"/>
        <v>co</v>
      </c>
      <c r="F492" s="55">
        <v>50</v>
      </c>
      <c r="G492" s="55" t="s">
        <v>512</v>
      </c>
      <c r="J492" s="55" t="str">
        <f t="shared" si="40"/>
        <v>coson</v>
      </c>
    </row>
    <row r="493" spans="1:10" hidden="1">
      <c r="A493" s="79" t="s">
        <v>1682</v>
      </c>
      <c r="B493" s="84"/>
      <c r="C493" s="1788" t="s">
        <v>3032</v>
      </c>
      <c r="D493" s="80" t="s">
        <v>1966</v>
      </c>
      <c r="E493" s="2275" t="str">
        <f t="shared" si="44"/>
        <v>Ni</v>
      </c>
      <c r="F493" s="55">
        <v>50</v>
      </c>
      <c r="G493" s="55" t="s">
        <v>512</v>
      </c>
      <c r="J493" s="55" t="str">
        <f t="shared" si="40"/>
        <v>Nilong</v>
      </c>
    </row>
    <row r="494" spans="1:10" hidden="1">
      <c r="A494" s="79" t="s">
        <v>920</v>
      </c>
      <c r="B494" s="1779"/>
      <c r="C494" s="1787" t="s">
        <v>3033</v>
      </c>
      <c r="D494" s="80" t="s">
        <v>1829</v>
      </c>
      <c r="E494" s="2275" t="str">
        <f t="shared" si="44"/>
        <v>NL</v>
      </c>
      <c r="F494" s="55">
        <v>50</v>
      </c>
      <c r="G494" s="55" t="s">
        <v>512</v>
      </c>
      <c r="J494" s="55" t="str">
        <f t="shared" si="40"/>
        <v>NLON</v>
      </c>
    </row>
    <row r="495" spans="1:10" hidden="1">
      <c r="A495" s="79" t="s">
        <v>2223</v>
      </c>
      <c r="B495" s="1779"/>
      <c r="C495" s="79" t="s">
        <v>3034</v>
      </c>
      <c r="D495" s="80" t="s">
        <v>2256</v>
      </c>
      <c r="E495" s="2275" t="str">
        <f t="shared" si="44"/>
        <v>th</v>
      </c>
      <c r="F495" s="55">
        <v>50</v>
      </c>
      <c r="G495" s="55" t="s">
        <v>512</v>
      </c>
      <c r="J495" s="55" t="str">
        <f t="shared" si="40"/>
        <v>thepb</v>
      </c>
    </row>
    <row r="496" spans="1:10" hidden="1">
      <c r="A496" s="79" t="s">
        <v>1357</v>
      </c>
      <c r="B496" s="1779"/>
      <c r="C496" s="79" t="s">
        <v>3035</v>
      </c>
      <c r="D496" s="80" t="s">
        <v>2566</v>
      </c>
      <c r="E496" s="2275" t="str">
        <f t="shared" si="44"/>
        <v>da</v>
      </c>
      <c r="F496" s="55">
        <v>50</v>
      </c>
      <c r="G496" s="55" t="s">
        <v>512</v>
      </c>
      <c r="J496" s="55" t="str">
        <f t="shared" si="40"/>
        <v>daucap50</v>
      </c>
    </row>
    <row r="497" spans="1:10" hidden="1">
      <c r="A497" s="79" t="s">
        <v>1923</v>
      </c>
      <c r="B497" s="1779"/>
      <c r="C497" s="79" t="s">
        <v>3036</v>
      </c>
      <c r="D497" s="80" t="s">
        <v>2566</v>
      </c>
      <c r="E497" s="2275" t="str">
        <f t="shared" si="44"/>
        <v>da</v>
      </c>
      <c r="F497" s="55">
        <v>50</v>
      </c>
      <c r="G497" s="55" t="s">
        <v>512</v>
      </c>
      <c r="J497" s="55" t="str">
        <f t="shared" si="40"/>
        <v>daucap70</v>
      </c>
    </row>
    <row r="498" spans="1:10" hidden="1">
      <c r="A498" s="79" t="s">
        <v>2224</v>
      </c>
      <c r="B498" s="1779"/>
      <c r="C498" s="79" t="s">
        <v>3037</v>
      </c>
      <c r="D498" s="80" t="s">
        <v>2566</v>
      </c>
      <c r="E498" s="2275" t="str">
        <f t="shared" si="44"/>
        <v>da</v>
      </c>
      <c r="F498" s="55">
        <v>50</v>
      </c>
      <c r="G498" s="55" t="s">
        <v>512</v>
      </c>
      <c r="J498" s="55" t="str">
        <f t="shared" si="40"/>
        <v>daucap95</v>
      </c>
    </row>
    <row r="499" spans="1:10" hidden="1">
      <c r="A499" s="79" t="s">
        <v>1278</v>
      </c>
      <c r="B499" s="1779"/>
      <c r="C499" s="79" t="s">
        <v>3038</v>
      </c>
      <c r="D499" s="80" t="s">
        <v>2566</v>
      </c>
      <c r="E499" s="2275" t="str">
        <f t="shared" si="44"/>
        <v>da</v>
      </c>
      <c r="F499" s="55">
        <v>50</v>
      </c>
      <c r="G499" s="55" t="s">
        <v>512</v>
      </c>
      <c r="J499" s="55" t="str">
        <f t="shared" si="40"/>
        <v>daucap120</v>
      </c>
    </row>
    <row r="500" spans="1:10" hidden="1">
      <c r="A500" s="79" t="s">
        <v>1855</v>
      </c>
      <c r="B500" s="1779"/>
      <c r="C500" s="79" t="s">
        <v>3039</v>
      </c>
      <c r="D500" s="80" t="s">
        <v>2566</v>
      </c>
      <c r="E500" s="2275" t="str">
        <f t="shared" si="44"/>
        <v>da</v>
      </c>
      <c r="F500" s="55">
        <v>50</v>
      </c>
      <c r="G500" s="55" t="s">
        <v>512</v>
      </c>
      <c r="J500" s="55" t="str">
        <f t="shared" si="40"/>
        <v>daucap150</v>
      </c>
    </row>
    <row r="501" spans="1:10" hidden="1">
      <c r="A501" s="79" t="s">
        <v>1399</v>
      </c>
      <c r="B501" s="1779"/>
      <c r="C501" s="79" t="s">
        <v>3040</v>
      </c>
      <c r="D501" s="80" t="s">
        <v>2566</v>
      </c>
      <c r="E501" s="2275" t="str">
        <f t="shared" si="44"/>
        <v>da</v>
      </c>
      <c r="F501" s="55">
        <v>50</v>
      </c>
      <c r="G501" s="55" t="s">
        <v>512</v>
      </c>
      <c r="J501" s="55" t="str">
        <f t="shared" si="40"/>
        <v>daucap185</v>
      </c>
    </row>
    <row r="502" spans="1:10" hidden="1">
      <c r="A502" s="79" t="s">
        <v>264</v>
      </c>
      <c r="B502" s="1779"/>
      <c r="C502" s="79" t="s">
        <v>3041</v>
      </c>
      <c r="D502" s="80" t="s">
        <v>2566</v>
      </c>
      <c r="E502" s="2275" t="str">
        <f t="shared" si="44"/>
        <v>da</v>
      </c>
      <c r="F502" s="55">
        <v>50</v>
      </c>
      <c r="G502" s="55" t="s">
        <v>512</v>
      </c>
      <c r="J502" s="55" t="str">
        <f t="shared" si="40"/>
        <v>daucap240</v>
      </c>
    </row>
    <row r="503" spans="1:10" hidden="1">
      <c r="A503" s="79" t="s">
        <v>1358</v>
      </c>
      <c r="B503" s="1779"/>
      <c r="C503" s="79" t="s">
        <v>3042</v>
      </c>
      <c r="D503" s="80" t="s">
        <v>2566</v>
      </c>
      <c r="E503" s="2275" t="str">
        <f t="shared" si="44"/>
        <v>da</v>
      </c>
      <c r="F503" s="55">
        <v>50</v>
      </c>
      <c r="G503" s="55" t="s">
        <v>512</v>
      </c>
      <c r="J503" s="55" t="str">
        <f t="shared" si="40"/>
        <v>daucap50in</v>
      </c>
    </row>
    <row r="504" spans="1:10" hidden="1">
      <c r="A504" s="79" t="s">
        <v>1359</v>
      </c>
      <c r="B504" s="1779"/>
      <c r="C504" s="79" t="s">
        <v>3043</v>
      </c>
      <c r="D504" s="80" t="s">
        <v>2566</v>
      </c>
      <c r="E504" s="2275" t="str">
        <f t="shared" si="44"/>
        <v>da</v>
      </c>
      <c r="F504" s="55">
        <v>50</v>
      </c>
      <c r="G504" s="55" t="s">
        <v>512</v>
      </c>
      <c r="J504" s="55" t="str">
        <f t="shared" si="40"/>
        <v>daucap70in</v>
      </c>
    </row>
    <row r="505" spans="1:10" hidden="1">
      <c r="A505" s="79" t="s">
        <v>870</v>
      </c>
      <c r="B505" s="1779"/>
      <c r="C505" s="79" t="s">
        <v>3044</v>
      </c>
      <c r="D505" s="80" t="s">
        <v>2566</v>
      </c>
      <c r="E505" s="2275" t="str">
        <f t="shared" si="44"/>
        <v>da</v>
      </c>
      <c r="F505" s="55">
        <v>50</v>
      </c>
      <c r="G505" s="55" t="s">
        <v>512</v>
      </c>
      <c r="J505" s="55" t="str">
        <f t="shared" si="40"/>
        <v>daucap95in</v>
      </c>
    </row>
    <row r="506" spans="1:10" hidden="1">
      <c r="A506" s="79" t="s">
        <v>1356</v>
      </c>
      <c r="B506" s="1779"/>
      <c r="C506" s="79" t="s">
        <v>3045</v>
      </c>
      <c r="D506" s="80" t="s">
        <v>2566</v>
      </c>
      <c r="E506" s="2275" t="str">
        <f t="shared" si="44"/>
        <v>da</v>
      </c>
      <c r="F506" s="55">
        <v>50</v>
      </c>
      <c r="G506" s="55" t="s">
        <v>512</v>
      </c>
      <c r="J506" s="55" t="str">
        <f t="shared" si="40"/>
        <v>daucap120in</v>
      </c>
    </row>
    <row r="507" spans="1:10" hidden="1">
      <c r="A507" s="79" t="s">
        <v>221</v>
      </c>
      <c r="B507" s="1779"/>
      <c r="C507" s="79" t="s">
        <v>3046</v>
      </c>
      <c r="D507" s="80" t="s">
        <v>2566</v>
      </c>
      <c r="E507" s="2275" t="str">
        <f t="shared" si="44"/>
        <v>da</v>
      </c>
      <c r="F507" s="55">
        <v>50</v>
      </c>
      <c r="G507" s="55" t="s">
        <v>512</v>
      </c>
      <c r="J507" s="55" t="str">
        <f t="shared" si="40"/>
        <v>daucap150in</v>
      </c>
    </row>
    <row r="508" spans="1:10" hidden="1">
      <c r="A508" s="79" t="s">
        <v>1030</v>
      </c>
      <c r="B508" s="1779"/>
      <c r="C508" s="79" t="s">
        <v>3047</v>
      </c>
      <c r="D508" s="80" t="s">
        <v>2566</v>
      </c>
      <c r="E508" s="2275" t="str">
        <f t="shared" si="44"/>
        <v>da</v>
      </c>
      <c r="F508" s="55">
        <v>50</v>
      </c>
      <c r="G508" s="55" t="s">
        <v>512</v>
      </c>
      <c r="J508" s="55" t="str">
        <f t="shared" si="40"/>
        <v>daucap185in</v>
      </c>
    </row>
    <row r="509" spans="1:10" hidden="1">
      <c r="A509" s="79" t="s">
        <v>1916</v>
      </c>
      <c r="B509" s="1779"/>
      <c r="C509" s="79" t="s">
        <v>3048</v>
      </c>
      <c r="D509" s="80" t="s">
        <v>2566</v>
      </c>
      <c r="E509" s="2275" t="str">
        <f t="shared" si="44"/>
        <v>da</v>
      </c>
      <c r="F509" s="55">
        <v>50</v>
      </c>
      <c r="G509" s="55" t="s">
        <v>512</v>
      </c>
      <c r="J509" s="55" t="str">
        <f t="shared" si="40"/>
        <v>daucap240in</v>
      </c>
    </row>
    <row r="510" spans="1:10" hidden="1">
      <c r="A510" s="79" t="s">
        <v>149</v>
      </c>
      <c r="B510" s="84"/>
      <c r="C510" s="79" t="s">
        <v>3049</v>
      </c>
      <c r="D510" s="80" t="s">
        <v>2566</v>
      </c>
      <c r="E510" s="2275" t="str">
        <f t="shared" si="44"/>
        <v>DC</v>
      </c>
      <c r="F510" s="55">
        <v>50</v>
      </c>
      <c r="G510" s="55" t="s">
        <v>512</v>
      </c>
      <c r="J510" s="55" t="str">
        <f t="shared" si="40"/>
        <v>DCAPHT3185</v>
      </c>
    </row>
    <row r="511" spans="1:10" hidden="1">
      <c r="A511" s="79" t="s">
        <v>1287</v>
      </c>
      <c r="B511" s="84"/>
      <c r="C511" s="79" t="s">
        <v>3050</v>
      </c>
      <c r="D511" s="80" t="s">
        <v>2566</v>
      </c>
      <c r="E511" s="2275" t="str">
        <f t="shared" si="44"/>
        <v>DC</v>
      </c>
      <c r="F511" s="55">
        <v>50</v>
      </c>
      <c r="G511" s="55" t="s">
        <v>512</v>
      </c>
      <c r="J511" s="55" t="str">
        <f t="shared" si="40"/>
        <v>DCAPHT3120</v>
      </c>
    </row>
    <row r="512" spans="1:10" hidden="1">
      <c r="A512" s="79" t="s">
        <v>1286</v>
      </c>
      <c r="B512" s="84"/>
      <c r="C512" s="79" t="s">
        <v>3051</v>
      </c>
      <c r="D512" s="80" t="s">
        <v>2566</v>
      </c>
      <c r="E512" s="2275" t="str">
        <f t="shared" si="44"/>
        <v>DC</v>
      </c>
      <c r="F512" s="55">
        <v>50</v>
      </c>
      <c r="G512" s="55" t="s">
        <v>512</v>
      </c>
      <c r="J512" s="55" t="str">
        <f t="shared" si="40"/>
        <v>DCAPHT395</v>
      </c>
    </row>
    <row r="513" spans="1:10" hidden="1">
      <c r="A513" s="79" t="s">
        <v>1637</v>
      </c>
      <c r="B513" s="84"/>
      <c r="C513" s="79" t="s">
        <v>3052</v>
      </c>
      <c r="D513" s="80" t="s">
        <v>2566</v>
      </c>
      <c r="E513" s="2275" t="str">
        <f t="shared" si="44"/>
        <v>DC</v>
      </c>
      <c r="F513" s="55">
        <v>50</v>
      </c>
      <c r="G513" s="55" t="s">
        <v>512</v>
      </c>
      <c r="J513" s="55" t="str">
        <f t="shared" si="40"/>
        <v>DCAPHT370</v>
      </c>
    </row>
    <row r="514" spans="1:10" hidden="1">
      <c r="A514" s="79" t="s">
        <v>1365</v>
      </c>
      <c r="B514" s="84"/>
      <c r="C514" s="79" t="s">
        <v>3053</v>
      </c>
      <c r="D514" s="80" t="s">
        <v>2566</v>
      </c>
      <c r="E514" s="2275" t="str">
        <f t="shared" si="44"/>
        <v>DC</v>
      </c>
      <c r="F514" s="55">
        <v>50</v>
      </c>
      <c r="G514" s="55" t="s">
        <v>512</v>
      </c>
      <c r="J514" s="55" t="str">
        <f t="shared" si="40"/>
        <v>DCAPHT350+35</v>
      </c>
    </row>
    <row r="515" spans="1:10" hidden="1">
      <c r="A515" s="79" t="s">
        <v>1852</v>
      </c>
      <c r="B515" s="84"/>
      <c r="C515" s="79" t="s">
        <v>3054</v>
      </c>
      <c r="D515" s="80" t="s">
        <v>2566</v>
      </c>
      <c r="E515" s="2275" t="str">
        <f t="shared" si="44"/>
        <v>DC</v>
      </c>
      <c r="F515" s="55">
        <v>50</v>
      </c>
      <c r="G515" s="55" t="s">
        <v>512</v>
      </c>
      <c r="J515" s="55" t="str">
        <f t="shared" si="40"/>
        <v>DCAPHT350</v>
      </c>
    </row>
    <row r="516" spans="1:10" hidden="1">
      <c r="A516" s="79" t="s">
        <v>72</v>
      </c>
      <c r="B516" s="84"/>
      <c r="C516" s="79" t="s">
        <v>3055</v>
      </c>
      <c r="D516" s="80" t="s">
        <v>2541</v>
      </c>
      <c r="E516" s="2275" t="str">
        <f t="shared" si="44"/>
        <v>st</v>
      </c>
      <c r="F516" s="55">
        <v>50</v>
      </c>
      <c r="G516" s="55" t="s">
        <v>512</v>
      </c>
      <c r="J516" s="55" t="str">
        <f t="shared" si="40"/>
        <v>stk42</v>
      </c>
    </row>
    <row r="517" spans="1:10" hidden="1">
      <c r="A517" s="79" t="s">
        <v>73</v>
      </c>
      <c r="B517" s="84"/>
      <c r="C517" s="79" t="s">
        <v>3056</v>
      </c>
      <c r="D517" s="80" t="s">
        <v>2541</v>
      </c>
      <c r="E517" s="2275" t="str">
        <f t="shared" si="44"/>
        <v>st</v>
      </c>
      <c r="F517" s="55">
        <v>50</v>
      </c>
      <c r="G517" s="55" t="s">
        <v>512</v>
      </c>
      <c r="J517" s="55" t="str">
        <f t="shared" si="40"/>
        <v>stk60</v>
      </c>
    </row>
    <row r="518" spans="1:10" hidden="1">
      <c r="A518" s="79" t="s">
        <v>1019</v>
      </c>
      <c r="B518" s="84" t="s">
        <v>1911</v>
      </c>
      <c r="C518" s="79" t="s">
        <v>3057</v>
      </c>
      <c r="D518" s="80" t="s">
        <v>2541</v>
      </c>
      <c r="E518" s="2275" t="str">
        <f t="shared" si="44"/>
        <v>st</v>
      </c>
      <c r="F518" s="55">
        <v>50</v>
      </c>
      <c r="G518" s="55" t="s">
        <v>512</v>
      </c>
      <c r="J518" s="55" t="str">
        <f t="shared" si="40"/>
        <v>stk90</v>
      </c>
    </row>
    <row r="519" spans="1:10" hidden="1">
      <c r="A519" s="79" t="s">
        <v>2225</v>
      </c>
      <c r="B519" s="84" t="s">
        <v>1911</v>
      </c>
      <c r="C519" s="79" t="s">
        <v>3058</v>
      </c>
      <c r="D519" s="80" t="s">
        <v>2541</v>
      </c>
      <c r="E519" s="2275" t="str">
        <f t="shared" si="44"/>
        <v>st</v>
      </c>
      <c r="F519" s="55">
        <v>50</v>
      </c>
      <c r="G519" s="55" t="s">
        <v>512</v>
      </c>
      <c r="J519" s="55" t="str">
        <f t="shared" si="40"/>
        <v>stk114</v>
      </c>
    </row>
    <row r="520" spans="1:10" hidden="1">
      <c r="A520" s="79" t="s">
        <v>623</v>
      </c>
      <c r="B520" s="84" t="s">
        <v>1911</v>
      </c>
      <c r="C520" s="79" t="s">
        <v>3059</v>
      </c>
      <c r="D520" s="80" t="s">
        <v>2541</v>
      </c>
      <c r="E520" s="2275" t="str">
        <f t="shared" si="44"/>
        <v>st</v>
      </c>
      <c r="F520" s="55">
        <v>50</v>
      </c>
      <c r="G520" s="55" t="s">
        <v>512</v>
      </c>
      <c r="J520" s="55" t="str">
        <f t="shared" si="40"/>
        <v>stk140</v>
      </c>
    </row>
    <row r="521" spans="1:10" hidden="1">
      <c r="A521" s="79" t="s">
        <v>916</v>
      </c>
      <c r="B521" s="84" t="s">
        <v>1911</v>
      </c>
      <c r="C521" s="79" t="s">
        <v>3060</v>
      </c>
      <c r="D521" s="80" t="s">
        <v>2541</v>
      </c>
      <c r="E521" s="2275" t="str">
        <f t="shared" si="44"/>
        <v>st</v>
      </c>
      <c r="F521" s="55">
        <v>50</v>
      </c>
      <c r="G521" s="55" t="s">
        <v>512</v>
      </c>
      <c r="J521" s="55" t="str">
        <f t="shared" si="40"/>
        <v>stk160</v>
      </c>
    </row>
    <row r="522" spans="1:10" hidden="1">
      <c r="A522" s="79" t="s">
        <v>38</v>
      </c>
      <c r="B522" s="84" t="s">
        <v>1911</v>
      </c>
      <c r="C522" s="79" t="s">
        <v>3061</v>
      </c>
      <c r="D522" s="80" t="s">
        <v>2541</v>
      </c>
      <c r="E522" s="2275" t="str">
        <f t="shared" si="44"/>
        <v>st</v>
      </c>
      <c r="F522" s="55">
        <v>50</v>
      </c>
      <c r="G522" s="55" t="s">
        <v>512</v>
      </c>
      <c r="J522" s="55" t="str">
        <f t="shared" ref="J522:J585" si="45">A522</f>
        <v>stk168</v>
      </c>
    </row>
    <row r="523" spans="1:10" hidden="1">
      <c r="A523" s="79" t="s">
        <v>1020</v>
      </c>
      <c r="B523" s="84"/>
      <c r="C523" s="79" t="s">
        <v>3062</v>
      </c>
      <c r="D523" s="80" t="s">
        <v>2566</v>
      </c>
      <c r="E523" s="2275" t="str">
        <f t="shared" si="44"/>
        <v>co</v>
      </c>
      <c r="F523" s="55">
        <v>50</v>
      </c>
      <c r="G523" s="55" t="s">
        <v>512</v>
      </c>
      <c r="J523" s="55" t="str">
        <f t="shared" si="45"/>
        <v>costk114</v>
      </c>
    </row>
    <row r="524" spans="1:10" hidden="1">
      <c r="A524" s="79" t="s">
        <v>670</v>
      </c>
      <c r="B524" s="1779"/>
      <c r="C524" s="79" t="s">
        <v>3063</v>
      </c>
      <c r="D524" s="80" t="s">
        <v>2566</v>
      </c>
      <c r="E524" s="2275" t="str">
        <f t="shared" si="44"/>
        <v>co</v>
      </c>
      <c r="F524" s="55">
        <v>50</v>
      </c>
      <c r="G524" s="55" t="s">
        <v>512</v>
      </c>
      <c r="J524" s="55" t="str">
        <f t="shared" si="45"/>
        <v>costk90</v>
      </c>
    </row>
    <row r="525" spans="1:10" hidden="1">
      <c r="A525" s="79" t="s">
        <v>2006</v>
      </c>
      <c r="B525" s="1779"/>
      <c r="C525" s="79" t="s">
        <v>3064</v>
      </c>
      <c r="D525" s="80" t="s">
        <v>2566</v>
      </c>
      <c r="E525" s="2275" t="str">
        <f t="shared" si="44"/>
        <v>YC</v>
      </c>
      <c r="F525" s="55">
        <v>50</v>
      </c>
      <c r="G525" s="55" t="s">
        <v>512</v>
      </c>
      <c r="J525" s="55" t="str">
        <f t="shared" si="45"/>
        <v>YC</v>
      </c>
    </row>
    <row r="526" spans="1:10" hidden="1">
      <c r="A526" s="1778"/>
      <c r="C526" s="1778"/>
      <c r="D526" s="1791"/>
      <c r="E526" s="2275" t="str">
        <f t="shared" si="44"/>
        <v/>
      </c>
      <c r="F526" s="55">
        <v>50</v>
      </c>
      <c r="J526" s="55">
        <f t="shared" si="45"/>
        <v>0</v>
      </c>
    </row>
    <row r="527" spans="1:10" hidden="1">
      <c r="A527" s="1778"/>
      <c r="C527" s="1778"/>
      <c r="D527" s="1791"/>
      <c r="E527" s="2275" t="str">
        <f t="shared" si="44"/>
        <v/>
      </c>
      <c r="F527" s="55">
        <v>50</v>
      </c>
      <c r="J527" s="55">
        <f t="shared" si="45"/>
        <v>0</v>
      </c>
    </row>
    <row r="528" spans="1:10" hidden="1">
      <c r="A528" s="1778" t="s">
        <v>4432</v>
      </c>
      <c r="C528" s="1778"/>
      <c r="D528" s="1792"/>
      <c r="E528" s="2275" t="str">
        <f t="shared" si="44"/>
        <v>Bả</v>
      </c>
      <c r="F528" s="55">
        <v>50</v>
      </c>
      <c r="J528" s="55" t="str">
        <f t="shared" si="45"/>
        <v>Bảng kê đơn Giá nhân công  ( 67/1999/QĐ-BCN )</v>
      </c>
    </row>
    <row r="529" spans="1:10" hidden="1">
      <c r="A529" s="1778"/>
      <c r="C529" s="1778"/>
      <c r="D529" s="1791"/>
      <c r="E529" s="2275" t="str">
        <f t="shared" si="44"/>
        <v/>
      </c>
      <c r="F529" s="55">
        <v>50</v>
      </c>
      <c r="J529" s="55">
        <f t="shared" si="45"/>
        <v>0</v>
      </c>
    </row>
    <row r="530" spans="1:10" hidden="1">
      <c r="A530" s="1793" t="s">
        <v>2614</v>
      </c>
      <c r="B530" s="1794" t="s">
        <v>2615</v>
      </c>
      <c r="C530" s="1793" t="s">
        <v>3065</v>
      </c>
      <c r="D530" s="1795" t="s">
        <v>2617</v>
      </c>
      <c r="E530" s="2275" t="str">
        <f t="shared" si="44"/>
        <v>Mã</v>
      </c>
      <c r="F530" s="55">
        <v>50</v>
      </c>
      <c r="J530" s="55" t="str">
        <f t="shared" si="45"/>
        <v>Mã</v>
      </c>
    </row>
    <row r="531" spans="1:10" hidden="1">
      <c r="A531" s="1793">
        <v>1</v>
      </c>
      <c r="B531" s="1794">
        <v>2</v>
      </c>
      <c r="C531" s="1793">
        <v>3</v>
      </c>
      <c r="D531" s="1795">
        <v>4</v>
      </c>
      <c r="E531" s="2275" t="str">
        <f t="shared" si="44"/>
        <v>1</v>
      </c>
      <c r="F531" s="55">
        <v>50</v>
      </c>
      <c r="J531" s="55">
        <f t="shared" si="45"/>
        <v>1</v>
      </c>
    </row>
    <row r="532" spans="1:10" hidden="1">
      <c r="A532" s="1780" t="s">
        <v>959</v>
      </c>
      <c r="B532" s="84" t="s">
        <v>454</v>
      </c>
      <c r="C532" s="79" t="s">
        <v>3066</v>
      </c>
      <c r="D532" s="80" t="s">
        <v>858</v>
      </c>
      <c r="E532" s="2275" t="str">
        <f t="shared" si="44"/>
        <v>MD</v>
      </c>
      <c r="F532" s="55">
        <v>2000</v>
      </c>
      <c r="J532" s="55" t="str">
        <f t="shared" si="45"/>
        <v>MDDA1</v>
      </c>
    </row>
    <row r="533" spans="1:10" hidden="1">
      <c r="A533" s="1780" t="s">
        <v>453</v>
      </c>
      <c r="B533" s="84" t="s">
        <v>454</v>
      </c>
      <c r="C533" s="79" t="s">
        <v>3067</v>
      </c>
      <c r="D533" s="80" t="s">
        <v>858</v>
      </c>
      <c r="E533" s="2275" t="str">
        <f t="shared" si="44"/>
        <v>MD</v>
      </c>
      <c r="F533" s="55">
        <v>2000</v>
      </c>
      <c r="J533" s="55" t="str">
        <f t="shared" si="45"/>
        <v>MDDA2</v>
      </c>
    </row>
    <row r="534" spans="1:10" hidden="1">
      <c r="A534" s="1780" t="s">
        <v>583</v>
      </c>
      <c r="B534" s="84" t="s">
        <v>545</v>
      </c>
      <c r="C534" s="79" t="s">
        <v>3068</v>
      </c>
      <c r="D534" s="80" t="s">
        <v>858</v>
      </c>
      <c r="E534" s="2275" t="str">
        <f t="shared" si="44"/>
        <v>MD</v>
      </c>
      <c r="F534" s="55">
        <v>2000</v>
      </c>
      <c r="J534" s="55" t="str">
        <f t="shared" si="45"/>
        <v>MDD11</v>
      </c>
    </row>
    <row r="535" spans="1:10" hidden="1">
      <c r="A535" s="79" t="s">
        <v>1993</v>
      </c>
      <c r="B535" s="84" t="s">
        <v>2126</v>
      </c>
      <c r="C535" s="79" t="s">
        <v>3069</v>
      </c>
      <c r="D535" s="80" t="s">
        <v>858</v>
      </c>
      <c r="E535" s="2275" t="str">
        <f t="shared" si="44"/>
        <v>MD</v>
      </c>
      <c r="F535" s="55">
        <v>2000</v>
      </c>
      <c r="J535" s="55" t="str">
        <f t="shared" si="45"/>
        <v>MDD21</v>
      </c>
    </row>
    <row r="536" spans="1:10" hidden="1">
      <c r="A536" s="1780" t="s">
        <v>822</v>
      </c>
      <c r="B536" s="84" t="s">
        <v>599</v>
      </c>
      <c r="C536" s="79" t="s">
        <v>3070</v>
      </c>
      <c r="D536" s="80" t="s">
        <v>858</v>
      </c>
      <c r="E536" s="2275" t="str">
        <f t="shared" si="44"/>
        <v>MD</v>
      </c>
      <c r="F536" s="55">
        <v>2000</v>
      </c>
      <c r="J536" s="55" t="str">
        <f t="shared" si="45"/>
        <v>MDD31</v>
      </c>
    </row>
    <row r="537" spans="1:10" hidden="1">
      <c r="A537" s="1780" t="s">
        <v>527</v>
      </c>
      <c r="B537" s="84" t="s">
        <v>296</v>
      </c>
      <c r="C537" s="79" t="s">
        <v>3071</v>
      </c>
      <c r="D537" s="80" t="s">
        <v>858</v>
      </c>
      <c r="E537" s="2275" t="str">
        <f t="shared" si="44"/>
        <v>MD</v>
      </c>
      <c r="F537" s="55">
        <v>2000</v>
      </c>
      <c r="J537" s="55" t="str">
        <f t="shared" si="45"/>
        <v>MDD41</v>
      </c>
    </row>
    <row r="538" spans="1:10" hidden="1">
      <c r="A538" s="1780" t="s">
        <v>978</v>
      </c>
      <c r="B538" s="84" t="s">
        <v>1992</v>
      </c>
      <c r="C538" s="79" t="s">
        <v>3072</v>
      </c>
      <c r="D538" s="80" t="s">
        <v>858</v>
      </c>
      <c r="E538" s="2275" t="str">
        <f t="shared" si="44"/>
        <v>MD</v>
      </c>
      <c r="F538" s="55">
        <v>2000</v>
      </c>
      <c r="J538" s="55" t="str">
        <f t="shared" si="45"/>
        <v>MDD2</v>
      </c>
    </row>
    <row r="539" spans="1:10" hidden="1">
      <c r="A539" s="1780" t="s">
        <v>639</v>
      </c>
      <c r="B539" s="1796" t="s">
        <v>1753</v>
      </c>
      <c r="C539" s="79" t="s">
        <v>3073</v>
      </c>
      <c r="D539" s="80" t="s">
        <v>858</v>
      </c>
      <c r="E539" s="2275" t="str">
        <f t="shared" si="44"/>
        <v>MD</v>
      </c>
      <c r="F539" s="55">
        <v>2000</v>
      </c>
      <c r="J539" s="55" t="str">
        <f t="shared" si="45"/>
        <v>MDD3</v>
      </c>
    </row>
    <row r="540" spans="1:10" hidden="1">
      <c r="A540" s="79" t="s">
        <v>1231</v>
      </c>
      <c r="B540" s="84" t="s">
        <v>709</v>
      </c>
      <c r="C540" s="79" t="s">
        <v>3074</v>
      </c>
      <c r="D540" s="80" t="s">
        <v>858</v>
      </c>
      <c r="E540" s="2275" t="str">
        <f t="shared" si="44"/>
        <v>AH</v>
      </c>
      <c r="F540" s="55">
        <v>2000</v>
      </c>
      <c r="J540" s="55" t="str">
        <f t="shared" si="45"/>
        <v>AH2120</v>
      </c>
    </row>
    <row r="541" spans="1:10" hidden="1">
      <c r="A541" s="1780" t="s">
        <v>1397</v>
      </c>
      <c r="B541" s="84" t="s">
        <v>1398</v>
      </c>
      <c r="C541" s="79" t="s">
        <v>3075</v>
      </c>
      <c r="D541" s="80" t="s">
        <v>858</v>
      </c>
      <c r="E541" s="2275" t="str">
        <f t="shared" si="44"/>
        <v>MD</v>
      </c>
      <c r="F541" s="55">
        <v>2000</v>
      </c>
      <c r="J541" s="55" t="str">
        <f t="shared" si="45"/>
        <v>MDD4</v>
      </c>
    </row>
    <row r="542" spans="1:10" hidden="1">
      <c r="A542" s="1780" t="s">
        <v>127</v>
      </c>
      <c r="B542" s="84" t="s">
        <v>676</v>
      </c>
      <c r="C542" s="79" t="s">
        <v>3076</v>
      </c>
      <c r="D542" s="80" t="s">
        <v>858</v>
      </c>
      <c r="E542" s="2275" t="str">
        <f t="shared" si="44"/>
        <v>MD</v>
      </c>
      <c r="F542" s="55">
        <v>2000</v>
      </c>
      <c r="J542" s="55" t="str">
        <f t="shared" si="45"/>
        <v>MDAP1</v>
      </c>
    </row>
    <row r="543" spans="1:10" hidden="1">
      <c r="A543" s="1780" t="s">
        <v>677</v>
      </c>
      <c r="B543" s="84" t="s">
        <v>678</v>
      </c>
      <c r="C543" s="79" t="s">
        <v>3077</v>
      </c>
      <c r="D543" s="80" t="s">
        <v>858</v>
      </c>
      <c r="E543" s="2275" t="str">
        <f t="shared" si="44"/>
        <v>MD</v>
      </c>
      <c r="F543" s="55">
        <v>2000</v>
      </c>
      <c r="J543" s="55" t="str">
        <f t="shared" si="45"/>
        <v>MDAP2</v>
      </c>
    </row>
    <row r="544" spans="1:10" hidden="1">
      <c r="A544" s="1780" t="s">
        <v>21</v>
      </c>
      <c r="B544" s="1796" t="s">
        <v>1754</v>
      </c>
      <c r="C544" s="79" t="s">
        <v>3078</v>
      </c>
      <c r="D544" s="80" t="s">
        <v>858</v>
      </c>
      <c r="E544" s="2275" t="str">
        <f t="shared" si="44"/>
        <v>MD</v>
      </c>
      <c r="F544" s="55">
        <v>2000</v>
      </c>
      <c r="J544" s="55" t="str">
        <f t="shared" si="45"/>
        <v>MDAP3</v>
      </c>
    </row>
    <row r="545" spans="1:10" hidden="1">
      <c r="A545" s="1780" t="s">
        <v>1832</v>
      </c>
      <c r="B545" s="84" t="s">
        <v>22</v>
      </c>
      <c r="C545" s="79" t="s">
        <v>3079</v>
      </c>
      <c r="D545" s="80" t="s">
        <v>858</v>
      </c>
      <c r="E545" s="2275" t="str">
        <f t="shared" ref="E545:E607" si="46">LEFT(A545,2)</f>
        <v>MD</v>
      </c>
      <c r="F545" s="55">
        <v>2000</v>
      </c>
      <c r="J545" s="55" t="str">
        <f t="shared" si="45"/>
        <v>MDAP4</v>
      </c>
    </row>
    <row r="546" spans="1:10" hidden="1">
      <c r="A546" s="79" t="s">
        <v>143</v>
      </c>
      <c r="B546" s="84" t="s">
        <v>25</v>
      </c>
      <c r="C546" s="79" t="s">
        <v>3080</v>
      </c>
      <c r="D546" s="80" t="s">
        <v>858</v>
      </c>
      <c r="E546" s="2275" t="str">
        <f t="shared" si="46"/>
        <v>DM</v>
      </c>
      <c r="F546" s="55">
        <v>2000</v>
      </c>
      <c r="J546" s="55" t="str">
        <f t="shared" si="45"/>
        <v>DMC2</v>
      </c>
    </row>
    <row r="547" spans="1:10" hidden="1">
      <c r="A547" s="79" t="s">
        <v>144</v>
      </c>
      <c r="B547" s="84" t="s">
        <v>797</v>
      </c>
      <c r="C547" s="79" t="s">
        <v>3081</v>
      </c>
      <c r="D547" s="80" t="s">
        <v>858</v>
      </c>
      <c r="E547" s="2275" t="str">
        <f t="shared" si="46"/>
        <v>DM</v>
      </c>
      <c r="F547" s="55">
        <v>2000</v>
      </c>
      <c r="J547" s="55" t="str">
        <f t="shared" si="45"/>
        <v>DMC3</v>
      </c>
    </row>
    <row r="548" spans="1:10" hidden="1">
      <c r="A548" s="79" t="s">
        <v>145</v>
      </c>
      <c r="B548" s="84" t="s">
        <v>600</v>
      </c>
      <c r="C548" s="79" t="s">
        <v>3082</v>
      </c>
      <c r="D548" s="80" t="s">
        <v>858</v>
      </c>
      <c r="E548" s="2275" t="str">
        <f t="shared" si="46"/>
        <v>DM</v>
      </c>
      <c r="F548" s="55">
        <v>2000</v>
      </c>
      <c r="J548" s="55" t="str">
        <f t="shared" si="45"/>
        <v>DMC4</v>
      </c>
    </row>
    <row r="549" spans="1:10" hidden="1">
      <c r="A549" s="79" t="s">
        <v>528</v>
      </c>
      <c r="B549" s="84" t="s">
        <v>799</v>
      </c>
      <c r="C549" s="79" t="s">
        <v>3083</v>
      </c>
      <c r="D549" s="80" t="s">
        <v>858</v>
      </c>
      <c r="E549" s="2275" t="str">
        <f t="shared" si="46"/>
        <v>DD</v>
      </c>
      <c r="F549" s="55">
        <v>2000</v>
      </c>
      <c r="J549" s="55" t="str">
        <f t="shared" si="45"/>
        <v>DDMC2</v>
      </c>
    </row>
    <row r="550" spans="1:10" hidden="1">
      <c r="A550" s="79" t="s">
        <v>529</v>
      </c>
      <c r="B550" s="84" t="s">
        <v>801</v>
      </c>
      <c r="C550" s="79" t="s">
        <v>3084</v>
      </c>
      <c r="D550" s="80" t="s">
        <v>858</v>
      </c>
      <c r="E550" s="2275" t="str">
        <f t="shared" si="46"/>
        <v>DD</v>
      </c>
      <c r="F550" s="55">
        <v>2000</v>
      </c>
      <c r="J550" s="55" t="str">
        <f t="shared" si="45"/>
        <v>DDMC3</v>
      </c>
    </row>
    <row r="551" spans="1:10" hidden="1">
      <c r="A551" s="79" t="s">
        <v>530</v>
      </c>
      <c r="B551" s="84" t="s">
        <v>801</v>
      </c>
      <c r="C551" s="79" t="s">
        <v>3085</v>
      </c>
      <c r="D551" s="80" t="s">
        <v>858</v>
      </c>
      <c r="E551" s="2275" t="str">
        <f t="shared" si="46"/>
        <v>DD</v>
      </c>
      <c r="F551" s="55">
        <v>2000</v>
      </c>
      <c r="J551" s="55" t="str">
        <f t="shared" si="45"/>
        <v>DDMC4</v>
      </c>
    </row>
    <row r="552" spans="1:10" hidden="1">
      <c r="A552" s="79" t="s">
        <v>23</v>
      </c>
      <c r="B552" s="84" t="s">
        <v>848</v>
      </c>
      <c r="C552" s="79" t="s">
        <v>3086</v>
      </c>
      <c r="D552" s="80" t="s">
        <v>858</v>
      </c>
      <c r="E552" s="2275" t="str">
        <f t="shared" si="46"/>
        <v>DC</v>
      </c>
      <c r="F552" s="55">
        <v>2000</v>
      </c>
      <c r="J552" s="55" t="str">
        <f t="shared" si="45"/>
        <v>DCAT</v>
      </c>
    </row>
    <row r="553" spans="1:10" hidden="1">
      <c r="A553" s="79" t="s">
        <v>1113</v>
      </c>
      <c r="B553" s="84" t="s">
        <v>848</v>
      </c>
      <c r="C553" s="79" t="s">
        <v>3087</v>
      </c>
      <c r="D553" s="80" t="s">
        <v>858</v>
      </c>
      <c r="E553" s="2275" t="str">
        <f t="shared" si="46"/>
        <v>DD</v>
      </c>
      <c r="F553" s="55">
        <v>2000</v>
      </c>
      <c r="J553" s="55" t="str">
        <f t="shared" si="45"/>
        <v>DD1x2</v>
      </c>
    </row>
    <row r="554" spans="1:10" hidden="1">
      <c r="A554" s="79" t="s">
        <v>1108</v>
      </c>
      <c r="B554" s="84" t="s">
        <v>848</v>
      </c>
      <c r="C554" s="79" t="s">
        <v>3088</v>
      </c>
      <c r="D554" s="80" t="s">
        <v>858</v>
      </c>
      <c r="E554" s="2275" t="str">
        <f t="shared" si="46"/>
        <v>DD</v>
      </c>
      <c r="F554" s="55">
        <v>2000</v>
      </c>
      <c r="J554" s="55" t="str">
        <f t="shared" si="45"/>
        <v>DD2x4</v>
      </c>
    </row>
    <row r="555" spans="1:10" hidden="1">
      <c r="A555" s="79" t="s">
        <v>24</v>
      </c>
      <c r="B555" s="84" t="s">
        <v>25</v>
      </c>
      <c r="C555" s="79" t="s">
        <v>3089</v>
      </c>
      <c r="D555" s="80" t="s">
        <v>858</v>
      </c>
      <c r="E555" s="2275" t="str">
        <f t="shared" si="46"/>
        <v>DT</v>
      </c>
      <c r="F555" s="55">
        <v>2000</v>
      </c>
      <c r="J555" s="55" t="str">
        <f t="shared" si="45"/>
        <v>DTD2</v>
      </c>
    </row>
    <row r="556" spans="1:10" hidden="1">
      <c r="A556" s="79" t="s">
        <v>796</v>
      </c>
      <c r="B556" s="84" t="s">
        <v>1758</v>
      </c>
      <c r="C556" s="79" t="s">
        <v>3090</v>
      </c>
      <c r="D556" s="80" t="s">
        <v>858</v>
      </c>
      <c r="E556" s="2275" t="str">
        <f t="shared" si="46"/>
        <v>DT</v>
      </c>
      <c r="F556" s="55">
        <v>2000</v>
      </c>
      <c r="J556" s="55" t="str">
        <f t="shared" si="45"/>
        <v>DTD3</v>
      </c>
    </row>
    <row r="557" spans="1:10" hidden="1">
      <c r="A557" s="79" t="s">
        <v>1860</v>
      </c>
      <c r="B557" s="84" t="s">
        <v>797</v>
      </c>
      <c r="C557" s="79" t="s">
        <v>3091</v>
      </c>
      <c r="D557" s="80" t="s">
        <v>858</v>
      </c>
      <c r="E557" s="2275" t="str">
        <f t="shared" si="46"/>
        <v>DT</v>
      </c>
      <c r="F557" s="55">
        <v>2000</v>
      </c>
      <c r="J557" s="55" t="str">
        <f t="shared" si="45"/>
        <v>DTD4</v>
      </c>
    </row>
    <row r="558" spans="1:10" hidden="1">
      <c r="A558" s="79" t="s">
        <v>798</v>
      </c>
      <c r="B558" s="84" t="s">
        <v>799</v>
      </c>
      <c r="C558" s="79" t="s">
        <v>3092</v>
      </c>
      <c r="D558" s="80" t="s">
        <v>858</v>
      </c>
      <c r="E558" s="2275" t="str">
        <f t="shared" si="46"/>
        <v>DA</v>
      </c>
      <c r="F558" s="55">
        <v>2000</v>
      </c>
      <c r="J558" s="55" t="str">
        <f t="shared" si="45"/>
        <v>DATD2</v>
      </c>
    </row>
    <row r="559" spans="1:10" hidden="1">
      <c r="A559" s="79" t="s">
        <v>800</v>
      </c>
      <c r="B559" s="84" t="s">
        <v>1759</v>
      </c>
      <c r="C559" s="79" t="s">
        <v>3093</v>
      </c>
      <c r="D559" s="80" t="s">
        <v>858</v>
      </c>
      <c r="E559" s="2275" t="str">
        <f t="shared" si="46"/>
        <v>DA</v>
      </c>
      <c r="F559" s="55">
        <v>2000</v>
      </c>
      <c r="J559" s="55" t="str">
        <f t="shared" si="45"/>
        <v>DATD3</v>
      </c>
    </row>
    <row r="560" spans="1:10" hidden="1">
      <c r="A560" s="79" t="s">
        <v>1859</v>
      </c>
      <c r="B560" s="84" t="s">
        <v>801</v>
      </c>
      <c r="C560" s="79" t="s">
        <v>3094</v>
      </c>
      <c r="D560" s="80" t="s">
        <v>858</v>
      </c>
      <c r="E560" s="2275" t="str">
        <f t="shared" si="46"/>
        <v>DA</v>
      </c>
      <c r="F560" s="55">
        <v>2000</v>
      </c>
      <c r="J560" s="55" t="str">
        <f t="shared" si="45"/>
        <v>DATD4</v>
      </c>
    </row>
    <row r="561" spans="1:10">
      <c r="A561" s="79" t="s">
        <v>2026</v>
      </c>
      <c r="B561" s="84" t="s">
        <v>693</v>
      </c>
      <c r="C561" s="81" t="s">
        <v>4433</v>
      </c>
      <c r="D561" s="80" t="s">
        <v>2448</v>
      </c>
      <c r="E561" s="2275" t="str">
        <f t="shared" si="46"/>
        <v>LG</v>
      </c>
      <c r="F561" s="55">
        <v>2000</v>
      </c>
      <c r="J561" s="55" t="str">
        <f t="shared" si="45"/>
        <v>LGIA</v>
      </c>
    </row>
    <row r="562" spans="1:10" hidden="1">
      <c r="A562" s="79" t="s">
        <v>2132</v>
      </c>
      <c r="B562" s="1779" t="s">
        <v>1460</v>
      </c>
      <c r="C562" s="81" t="s">
        <v>3095</v>
      </c>
      <c r="D562" s="80" t="s">
        <v>2448</v>
      </c>
      <c r="E562" s="2275" t="str">
        <f t="shared" si="46"/>
        <v>la</v>
      </c>
      <c r="F562" s="55">
        <v>2000</v>
      </c>
      <c r="J562" s="55" t="str">
        <f t="shared" si="45"/>
        <v>lapkep</v>
      </c>
    </row>
    <row r="563" spans="1:10" hidden="1">
      <c r="A563" s="79" t="s">
        <v>1105</v>
      </c>
      <c r="B563" s="84" t="s">
        <v>85</v>
      </c>
      <c r="C563" s="79" t="s">
        <v>3096</v>
      </c>
      <c r="D563" s="80" t="s">
        <v>3027</v>
      </c>
      <c r="E563" s="2275" t="str">
        <f t="shared" si="46"/>
        <v>LG</v>
      </c>
      <c r="F563" s="55">
        <v>2000</v>
      </c>
      <c r="J563" s="55" t="str">
        <f t="shared" si="45"/>
        <v>LGACH</v>
      </c>
    </row>
    <row r="564" spans="1:10" hidden="1">
      <c r="A564" s="79" t="s">
        <v>662</v>
      </c>
      <c r="B564" s="84"/>
      <c r="C564" s="79" t="s">
        <v>3097</v>
      </c>
      <c r="D564" s="80" t="s">
        <v>858</v>
      </c>
      <c r="E564" s="2275" t="str">
        <f t="shared" si="46"/>
        <v>LN</v>
      </c>
      <c r="F564" s="55">
        <v>2000</v>
      </c>
      <c r="J564" s="55" t="str">
        <f t="shared" si="45"/>
        <v>LNLON</v>
      </c>
    </row>
    <row r="565" spans="1:10" hidden="1">
      <c r="A565" s="79" t="s">
        <v>624</v>
      </c>
      <c r="B565" s="84" t="s">
        <v>220</v>
      </c>
      <c r="C565" s="79" t="s">
        <v>3098</v>
      </c>
      <c r="D565" s="80" t="s">
        <v>2566</v>
      </c>
      <c r="E565" s="2275" t="str">
        <f t="shared" si="46"/>
        <v>M1</v>
      </c>
      <c r="F565" s="55">
        <v>2000</v>
      </c>
      <c r="J565" s="55" t="str">
        <f t="shared" si="45"/>
        <v>M15</v>
      </c>
    </row>
    <row r="566" spans="1:10" hidden="1">
      <c r="A566" s="79" t="s">
        <v>1050</v>
      </c>
      <c r="B566" s="84" t="s">
        <v>1563</v>
      </c>
      <c r="C566" s="79" t="s">
        <v>3099</v>
      </c>
      <c r="D566" s="80" t="s">
        <v>2566</v>
      </c>
      <c r="E566" s="2275" t="str">
        <f t="shared" si="46"/>
        <v>MD</v>
      </c>
      <c r="F566" s="55">
        <v>2000</v>
      </c>
      <c r="J566" s="55" t="str">
        <f t="shared" si="45"/>
        <v>MD25</v>
      </c>
    </row>
    <row r="567" spans="1:10" hidden="1">
      <c r="A567" s="79" t="s">
        <v>980</v>
      </c>
      <c r="B567" s="84" t="s">
        <v>1564</v>
      </c>
      <c r="C567" s="79" t="s">
        <v>3100</v>
      </c>
      <c r="D567" s="80" t="s">
        <v>2601</v>
      </c>
      <c r="E567" s="2275" t="str">
        <f t="shared" si="46"/>
        <v>DC</v>
      </c>
      <c r="F567" s="55">
        <v>2000</v>
      </c>
      <c r="J567" s="55" t="str">
        <f t="shared" si="45"/>
        <v>DCT25</v>
      </c>
    </row>
    <row r="568" spans="1:10" hidden="1">
      <c r="A568" s="79" t="s">
        <v>993</v>
      </c>
      <c r="B568" s="84" t="s">
        <v>1564</v>
      </c>
      <c r="C568" s="79" t="s">
        <v>3101</v>
      </c>
      <c r="D568" s="80" t="s">
        <v>2601</v>
      </c>
      <c r="E568" s="2275" t="str">
        <f t="shared" si="46"/>
        <v>DC</v>
      </c>
      <c r="F568" s="55">
        <v>2000</v>
      </c>
      <c r="J568" s="55" t="str">
        <f t="shared" si="45"/>
        <v>DCT30</v>
      </c>
    </row>
    <row r="569" spans="1:10" hidden="1">
      <c r="A569" s="79" t="s">
        <v>445</v>
      </c>
      <c r="B569" s="84" t="s">
        <v>1564</v>
      </c>
      <c r="C569" s="79" t="s">
        <v>3102</v>
      </c>
      <c r="D569" s="80" t="s">
        <v>2601</v>
      </c>
      <c r="E569" s="2275" t="str">
        <f t="shared" si="46"/>
        <v>DC</v>
      </c>
      <c r="F569" s="55">
        <v>2000</v>
      </c>
      <c r="J569" s="55" t="str">
        <f t="shared" si="45"/>
        <v>DCT50</v>
      </c>
    </row>
    <row r="570" spans="1:10" hidden="1">
      <c r="A570" s="79" t="s">
        <v>152</v>
      </c>
      <c r="B570" s="84" t="s">
        <v>153</v>
      </c>
      <c r="C570" s="79" t="s">
        <v>3103</v>
      </c>
      <c r="D570" s="80" t="s">
        <v>1966</v>
      </c>
      <c r="E570" s="2275" t="str">
        <f t="shared" si="46"/>
        <v>QB</v>
      </c>
      <c r="F570" s="55">
        <v>2000</v>
      </c>
      <c r="J570" s="55" t="str">
        <f t="shared" si="45"/>
        <v>QBT</v>
      </c>
    </row>
    <row r="571" spans="1:10" hidden="1">
      <c r="A571" s="79" t="s">
        <v>37</v>
      </c>
      <c r="B571" s="84" t="s">
        <v>556</v>
      </c>
      <c r="C571" s="79" t="s">
        <v>2594</v>
      </c>
      <c r="D571" s="80" t="s">
        <v>2451</v>
      </c>
      <c r="E571" s="2275" t="str">
        <f t="shared" si="46"/>
        <v>VC</v>
      </c>
      <c r="F571" s="55">
        <v>2000</v>
      </c>
      <c r="J571" s="55" t="str">
        <f t="shared" si="45"/>
        <v>VCDA1</v>
      </c>
    </row>
    <row r="572" spans="1:10" hidden="1">
      <c r="A572" s="79" t="s">
        <v>1826</v>
      </c>
      <c r="B572" s="84" t="s">
        <v>1827</v>
      </c>
      <c r="C572" s="79" t="s">
        <v>3104</v>
      </c>
      <c r="D572" s="80" t="s">
        <v>2451</v>
      </c>
      <c r="E572" s="2275" t="str">
        <f t="shared" si="46"/>
        <v>VC</v>
      </c>
      <c r="F572" s="55">
        <v>2000</v>
      </c>
      <c r="J572" s="55" t="str">
        <f t="shared" si="45"/>
        <v>VCDA2</v>
      </c>
    </row>
    <row r="573" spans="1:10" hidden="1">
      <c r="A573" s="79" t="s">
        <v>192</v>
      </c>
      <c r="B573" s="84" t="s">
        <v>193</v>
      </c>
      <c r="C573" s="79" t="s">
        <v>3105</v>
      </c>
      <c r="D573" s="80" t="s">
        <v>2451</v>
      </c>
      <c r="E573" s="2275" t="str">
        <f t="shared" si="46"/>
        <v>VC</v>
      </c>
      <c r="F573" s="55">
        <v>2000</v>
      </c>
      <c r="J573" s="55" t="str">
        <f t="shared" si="45"/>
        <v>VCDA3</v>
      </c>
    </row>
    <row r="574" spans="1:10" hidden="1">
      <c r="A574" s="79" t="s">
        <v>343</v>
      </c>
      <c r="B574" s="84" t="s">
        <v>1097</v>
      </c>
      <c r="C574" s="79" t="s">
        <v>3106</v>
      </c>
      <c r="D574" s="80" t="s">
        <v>2451</v>
      </c>
      <c r="E574" s="2275" t="str">
        <f t="shared" si="46"/>
        <v>VC</v>
      </c>
      <c r="F574" s="55">
        <v>2000</v>
      </c>
      <c r="J574" s="55" t="str">
        <f t="shared" si="45"/>
        <v>VCDA4</v>
      </c>
    </row>
    <row r="575" spans="1:10" hidden="1">
      <c r="A575" s="79" t="s">
        <v>1636</v>
      </c>
      <c r="B575" s="84" t="s">
        <v>556</v>
      </c>
      <c r="C575" s="79" t="s">
        <v>2596</v>
      </c>
      <c r="D575" s="80" t="s">
        <v>2451</v>
      </c>
      <c r="E575" s="2275" t="str">
        <f t="shared" si="46"/>
        <v>VC</v>
      </c>
      <c r="F575" s="55">
        <v>2000</v>
      </c>
      <c r="J575" s="55" t="str">
        <f t="shared" si="45"/>
        <v>VCDN1</v>
      </c>
    </row>
    <row r="576" spans="1:10" hidden="1">
      <c r="A576" s="79" t="s">
        <v>263</v>
      </c>
      <c r="B576" s="84" t="s">
        <v>1827</v>
      </c>
      <c r="C576" s="79" t="s">
        <v>3107</v>
      </c>
      <c r="D576" s="80" t="s">
        <v>2451</v>
      </c>
      <c r="E576" s="2275" t="str">
        <f t="shared" si="46"/>
        <v>VC</v>
      </c>
      <c r="F576" s="55">
        <v>2000</v>
      </c>
      <c r="J576" s="55" t="str">
        <f t="shared" si="45"/>
        <v>VCDN2</v>
      </c>
    </row>
    <row r="577" spans="1:10" hidden="1">
      <c r="A577" s="79" t="s">
        <v>1478</v>
      </c>
      <c r="B577" s="84" t="s">
        <v>193</v>
      </c>
      <c r="C577" s="79" t="s">
        <v>3108</v>
      </c>
      <c r="D577" s="80" t="s">
        <v>2451</v>
      </c>
      <c r="E577" s="2275" t="str">
        <f t="shared" si="46"/>
        <v>VC</v>
      </c>
      <c r="F577" s="55">
        <v>2000</v>
      </c>
      <c r="J577" s="55" t="str">
        <f t="shared" si="45"/>
        <v>VCDN3</v>
      </c>
    </row>
    <row r="578" spans="1:10" hidden="1">
      <c r="A578" s="79" t="s">
        <v>1672</v>
      </c>
      <c r="B578" s="84" t="s">
        <v>1097</v>
      </c>
      <c r="C578" s="79" t="s">
        <v>3109</v>
      </c>
      <c r="D578" s="80" t="s">
        <v>2451</v>
      </c>
      <c r="E578" s="2275" t="str">
        <f t="shared" si="46"/>
        <v>VC</v>
      </c>
      <c r="F578" s="55">
        <v>2000</v>
      </c>
      <c r="J578" s="55" t="str">
        <f t="shared" si="45"/>
        <v>VCDN4</v>
      </c>
    </row>
    <row r="579" spans="1:10" hidden="1">
      <c r="A579" s="79" t="s">
        <v>1713</v>
      </c>
      <c r="B579" s="84" t="s">
        <v>1135</v>
      </c>
      <c r="C579" s="79" t="s">
        <v>2597</v>
      </c>
      <c r="D579" s="80" t="s">
        <v>2451</v>
      </c>
      <c r="E579" s="2275" t="str">
        <f t="shared" si="46"/>
        <v>VC</v>
      </c>
      <c r="F579" s="55">
        <v>2000</v>
      </c>
      <c r="J579" s="55" t="str">
        <f t="shared" si="45"/>
        <v>VCNX1</v>
      </c>
    </row>
    <row r="580" spans="1:10" hidden="1">
      <c r="A580" s="79" t="s">
        <v>1127</v>
      </c>
      <c r="B580" s="84" t="s">
        <v>27</v>
      </c>
      <c r="C580" s="79" t="s">
        <v>3110</v>
      </c>
      <c r="D580" s="80" t="s">
        <v>2451</v>
      </c>
      <c r="E580" s="2275" t="str">
        <f t="shared" si="46"/>
        <v>VC</v>
      </c>
      <c r="F580" s="55">
        <v>2000</v>
      </c>
      <c r="J580" s="55" t="str">
        <f t="shared" si="45"/>
        <v>VCNX2</v>
      </c>
    </row>
    <row r="581" spans="1:10" hidden="1">
      <c r="A581" s="79" t="s">
        <v>1128</v>
      </c>
      <c r="B581" s="84" t="s">
        <v>1678</v>
      </c>
      <c r="C581" s="79" t="s">
        <v>3111</v>
      </c>
      <c r="D581" s="80" t="s">
        <v>2451</v>
      </c>
      <c r="E581" s="2275" t="str">
        <f t="shared" si="46"/>
        <v>VC</v>
      </c>
      <c r="F581" s="55">
        <v>2000</v>
      </c>
      <c r="J581" s="55" t="str">
        <f t="shared" si="45"/>
        <v>VCNX3</v>
      </c>
    </row>
    <row r="582" spans="1:10" hidden="1">
      <c r="A582" s="79" t="s">
        <v>1129</v>
      </c>
      <c r="B582" s="84" t="s">
        <v>141</v>
      </c>
      <c r="C582" s="79" t="s">
        <v>3112</v>
      </c>
      <c r="D582" s="80" t="s">
        <v>2451</v>
      </c>
      <c r="E582" s="2275" t="str">
        <f t="shared" si="46"/>
        <v>VC</v>
      </c>
      <c r="F582" s="55">
        <v>2000</v>
      </c>
      <c r="J582" s="55" t="str">
        <f t="shared" si="45"/>
        <v>VCNX4</v>
      </c>
    </row>
    <row r="583" spans="1:10" hidden="1">
      <c r="A583" s="79" t="s">
        <v>1588</v>
      </c>
      <c r="B583" s="84" t="s">
        <v>2244</v>
      </c>
      <c r="C583" s="79" t="s">
        <v>2598</v>
      </c>
      <c r="D583" s="80" t="s">
        <v>2451</v>
      </c>
      <c r="E583" s="2275" t="str">
        <f t="shared" si="46"/>
        <v>VC</v>
      </c>
      <c r="F583" s="55">
        <v>2000</v>
      </c>
      <c r="J583" s="55" t="str">
        <f t="shared" si="45"/>
        <v>VCC1</v>
      </c>
    </row>
    <row r="584" spans="1:10" hidden="1">
      <c r="A584" s="79" t="s">
        <v>2245</v>
      </c>
      <c r="B584" s="84" t="s">
        <v>2246</v>
      </c>
      <c r="C584" s="79" t="s">
        <v>3113</v>
      </c>
      <c r="D584" s="80" t="s">
        <v>2451</v>
      </c>
      <c r="E584" s="2275" t="str">
        <f t="shared" si="46"/>
        <v>VC</v>
      </c>
      <c r="F584" s="55">
        <v>2000</v>
      </c>
      <c r="J584" s="55" t="str">
        <f t="shared" si="45"/>
        <v>VCC2</v>
      </c>
    </row>
    <row r="585" spans="1:10" hidden="1">
      <c r="A585" s="79" t="s">
        <v>567</v>
      </c>
      <c r="B585" s="84" t="s">
        <v>568</v>
      </c>
      <c r="C585" s="79" t="s">
        <v>3114</v>
      </c>
      <c r="D585" s="80" t="s">
        <v>2451</v>
      </c>
      <c r="E585" s="2275" t="str">
        <f t="shared" si="46"/>
        <v>VC</v>
      </c>
      <c r="F585" s="55">
        <v>2000</v>
      </c>
      <c r="J585" s="55" t="str">
        <f t="shared" si="45"/>
        <v>VCC3</v>
      </c>
    </row>
    <row r="586" spans="1:10" hidden="1">
      <c r="A586" s="79" t="s">
        <v>1648</v>
      </c>
      <c r="B586" s="84" t="s">
        <v>2248</v>
      </c>
      <c r="C586" s="79" t="s">
        <v>3115</v>
      </c>
      <c r="D586" s="80" t="s">
        <v>2451</v>
      </c>
      <c r="E586" s="2275" t="str">
        <f t="shared" si="46"/>
        <v>VC</v>
      </c>
      <c r="F586" s="55">
        <v>2000</v>
      </c>
      <c r="J586" s="55" t="str">
        <f t="shared" ref="J586:J649" si="47">A586</f>
        <v>VCC4</v>
      </c>
    </row>
    <row r="587" spans="1:10" hidden="1">
      <c r="A587" s="79" t="s">
        <v>1134</v>
      </c>
      <c r="B587" s="84" t="s">
        <v>1135</v>
      </c>
      <c r="C587" s="79" t="s">
        <v>2599</v>
      </c>
      <c r="D587" s="80" t="s">
        <v>2451</v>
      </c>
      <c r="E587" s="2275" t="str">
        <f t="shared" si="46"/>
        <v>VC</v>
      </c>
      <c r="F587" s="55">
        <v>2000</v>
      </c>
      <c r="J587" s="55" t="str">
        <f t="shared" si="47"/>
        <v>VCPK1</v>
      </c>
    </row>
    <row r="588" spans="1:10" hidden="1">
      <c r="A588" s="79" t="s">
        <v>1136</v>
      </c>
      <c r="B588" s="84" t="s">
        <v>27</v>
      </c>
      <c r="C588" s="79" t="s">
        <v>3116</v>
      </c>
      <c r="D588" s="80" t="s">
        <v>2451</v>
      </c>
      <c r="E588" s="2275" t="str">
        <f t="shared" si="46"/>
        <v>VC</v>
      </c>
      <c r="F588" s="55">
        <v>2000</v>
      </c>
      <c r="J588" s="55" t="str">
        <f t="shared" si="47"/>
        <v>VCPK2</v>
      </c>
    </row>
    <row r="589" spans="1:10" hidden="1">
      <c r="A589" s="79" t="s">
        <v>1677</v>
      </c>
      <c r="B589" s="84" t="s">
        <v>1678</v>
      </c>
      <c r="C589" s="79" t="s">
        <v>3117</v>
      </c>
      <c r="D589" s="80" t="s">
        <v>2451</v>
      </c>
      <c r="E589" s="2275" t="str">
        <f t="shared" si="46"/>
        <v>VC</v>
      </c>
      <c r="F589" s="55">
        <v>2000</v>
      </c>
      <c r="J589" s="55" t="str">
        <f t="shared" si="47"/>
        <v>VCPK3</v>
      </c>
    </row>
    <row r="590" spans="1:10" hidden="1">
      <c r="A590" s="79" t="s">
        <v>1409</v>
      </c>
      <c r="B590" s="84" t="s">
        <v>141</v>
      </c>
      <c r="C590" s="79" t="s">
        <v>3118</v>
      </c>
      <c r="D590" s="80" t="s">
        <v>2451</v>
      </c>
      <c r="E590" s="2275" t="str">
        <f t="shared" si="46"/>
        <v>VC</v>
      </c>
      <c r="F590" s="55">
        <v>2000</v>
      </c>
      <c r="J590" s="55" t="str">
        <f t="shared" si="47"/>
        <v>VCPK4</v>
      </c>
    </row>
    <row r="591" spans="1:10" hidden="1">
      <c r="A591" s="79" t="s">
        <v>1835</v>
      </c>
      <c r="B591" s="84" t="s">
        <v>1211</v>
      </c>
      <c r="C591" s="79" t="s">
        <v>2595</v>
      </c>
      <c r="D591" s="80" t="s">
        <v>2451</v>
      </c>
      <c r="E591" s="2275" t="str">
        <f t="shared" si="46"/>
        <v>VC</v>
      </c>
      <c r="F591" s="55">
        <v>2000</v>
      </c>
      <c r="J591" s="55" t="str">
        <f t="shared" si="47"/>
        <v>VCTD1</v>
      </c>
    </row>
    <row r="592" spans="1:10" hidden="1">
      <c r="A592" s="79" t="s">
        <v>117</v>
      </c>
      <c r="B592" s="84" t="s">
        <v>1543</v>
      </c>
      <c r="C592" s="79" t="s">
        <v>3119</v>
      </c>
      <c r="D592" s="80" t="s">
        <v>2451</v>
      </c>
      <c r="E592" s="2275" t="str">
        <f t="shared" si="46"/>
        <v>VC</v>
      </c>
      <c r="F592" s="55">
        <v>2000</v>
      </c>
      <c r="J592" s="55" t="str">
        <f t="shared" si="47"/>
        <v>VCTD2</v>
      </c>
    </row>
    <row r="593" spans="1:10" hidden="1">
      <c r="A593" s="79" t="s">
        <v>966</v>
      </c>
      <c r="B593" s="84" t="s">
        <v>1549</v>
      </c>
      <c r="C593" s="79" t="s">
        <v>3120</v>
      </c>
      <c r="D593" s="80" t="s">
        <v>2451</v>
      </c>
      <c r="E593" s="2275" t="str">
        <f t="shared" si="46"/>
        <v>VC</v>
      </c>
      <c r="F593" s="55">
        <v>2000</v>
      </c>
      <c r="J593" s="55" t="str">
        <f t="shared" si="47"/>
        <v>VCTD3</v>
      </c>
    </row>
    <row r="594" spans="1:10" hidden="1">
      <c r="A594" s="79" t="s">
        <v>1960</v>
      </c>
      <c r="B594" s="84" t="s">
        <v>1551</v>
      </c>
      <c r="C594" s="79" t="s">
        <v>3121</v>
      </c>
      <c r="D594" s="80" t="s">
        <v>2451</v>
      </c>
      <c r="E594" s="2275" t="str">
        <f t="shared" si="46"/>
        <v>VC</v>
      </c>
      <c r="F594" s="55">
        <v>2000</v>
      </c>
      <c r="J594" s="55" t="str">
        <f t="shared" si="47"/>
        <v>VCTD4</v>
      </c>
    </row>
    <row r="595" spans="1:10" hidden="1">
      <c r="A595" s="79" t="s">
        <v>1198</v>
      </c>
      <c r="B595" s="84" t="s">
        <v>1199</v>
      </c>
      <c r="C595" s="79" t="s">
        <v>2602</v>
      </c>
      <c r="D595" s="80" t="s">
        <v>2451</v>
      </c>
      <c r="E595" s="2275" t="str">
        <f t="shared" si="46"/>
        <v>VC</v>
      </c>
      <c r="F595" s="55">
        <v>2000</v>
      </c>
      <c r="J595" s="55" t="str">
        <f t="shared" si="47"/>
        <v>VCD1</v>
      </c>
    </row>
    <row r="596" spans="1:10" hidden="1">
      <c r="A596" s="79" t="s">
        <v>2124</v>
      </c>
      <c r="B596" s="84" t="s">
        <v>2045</v>
      </c>
      <c r="C596" s="79" t="s">
        <v>3122</v>
      </c>
      <c r="D596" s="80" t="s">
        <v>2451</v>
      </c>
      <c r="E596" s="2275" t="str">
        <f t="shared" si="46"/>
        <v>VC</v>
      </c>
      <c r="F596" s="55">
        <v>2000</v>
      </c>
      <c r="J596" s="55" t="str">
        <f t="shared" si="47"/>
        <v>VCD2</v>
      </c>
    </row>
    <row r="597" spans="1:10" hidden="1">
      <c r="A597" s="79" t="s">
        <v>315</v>
      </c>
      <c r="B597" s="84" t="s">
        <v>316</v>
      </c>
      <c r="C597" s="79" t="s">
        <v>3123</v>
      </c>
      <c r="D597" s="80" t="s">
        <v>2451</v>
      </c>
      <c r="E597" s="2275" t="str">
        <f t="shared" si="46"/>
        <v>VC</v>
      </c>
      <c r="F597" s="55">
        <v>2000</v>
      </c>
      <c r="J597" s="55" t="str">
        <f t="shared" si="47"/>
        <v>VCD3</v>
      </c>
    </row>
    <row r="598" spans="1:10" hidden="1">
      <c r="A598" s="79" t="s">
        <v>1546</v>
      </c>
      <c r="B598" s="84" t="s">
        <v>1547</v>
      </c>
      <c r="C598" s="79" t="s">
        <v>3124</v>
      </c>
      <c r="D598" s="80" t="s">
        <v>2451</v>
      </c>
      <c r="E598" s="2275" t="str">
        <f t="shared" si="46"/>
        <v>VC</v>
      </c>
      <c r="F598" s="55">
        <v>2000</v>
      </c>
      <c r="J598" s="55" t="str">
        <f t="shared" si="47"/>
        <v>VCD4</v>
      </c>
    </row>
    <row r="599" spans="1:10" hidden="1">
      <c r="A599" s="79" t="s">
        <v>1910</v>
      </c>
      <c r="B599" s="84" t="s">
        <v>75</v>
      </c>
      <c r="C599" s="79" t="s">
        <v>3125</v>
      </c>
      <c r="D599" s="80" t="s">
        <v>2451</v>
      </c>
      <c r="E599" s="2275" t="str">
        <f t="shared" si="46"/>
        <v>VC</v>
      </c>
      <c r="F599" s="55">
        <v>2000</v>
      </c>
      <c r="J599" s="55" t="str">
        <f t="shared" si="47"/>
        <v>VCS1</v>
      </c>
    </row>
    <row r="600" spans="1:10" hidden="1">
      <c r="A600" s="79" t="s">
        <v>76</v>
      </c>
      <c r="B600" s="84" t="s">
        <v>77</v>
      </c>
      <c r="C600" s="79" t="s">
        <v>3126</v>
      </c>
      <c r="D600" s="80" t="s">
        <v>2451</v>
      </c>
      <c r="E600" s="2275" t="str">
        <f t="shared" si="46"/>
        <v>VC</v>
      </c>
      <c r="F600" s="55">
        <v>2000</v>
      </c>
      <c r="J600" s="55" t="str">
        <f t="shared" si="47"/>
        <v>VCS2</v>
      </c>
    </row>
    <row r="601" spans="1:10" hidden="1">
      <c r="A601" s="79" t="s">
        <v>2083</v>
      </c>
      <c r="B601" s="84" t="s">
        <v>2084</v>
      </c>
      <c r="C601" s="79" t="s">
        <v>3127</v>
      </c>
      <c r="D601" s="80" t="s">
        <v>2451</v>
      </c>
      <c r="E601" s="2275" t="str">
        <f t="shared" si="46"/>
        <v>VC</v>
      </c>
      <c r="F601" s="55">
        <v>2000</v>
      </c>
      <c r="J601" s="55" t="str">
        <f t="shared" si="47"/>
        <v>VCS3</v>
      </c>
    </row>
    <row r="602" spans="1:10" hidden="1">
      <c r="A602" s="79" t="s">
        <v>946</v>
      </c>
      <c r="B602" s="84" t="s">
        <v>1610</v>
      </c>
      <c r="C602" s="79" t="s">
        <v>3128</v>
      </c>
      <c r="D602" s="80" t="s">
        <v>2451</v>
      </c>
      <c r="E602" s="2275" t="str">
        <f t="shared" si="46"/>
        <v>VC</v>
      </c>
      <c r="F602" s="55">
        <v>2000</v>
      </c>
      <c r="J602" s="55" t="str">
        <f t="shared" si="47"/>
        <v>VCS4</v>
      </c>
    </row>
    <row r="603" spans="1:10" hidden="1">
      <c r="A603" s="79" t="s">
        <v>1611</v>
      </c>
      <c r="B603" s="84" t="s">
        <v>1612</v>
      </c>
      <c r="C603" s="79" t="s">
        <v>2452</v>
      </c>
      <c r="D603" s="80" t="s">
        <v>2451</v>
      </c>
      <c r="E603" s="2275" t="str">
        <f t="shared" si="46"/>
        <v>VC</v>
      </c>
      <c r="F603" s="55">
        <v>2000</v>
      </c>
      <c r="J603" s="55" t="str">
        <f t="shared" si="47"/>
        <v>VCX1</v>
      </c>
    </row>
    <row r="604" spans="1:10" hidden="1">
      <c r="A604" s="79" t="s">
        <v>1613</v>
      </c>
      <c r="B604" s="84" t="s">
        <v>2249</v>
      </c>
      <c r="C604" s="79" t="s">
        <v>3129</v>
      </c>
      <c r="D604" s="80" t="s">
        <v>2451</v>
      </c>
      <c r="E604" s="2275" t="str">
        <f t="shared" si="46"/>
        <v>VC</v>
      </c>
      <c r="F604" s="55">
        <v>2000</v>
      </c>
      <c r="J604" s="55" t="str">
        <f t="shared" si="47"/>
        <v>VCX2</v>
      </c>
    </row>
    <row r="605" spans="1:10" hidden="1">
      <c r="A605" s="79" t="s">
        <v>1395</v>
      </c>
      <c r="B605" s="84" t="s">
        <v>1998</v>
      </c>
      <c r="C605" s="79" t="s">
        <v>3130</v>
      </c>
      <c r="D605" s="80" t="s">
        <v>2451</v>
      </c>
      <c r="E605" s="2275" t="str">
        <f t="shared" si="46"/>
        <v>VC</v>
      </c>
      <c r="F605" s="55">
        <v>2000</v>
      </c>
      <c r="J605" s="55" t="str">
        <f t="shared" si="47"/>
        <v>VCX3</v>
      </c>
    </row>
    <row r="606" spans="1:10" hidden="1">
      <c r="A606" s="79" t="s">
        <v>1999</v>
      </c>
      <c r="B606" s="84" t="s">
        <v>2000</v>
      </c>
      <c r="C606" s="79" t="s">
        <v>3131</v>
      </c>
      <c r="D606" s="80" t="s">
        <v>2451</v>
      </c>
      <c r="E606" s="2275" t="str">
        <f t="shared" si="46"/>
        <v>VC</v>
      </c>
      <c r="F606" s="55">
        <v>2000</v>
      </c>
      <c r="J606" s="55" t="str">
        <f t="shared" si="47"/>
        <v>VCX4</v>
      </c>
    </row>
    <row r="607" spans="1:10" hidden="1">
      <c r="A607" s="79" t="s">
        <v>1987</v>
      </c>
      <c r="B607" s="84" t="s">
        <v>1697</v>
      </c>
      <c r="C607" s="79" t="s">
        <v>2453</v>
      </c>
      <c r="D607" s="80" t="s">
        <v>2451</v>
      </c>
      <c r="E607" s="2275" t="str">
        <f t="shared" si="46"/>
        <v>VC</v>
      </c>
      <c r="F607" s="55">
        <v>2000</v>
      </c>
      <c r="J607" s="55" t="str">
        <f t="shared" si="47"/>
        <v>VCDC1</v>
      </c>
    </row>
    <row r="608" spans="1:10" hidden="1">
      <c r="A608" s="79" t="s">
        <v>1534</v>
      </c>
      <c r="B608" s="84" t="s">
        <v>1535</v>
      </c>
      <c r="C608" s="79" t="s">
        <v>3132</v>
      </c>
      <c r="D608" s="80" t="s">
        <v>2451</v>
      </c>
      <c r="E608" s="2275" t="str">
        <f t="shared" ref="E608:E671" si="48">LEFT(A608,2)</f>
        <v>VC</v>
      </c>
      <c r="F608" s="55">
        <v>2000</v>
      </c>
      <c r="J608" s="55" t="str">
        <f t="shared" si="47"/>
        <v>VCDC2</v>
      </c>
    </row>
    <row r="609" spans="1:10" hidden="1">
      <c r="A609" s="79" t="s">
        <v>1536</v>
      </c>
      <c r="B609" s="84" t="s">
        <v>1537</v>
      </c>
      <c r="C609" s="79" t="s">
        <v>3133</v>
      </c>
      <c r="D609" s="80" t="s">
        <v>2451</v>
      </c>
      <c r="E609" s="2275" t="str">
        <f t="shared" si="48"/>
        <v>VC</v>
      </c>
      <c r="F609" s="55">
        <v>2000</v>
      </c>
      <c r="J609" s="55" t="str">
        <f t="shared" si="47"/>
        <v>VCDC3</v>
      </c>
    </row>
    <row r="610" spans="1:10" hidden="1">
      <c r="A610" s="79" t="s">
        <v>992</v>
      </c>
      <c r="B610" s="84" t="s">
        <v>1817</v>
      </c>
      <c r="C610" s="79" t="s">
        <v>3134</v>
      </c>
      <c r="D610" s="80" t="s">
        <v>2451</v>
      </c>
      <c r="E610" s="2275" t="str">
        <f t="shared" si="48"/>
        <v>VC</v>
      </c>
      <c r="F610" s="55">
        <v>2000</v>
      </c>
      <c r="J610" s="55" t="str">
        <f t="shared" si="47"/>
        <v>VCDC4</v>
      </c>
    </row>
    <row r="611" spans="1:10" hidden="1">
      <c r="A611" s="79" t="s">
        <v>1252</v>
      </c>
      <c r="B611" s="84" t="s">
        <v>1253</v>
      </c>
      <c r="C611" s="79" t="s">
        <v>3135</v>
      </c>
      <c r="D611" s="80" t="s">
        <v>2601</v>
      </c>
      <c r="E611" s="2275" t="str">
        <f t="shared" si="48"/>
        <v>VC</v>
      </c>
      <c r="F611" s="55">
        <v>2000</v>
      </c>
      <c r="J611" s="55" t="str">
        <f t="shared" si="47"/>
        <v>VCCT1</v>
      </c>
    </row>
    <row r="612" spans="1:10" hidden="1">
      <c r="A612" s="79" t="s">
        <v>1420</v>
      </c>
      <c r="B612" s="84" t="s">
        <v>598</v>
      </c>
      <c r="C612" s="79" t="s">
        <v>3136</v>
      </c>
      <c r="D612" s="80" t="s">
        <v>2601</v>
      </c>
      <c r="E612" s="2275" t="str">
        <f t="shared" si="48"/>
        <v>VC</v>
      </c>
      <c r="F612" s="55">
        <v>2000</v>
      </c>
      <c r="J612" s="55" t="str">
        <f t="shared" si="47"/>
        <v>VCCT2</v>
      </c>
    </row>
    <row r="613" spans="1:10" hidden="1">
      <c r="A613" s="79" t="s">
        <v>2252</v>
      </c>
      <c r="B613" s="84" t="s">
        <v>2253</v>
      </c>
      <c r="C613" s="79" t="s">
        <v>3137</v>
      </c>
      <c r="D613" s="80" t="s">
        <v>2601</v>
      </c>
      <c r="E613" s="2275" t="str">
        <f t="shared" si="48"/>
        <v>VC</v>
      </c>
      <c r="F613" s="55">
        <v>2000</v>
      </c>
      <c r="J613" s="55" t="str">
        <f t="shared" si="47"/>
        <v>VCCT3</v>
      </c>
    </row>
    <row r="614" spans="1:10" hidden="1">
      <c r="A614" s="79" t="s">
        <v>1805</v>
      </c>
      <c r="B614" s="84" t="s">
        <v>716</v>
      </c>
      <c r="C614" s="79" t="s">
        <v>3138</v>
      </c>
      <c r="D614" s="80" t="s">
        <v>2601</v>
      </c>
      <c r="E614" s="2275" t="str">
        <f t="shared" si="48"/>
        <v>VC</v>
      </c>
      <c r="F614" s="55">
        <v>2000</v>
      </c>
      <c r="J614" s="55" t="str">
        <f t="shared" si="47"/>
        <v>VCCT4</v>
      </c>
    </row>
    <row r="615" spans="1:10" hidden="1">
      <c r="A615" s="79" t="s">
        <v>717</v>
      </c>
      <c r="B615" s="84" t="s">
        <v>718</v>
      </c>
      <c r="C615" s="79" t="s">
        <v>2600</v>
      </c>
      <c r="D615" s="80" t="s">
        <v>2601</v>
      </c>
      <c r="E615" s="2275" t="str">
        <f t="shared" si="48"/>
        <v>VC</v>
      </c>
      <c r="F615" s="55">
        <v>2000</v>
      </c>
      <c r="J615" s="55" t="str">
        <f t="shared" si="47"/>
        <v>VCCT5</v>
      </c>
    </row>
    <row r="616" spans="1:10" hidden="1">
      <c r="A616" s="79" t="s">
        <v>719</v>
      </c>
      <c r="B616" s="84" t="s">
        <v>720</v>
      </c>
      <c r="C616" s="79" t="s">
        <v>3139</v>
      </c>
      <c r="D616" s="80" t="s">
        <v>2601</v>
      </c>
      <c r="E616" s="2275" t="str">
        <f t="shared" si="48"/>
        <v>VC</v>
      </c>
      <c r="F616" s="55">
        <v>2000</v>
      </c>
      <c r="J616" s="55" t="str">
        <f t="shared" si="47"/>
        <v>VCCT6</v>
      </c>
    </row>
    <row r="617" spans="1:10" hidden="1">
      <c r="A617" s="79" t="s">
        <v>1562</v>
      </c>
      <c r="B617" s="84" t="s">
        <v>1023</v>
      </c>
      <c r="C617" s="79" t="s">
        <v>3140</v>
      </c>
      <c r="D617" s="80" t="s">
        <v>2601</v>
      </c>
      <c r="E617" s="2275" t="str">
        <f t="shared" si="48"/>
        <v>VC</v>
      </c>
      <c r="F617" s="55">
        <v>2000</v>
      </c>
      <c r="J617" s="55" t="str">
        <f t="shared" si="47"/>
        <v>VCCT7</v>
      </c>
    </row>
    <row r="618" spans="1:10" hidden="1">
      <c r="A618" s="79" t="s">
        <v>1822</v>
      </c>
      <c r="B618" s="84" t="s">
        <v>1823</v>
      </c>
      <c r="C618" s="79" t="s">
        <v>3141</v>
      </c>
      <c r="D618" s="80" t="s">
        <v>2601</v>
      </c>
      <c r="E618" s="2275" t="str">
        <f t="shared" si="48"/>
        <v>VC</v>
      </c>
      <c r="F618" s="55">
        <v>2000</v>
      </c>
      <c r="J618" s="55" t="str">
        <f t="shared" si="47"/>
        <v>VCCT8</v>
      </c>
    </row>
    <row r="619" spans="1:10" hidden="1">
      <c r="A619" s="79" t="s">
        <v>495</v>
      </c>
      <c r="B619" s="84" t="s">
        <v>496</v>
      </c>
      <c r="C619" s="79" t="s">
        <v>2591</v>
      </c>
      <c r="D619" s="80" t="s">
        <v>2451</v>
      </c>
      <c r="E619" s="2275" t="str">
        <f t="shared" si="48"/>
        <v>VC</v>
      </c>
      <c r="F619" s="55">
        <v>2000</v>
      </c>
      <c r="J619" s="55" t="str">
        <f t="shared" si="47"/>
        <v>VCXM1</v>
      </c>
    </row>
    <row r="620" spans="1:10" hidden="1">
      <c r="A620" s="79" t="s">
        <v>1288</v>
      </c>
      <c r="B620" s="84" t="s">
        <v>1289</v>
      </c>
      <c r="C620" s="79" t="s">
        <v>3142</v>
      </c>
      <c r="D620" s="80" t="s">
        <v>2451</v>
      </c>
      <c r="E620" s="2275" t="str">
        <f t="shared" si="48"/>
        <v>VC</v>
      </c>
      <c r="F620" s="55">
        <v>2000</v>
      </c>
      <c r="J620" s="55" t="str">
        <f t="shared" si="47"/>
        <v>VCXM2</v>
      </c>
    </row>
    <row r="621" spans="1:10" hidden="1">
      <c r="A621" s="79" t="s">
        <v>1290</v>
      </c>
      <c r="B621" s="84" t="s">
        <v>1291</v>
      </c>
      <c r="C621" s="79" t="s">
        <v>3143</v>
      </c>
      <c r="D621" s="80" t="s">
        <v>2451</v>
      </c>
      <c r="E621" s="2275" t="str">
        <f t="shared" si="48"/>
        <v>VC</v>
      </c>
      <c r="F621" s="55">
        <v>2000</v>
      </c>
      <c r="J621" s="55" t="str">
        <f t="shared" si="47"/>
        <v>VCXM3</v>
      </c>
    </row>
    <row r="622" spans="1:10" hidden="1">
      <c r="A622" s="79" t="s">
        <v>1292</v>
      </c>
      <c r="B622" s="84" t="s">
        <v>1293</v>
      </c>
      <c r="C622" s="79" t="s">
        <v>3144</v>
      </c>
      <c r="D622" s="80" t="s">
        <v>2451</v>
      </c>
      <c r="E622" s="2275" t="str">
        <f t="shared" si="48"/>
        <v>VC</v>
      </c>
      <c r="F622" s="55">
        <v>2000</v>
      </c>
      <c r="J622" s="55" t="str">
        <f t="shared" si="47"/>
        <v>VCXM4</v>
      </c>
    </row>
    <row r="623" spans="1:10" hidden="1">
      <c r="A623" s="79" t="s">
        <v>521</v>
      </c>
      <c r="B623" s="84" t="s">
        <v>810</v>
      </c>
      <c r="C623" s="79" t="s">
        <v>2593</v>
      </c>
      <c r="D623" s="80" t="s">
        <v>858</v>
      </c>
      <c r="E623" s="2275" t="str">
        <f t="shared" si="48"/>
        <v>VC</v>
      </c>
      <c r="F623" s="55">
        <v>2000</v>
      </c>
      <c r="J623" s="55" t="str">
        <f t="shared" si="47"/>
        <v>VCLD1</v>
      </c>
    </row>
    <row r="624" spans="1:10" hidden="1">
      <c r="A624" s="79" t="s">
        <v>1972</v>
      </c>
      <c r="B624" s="84" t="s">
        <v>1973</v>
      </c>
      <c r="C624" s="79" t="s">
        <v>3145</v>
      </c>
      <c r="D624" s="80" t="s">
        <v>858</v>
      </c>
      <c r="E624" s="2275" t="str">
        <f t="shared" si="48"/>
        <v>VC</v>
      </c>
      <c r="F624" s="55">
        <v>2000</v>
      </c>
      <c r="J624" s="55" t="str">
        <f t="shared" si="47"/>
        <v>VCLD2</v>
      </c>
    </row>
    <row r="625" spans="1:10" hidden="1">
      <c r="A625" s="79" t="s">
        <v>1974</v>
      </c>
      <c r="B625" s="84" t="s">
        <v>1975</v>
      </c>
      <c r="C625" s="79" t="s">
        <v>3146</v>
      </c>
      <c r="D625" s="80" t="s">
        <v>858</v>
      </c>
      <c r="E625" s="2275" t="str">
        <f t="shared" si="48"/>
        <v>VC</v>
      </c>
      <c r="F625" s="55">
        <v>2000</v>
      </c>
      <c r="J625" s="55" t="str">
        <f t="shared" si="47"/>
        <v>VCLD3</v>
      </c>
    </row>
    <row r="626" spans="1:10" hidden="1">
      <c r="A626" s="79" t="s">
        <v>1976</v>
      </c>
      <c r="B626" s="84" t="s">
        <v>1977</v>
      </c>
      <c r="C626" s="79" t="s">
        <v>3147</v>
      </c>
      <c r="D626" s="80" t="s">
        <v>858</v>
      </c>
      <c r="E626" s="2275" t="str">
        <f t="shared" si="48"/>
        <v>VC</v>
      </c>
      <c r="F626" s="55">
        <v>2000</v>
      </c>
      <c r="J626" s="55" t="str">
        <f t="shared" si="47"/>
        <v>VCLD4</v>
      </c>
    </row>
    <row r="627" spans="1:10" hidden="1">
      <c r="A627" s="79" t="s">
        <v>43</v>
      </c>
      <c r="B627" s="84" t="s">
        <v>44</v>
      </c>
      <c r="C627" s="79" t="s">
        <v>3148</v>
      </c>
      <c r="D627" s="80" t="s">
        <v>858</v>
      </c>
      <c r="E627" s="2275" t="str">
        <f t="shared" si="48"/>
        <v>VC</v>
      </c>
      <c r="F627" s="55">
        <v>2000</v>
      </c>
      <c r="J627" s="55" t="str">
        <f t="shared" si="47"/>
        <v>VCDAT1</v>
      </c>
    </row>
    <row r="628" spans="1:10" hidden="1">
      <c r="A628" s="79" t="s">
        <v>1988</v>
      </c>
      <c r="B628" s="84" t="s">
        <v>1989</v>
      </c>
      <c r="C628" s="79" t="s">
        <v>3149</v>
      </c>
      <c r="D628" s="80" t="s">
        <v>858</v>
      </c>
      <c r="E628" s="2275" t="str">
        <f t="shared" si="48"/>
        <v>VC</v>
      </c>
      <c r="F628" s="55">
        <v>2000</v>
      </c>
      <c r="J628" s="55" t="str">
        <f t="shared" si="47"/>
        <v>VCDAT2</v>
      </c>
    </row>
    <row r="629" spans="1:10" hidden="1">
      <c r="A629" s="79" t="s">
        <v>1401</v>
      </c>
      <c r="B629" s="84" t="s">
        <v>1402</v>
      </c>
      <c r="C629" s="79" t="s">
        <v>3150</v>
      </c>
      <c r="D629" s="80" t="s">
        <v>858</v>
      </c>
      <c r="E629" s="2275" t="str">
        <f t="shared" si="48"/>
        <v>VC</v>
      </c>
      <c r="F629" s="55">
        <v>2000</v>
      </c>
      <c r="J629" s="55" t="str">
        <f t="shared" si="47"/>
        <v>VCDAT3</v>
      </c>
    </row>
    <row r="630" spans="1:10" hidden="1">
      <c r="A630" s="79" t="s">
        <v>1776</v>
      </c>
      <c r="B630" s="84" t="s">
        <v>2009</v>
      </c>
      <c r="C630" s="79" t="s">
        <v>3151</v>
      </c>
      <c r="D630" s="80" t="s">
        <v>858</v>
      </c>
      <c r="E630" s="2275" t="str">
        <f t="shared" si="48"/>
        <v>VC</v>
      </c>
      <c r="F630" s="55">
        <v>2000</v>
      </c>
      <c r="J630" s="55" t="str">
        <f t="shared" si="47"/>
        <v>VCDAT4</v>
      </c>
    </row>
    <row r="631" spans="1:10" hidden="1">
      <c r="A631" s="79" t="s">
        <v>2010</v>
      </c>
      <c r="B631" s="84" t="s">
        <v>2011</v>
      </c>
      <c r="C631" s="79" t="s">
        <v>3152</v>
      </c>
      <c r="D631" s="80" t="s">
        <v>858</v>
      </c>
      <c r="E631" s="2275" t="str">
        <f t="shared" si="48"/>
        <v>VC</v>
      </c>
      <c r="F631" s="55">
        <v>2000</v>
      </c>
      <c r="J631" s="55" t="str">
        <f t="shared" si="47"/>
        <v>VCCAT1D</v>
      </c>
    </row>
    <row r="632" spans="1:10" hidden="1">
      <c r="A632" s="79" t="s">
        <v>45</v>
      </c>
      <c r="B632" s="84" t="s">
        <v>46</v>
      </c>
      <c r="C632" s="79" t="s">
        <v>3153</v>
      </c>
      <c r="D632" s="80" t="s">
        <v>858</v>
      </c>
      <c r="E632" s="2275" t="str">
        <f t="shared" si="48"/>
        <v>VC</v>
      </c>
      <c r="F632" s="55">
        <v>2000</v>
      </c>
      <c r="J632" s="55" t="str">
        <f t="shared" si="47"/>
        <v>VCCAT2d</v>
      </c>
    </row>
    <row r="633" spans="1:10" hidden="1">
      <c r="A633" s="79" t="s">
        <v>1709</v>
      </c>
      <c r="B633" s="84" t="s">
        <v>1710</v>
      </c>
      <c r="C633" s="79" t="s">
        <v>3154</v>
      </c>
      <c r="D633" s="80" t="s">
        <v>858</v>
      </c>
      <c r="E633" s="2275" t="str">
        <f t="shared" si="48"/>
        <v>VC</v>
      </c>
      <c r="F633" s="55">
        <v>2000</v>
      </c>
      <c r="J633" s="55" t="str">
        <f t="shared" si="47"/>
        <v>VCCAT3d</v>
      </c>
    </row>
    <row r="634" spans="1:10" hidden="1">
      <c r="A634" s="79" t="s">
        <v>1711</v>
      </c>
      <c r="B634" s="84" t="s">
        <v>1712</v>
      </c>
      <c r="C634" s="79" t="s">
        <v>3155</v>
      </c>
      <c r="D634" s="80" t="s">
        <v>858</v>
      </c>
      <c r="E634" s="2275" t="str">
        <f t="shared" si="48"/>
        <v>VC</v>
      </c>
      <c r="F634" s="55">
        <v>2000</v>
      </c>
      <c r="J634" s="55" t="str">
        <f t="shared" si="47"/>
        <v>VCCAT4d</v>
      </c>
    </row>
    <row r="635" spans="1:10" hidden="1">
      <c r="A635" s="79" t="s">
        <v>1616</v>
      </c>
      <c r="B635" s="84" t="s">
        <v>1119</v>
      </c>
      <c r="C635" s="79" t="s">
        <v>2592</v>
      </c>
      <c r="D635" s="80" t="s">
        <v>858</v>
      </c>
      <c r="E635" s="2275" t="str">
        <f t="shared" si="48"/>
        <v>VC</v>
      </c>
      <c r="F635" s="55">
        <v>2000</v>
      </c>
      <c r="J635" s="55" t="str">
        <f t="shared" si="47"/>
        <v>VCCAT1</v>
      </c>
    </row>
    <row r="636" spans="1:10" hidden="1">
      <c r="A636" s="79" t="s">
        <v>802</v>
      </c>
      <c r="B636" s="84" t="s">
        <v>1797</v>
      </c>
      <c r="C636" s="79" t="s">
        <v>3156</v>
      </c>
      <c r="D636" s="80" t="s">
        <v>858</v>
      </c>
      <c r="E636" s="2275" t="str">
        <f t="shared" si="48"/>
        <v>VC</v>
      </c>
      <c r="F636" s="55">
        <v>2000</v>
      </c>
      <c r="J636" s="55" t="str">
        <f t="shared" si="47"/>
        <v>VCCAT2</v>
      </c>
    </row>
    <row r="637" spans="1:10" hidden="1">
      <c r="A637" s="79" t="s">
        <v>1237</v>
      </c>
      <c r="B637" s="84" t="s">
        <v>1238</v>
      </c>
      <c r="C637" s="79" t="s">
        <v>3157</v>
      </c>
      <c r="D637" s="80" t="s">
        <v>858</v>
      </c>
      <c r="E637" s="2275" t="str">
        <f t="shared" si="48"/>
        <v>VC</v>
      </c>
      <c r="F637" s="55">
        <v>2000</v>
      </c>
      <c r="J637" s="55" t="str">
        <f t="shared" si="47"/>
        <v>VCCAT3</v>
      </c>
    </row>
    <row r="638" spans="1:10" hidden="1">
      <c r="A638" s="79" t="s">
        <v>1239</v>
      </c>
      <c r="B638" s="84" t="s">
        <v>1209</v>
      </c>
      <c r="C638" s="79" t="s">
        <v>3158</v>
      </c>
      <c r="D638" s="80" t="s">
        <v>858</v>
      </c>
      <c r="E638" s="2275" t="str">
        <f t="shared" si="48"/>
        <v>VC</v>
      </c>
      <c r="F638" s="55">
        <v>2000</v>
      </c>
      <c r="J638" s="55" t="str">
        <f t="shared" si="47"/>
        <v>VCCAT4</v>
      </c>
    </row>
    <row r="639" spans="1:10" hidden="1">
      <c r="A639" s="79" t="s">
        <v>1210</v>
      </c>
      <c r="B639" s="84" t="s">
        <v>1211</v>
      </c>
      <c r="C639" s="79" t="s">
        <v>2590</v>
      </c>
      <c r="D639" s="80" t="s">
        <v>2451</v>
      </c>
      <c r="E639" s="2275" t="str">
        <f t="shared" si="48"/>
        <v>VC</v>
      </c>
      <c r="F639" s="55">
        <v>2000</v>
      </c>
      <c r="J639" s="55" t="str">
        <f t="shared" si="47"/>
        <v>VCFE1</v>
      </c>
    </row>
    <row r="640" spans="1:10" hidden="1">
      <c r="A640" s="79" t="s">
        <v>1542</v>
      </c>
      <c r="B640" s="84" t="s">
        <v>1543</v>
      </c>
      <c r="C640" s="79" t="s">
        <v>3159</v>
      </c>
      <c r="D640" s="80" t="s">
        <v>2451</v>
      </c>
      <c r="E640" s="2275" t="str">
        <f t="shared" si="48"/>
        <v>VC</v>
      </c>
      <c r="F640" s="55">
        <v>2000</v>
      </c>
      <c r="J640" s="55" t="str">
        <f t="shared" si="47"/>
        <v>VCFE2</v>
      </c>
    </row>
    <row r="641" spans="1:10" hidden="1">
      <c r="A641" s="79" t="s">
        <v>1548</v>
      </c>
      <c r="B641" s="84" t="s">
        <v>1549</v>
      </c>
      <c r="C641" s="79" t="s">
        <v>3160</v>
      </c>
      <c r="D641" s="80" t="s">
        <v>2451</v>
      </c>
      <c r="E641" s="2275" t="str">
        <f t="shared" si="48"/>
        <v>VC</v>
      </c>
      <c r="F641" s="55">
        <v>2000</v>
      </c>
      <c r="J641" s="55" t="str">
        <f t="shared" si="47"/>
        <v>VCFE3</v>
      </c>
    </row>
    <row r="642" spans="1:10" hidden="1">
      <c r="A642" s="79" t="s">
        <v>1550</v>
      </c>
      <c r="B642" s="84" t="s">
        <v>1551</v>
      </c>
      <c r="C642" s="79" t="s">
        <v>3161</v>
      </c>
      <c r="D642" s="80" t="s">
        <v>2451</v>
      </c>
      <c r="E642" s="2275" t="str">
        <f t="shared" si="48"/>
        <v>VC</v>
      </c>
      <c r="F642" s="55">
        <v>2000</v>
      </c>
      <c r="J642" s="55" t="str">
        <f t="shared" si="47"/>
        <v>VCFE4</v>
      </c>
    </row>
    <row r="643" spans="1:10" hidden="1">
      <c r="A643" s="79" t="s">
        <v>1581</v>
      </c>
      <c r="B643" s="84" t="s">
        <v>1983</v>
      </c>
      <c r="C643" s="79" t="s">
        <v>3162</v>
      </c>
      <c r="D643" s="80" t="s">
        <v>2451</v>
      </c>
      <c r="E643" s="2275" t="str">
        <f t="shared" si="48"/>
        <v>BO</v>
      </c>
      <c r="F643" s="55">
        <v>2000</v>
      </c>
      <c r="J643" s="55" t="str">
        <f t="shared" si="47"/>
        <v>BOCDC</v>
      </c>
    </row>
    <row r="644" spans="1:10" hidden="1">
      <c r="A644" s="79" t="s">
        <v>765</v>
      </c>
      <c r="B644" s="84" t="s">
        <v>766</v>
      </c>
      <c r="C644" s="79" t="s">
        <v>3163</v>
      </c>
      <c r="D644" s="80" t="s">
        <v>2451</v>
      </c>
      <c r="E644" s="2275" t="str">
        <f t="shared" si="48"/>
        <v>BO</v>
      </c>
      <c r="F644" s="55">
        <v>2000</v>
      </c>
      <c r="J644" s="55" t="str">
        <f t="shared" si="47"/>
        <v>BOCNX</v>
      </c>
    </row>
    <row r="645" spans="1:10" hidden="1">
      <c r="A645" s="79" t="s">
        <v>1479</v>
      </c>
      <c r="B645" s="84" t="s">
        <v>1480</v>
      </c>
      <c r="C645" s="79" t="s">
        <v>3164</v>
      </c>
      <c r="D645" s="80" t="s">
        <v>2451</v>
      </c>
      <c r="E645" s="2275" t="str">
        <f t="shared" si="48"/>
        <v>BO</v>
      </c>
      <c r="F645" s="55">
        <v>2000</v>
      </c>
      <c r="J645" s="55" t="str">
        <f t="shared" si="47"/>
        <v>BOCTR</v>
      </c>
    </row>
    <row r="646" spans="1:10" hidden="1">
      <c r="A646" s="79" t="s">
        <v>217</v>
      </c>
      <c r="B646" s="84" t="s">
        <v>218</v>
      </c>
      <c r="C646" s="79" t="s">
        <v>2450</v>
      </c>
      <c r="D646" s="80" t="s">
        <v>2451</v>
      </c>
      <c r="E646" s="2275" t="str">
        <f t="shared" si="48"/>
        <v>BO</v>
      </c>
      <c r="F646" s="55">
        <v>2000</v>
      </c>
      <c r="J646" s="55" t="str">
        <f t="shared" si="47"/>
        <v>BOCX</v>
      </c>
    </row>
    <row r="647" spans="1:10" hidden="1">
      <c r="A647" s="79" t="s">
        <v>1481</v>
      </c>
      <c r="B647" s="84" t="s">
        <v>1229</v>
      </c>
      <c r="C647" s="79" t="s">
        <v>3165</v>
      </c>
      <c r="D647" s="80" t="s">
        <v>2451</v>
      </c>
      <c r="E647" s="2275" t="str">
        <f t="shared" si="48"/>
        <v>BO</v>
      </c>
      <c r="F647" s="55">
        <v>2000</v>
      </c>
      <c r="J647" s="55" t="str">
        <f t="shared" si="47"/>
        <v>BOCD</v>
      </c>
    </row>
    <row r="648" spans="1:10" hidden="1">
      <c r="A648" s="79" t="s">
        <v>2137</v>
      </c>
      <c r="B648" s="84" t="s">
        <v>1059</v>
      </c>
      <c r="C648" s="79" t="s">
        <v>3166</v>
      </c>
      <c r="D648" s="80" t="s">
        <v>2451</v>
      </c>
      <c r="E648" s="2275" t="str">
        <f t="shared" si="48"/>
        <v>BO</v>
      </c>
      <c r="F648" s="55">
        <v>2000</v>
      </c>
      <c r="J648" s="55" t="str">
        <f t="shared" si="47"/>
        <v>BOCPK</v>
      </c>
    </row>
    <row r="649" spans="1:10" hidden="1">
      <c r="A649" s="79" t="s">
        <v>815</v>
      </c>
      <c r="B649" s="84" t="s">
        <v>816</v>
      </c>
      <c r="C649" s="79" t="s">
        <v>3167</v>
      </c>
      <c r="D649" s="80" t="s">
        <v>2451</v>
      </c>
      <c r="E649" s="2275" t="str">
        <f t="shared" si="48"/>
        <v>BO</v>
      </c>
      <c r="F649" s="55">
        <v>2000</v>
      </c>
      <c r="J649" s="55" t="str">
        <f t="shared" si="47"/>
        <v>BOCS</v>
      </c>
    </row>
    <row r="650" spans="1:10" hidden="1">
      <c r="A650" s="79" t="s">
        <v>817</v>
      </c>
      <c r="B650" s="84" t="s">
        <v>317</v>
      </c>
      <c r="C650" s="79" t="s">
        <v>3168</v>
      </c>
      <c r="D650" s="80" t="s">
        <v>2451</v>
      </c>
      <c r="E650" s="2275" t="str">
        <f t="shared" si="48"/>
        <v>BO</v>
      </c>
      <c r="F650" s="55">
        <v>2000</v>
      </c>
      <c r="J650" s="55" t="str">
        <f t="shared" ref="J650:J713" si="49">A650</f>
        <v>BOCTH</v>
      </c>
    </row>
    <row r="651" spans="1:10" hidden="1">
      <c r="A651" s="79" t="s">
        <v>1298</v>
      </c>
      <c r="B651" s="84" t="s">
        <v>1299</v>
      </c>
      <c r="C651" s="79" t="s">
        <v>3169</v>
      </c>
      <c r="D651" s="80" t="s">
        <v>2451</v>
      </c>
      <c r="E651" s="2275" t="str">
        <f t="shared" si="48"/>
        <v>BO</v>
      </c>
      <c r="F651" s="55">
        <v>2000</v>
      </c>
      <c r="J651" s="55" t="str">
        <f t="shared" si="49"/>
        <v>BOCXI</v>
      </c>
    </row>
    <row r="652" spans="1:10" hidden="1">
      <c r="A652" s="79" t="s">
        <v>133</v>
      </c>
      <c r="B652" s="84" t="s">
        <v>134</v>
      </c>
      <c r="C652" s="79" t="s">
        <v>3170</v>
      </c>
      <c r="D652" s="80" t="s">
        <v>858</v>
      </c>
      <c r="E652" s="2275" t="str">
        <f t="shared" si="48"/>
        <v>BO</v>
      </c>
      <c r="F652" s="55">
        <v>2000</v>
      </c>
      <c r="J652" s="55" t="str">
        <f t="shared" si="49"/>
        <v>BOCCAT</v>
      </c>
    </row>
    <row r="653" spans="1:10" hidden="1">
      <c r="A653" s="79" t="s">
        <v>135</v>
      </c>
      <c r="B653" s="84" t="s">
        <v>725</v>
      </c>
      <c r="C653" s="79" t="s">
        <v>3171</v>
      </c>
      <c r="D653" s="80" t="s">
        <v>858</v>
      </c>
      <c r="E653" s="2275" t="str">
        <f t="shared" si="48"/>
        <v>BO</v>
      </c>
      <c r="F653" s="55">
        <v>2000</v>
      </c>
      <c r="J653" s="55" t="str">
        <f t="shared" si="49"/>
        <v>BOCDA</v>
      </c>
    </row>
    <row r="654" spans="1:10" hidden="1">
      <c r="A654" s="79" t="s">
        <v>2113</v>
      </c>
      <c r="B654" s="84" t="s">
        <v>1099</v>
      </c>
      <c r="C654" s="79" t="s">
        <v>3172</v>
      </c>
      <c r="D654" s="80" t="s">
        <v>858</v>
      </c>
      <c r="E654" s="2275" t="str">
        <f t="shared" si="48"/>
        <v>BO</v>
      </c>
      <c r="F654" s="55">
        <v>2000</v>
      </c>
      <c r="J654" s="55" t="str">
        <f t="shared" si="49"/>
        <v>BOBT</v>
      </c>
    </row>
    <row r="655" spans="1:10" hidden="1">
      <c r="A655" s="79" t="s">
        <v>1582</v>
      </c>
      <c r="B655" s="84" t="s">
        <v>726</v>
      </c>
      <c r="C655" s="79" t="s">
        <v>3173</v>
      </c>
      <c r="D655" s="80" t="s">
        <v>2601</v>
      </c>
      <c r="E655" s="2275" t="str">
        <f t="shared" si="48"/>
        <v>BO</v>
      </c>
      <c r="F655" s="55">
        <v>2000</v>
      </c>
      <c r="J655" s="55" t="str">
        <f t="shared" si="49"/>
        <v>BOCCT5</v>
      </c>
    </row>
    <row r="656" spans="1:10" hidden="1">
      <c r="A656" s="79" t="s">
        <v>1522</v>
      </c>
      <c r="B656" s="84" t="s">
        <v>266</v>
      </c>
      <c r="C656" s="79" t="s">
        <v>3174</v>
      </c>
      <c r="D656" s="80" t="s">
        <v>2541</v>
      </c>
      <c r="E656" s="2275" t="str">
        <f t="shared" si="48"/>
        <v>KT</v>
      </c>
      <c r="F656" s="55">
        <v>2000</v>
      </c>
      <c r="J656" s="55" t="str">
        <f t="shared" si="49"/>
        <v>KTD</v>
      </c>
    </row>
    <row r="657" spans="1:10" hidden="1">
      <c r="A657" s="79" t="s">
        <v>389</v>
      </c>
      <c r="B657" s="84" t="s">
        <v>1499</v>
      </c>
      <c r="C657" s="79" t="s">
        <v>3175</v>
      </c>
      <c r="D657" s="80" t="s">
        <v>2541</v>
      </c>
      <c r="E657" s="2275" t="str">
        <f t="shared" si="48"/>
        <v>KT</v>
      </c>
      <c r="F657" s="55">
        <v>2000</v>
      </c>
      <c r="J657" s="55" t="str">
        <f t="shared" si="49"/>
        <v>KTDTBA</v>
      </c>
    </row>
    <row r="658" spans="1:10" hidden="1">
      <c r="A658" s="79" t="s">
        <v>1106</v>
      </c>
      <c r="B658" s="1796" t="s">
        <v>1769</v>
      </c>
      <c r="C658" s="79" t="s">
        <v>4361</v>
      </c>
      <c r="D658" s="80" t="s">
        <v>2286</v>
      </c>
      <c r="E658" s="2275" t="str">
        <f t="shared" si="48"/>
        <v>DC</v>
      </c>
      <c r="F658" s="55">
        <v>2000</v>
      </c>
      <c r="J658" s="55" t="str">
        <f t="shared" si="49"/>
        <v>DCTD3</v>
      </c>
    </row>
    <row r="659" spans="1:10" hidden="1">
      <c r="A659" s="79" t="s">
        <v>61</v>
      </c>
      <c r="B659" s="84" t="s">
        <v>1500</v>
      </c>
      <c r="C659" s="79" t="s">
        <v>3176</v>
      </c>
      <c r="D659" s="80" t="s">
        <v>2286</v>
      </c>
      <c r="E659" s="2275" t="str">
        <f t="shared" si="48"/>
        <v>DC</v>
      </c>
      <c r="F659" s="55">
        <v>2000</v>
      </c>
      <c r="J659" s="55" t="str">
        <f t="shared" si="49"/>
        <v>DCTD4</v>
      </c>
    </row>
    <row r="660" spans="1:10" hidden="1">
      <c r="A660" s="79" t="s">
        <v>1443</v>
      </c>
      <c r="B660" s="84" t="s">
        <v>1715</v>
      </c>
      <c r="C660" s="79" t="s">
        <v>3177</v>
      </c>
      <c r="D660" s="80" t="s">
        <v>2286</v>
      </c>
      <c r="E660" s="2275" t="str">
        <f t="shared" si="48"/>
        <v>DC</v>
      </c>
      <c r="F660" s="55">
        <v>2000</v>
      </c>
      <c r="J660" s="55" t="str">
        <f t="shared" si="49"/>
        <v>DCTDTBA</v>
      </c>
    </row>
    <row r="661" spans="1:10" hidden="1">
      <c r="A661" s="79" t="s">
        <v>1501</v>
      </c>
      <c r="B661" s="84" t="s">
        <v>1502</v>
      </c>
      <c r="C661" s="79" t="s">
        <v>3178</v>
      </c>
      <c r="D661" s="80" t="s">
        <v>2842</v>
      </c>
      <c r="E661" s="2275" t="str">
        <f t="shared" si="48"/>
        <v>C8</v>
      </c>
      <c r="F661" s="55">
        <v>2000</v>
      </c>
      <c r="J661" s="55" t="str">
        <f t="shared" si="49"/>
        <v>C8</v>
      </c>
    </row>
    <row r="662" spans="1:10" hidden="1">
      <c r="A662" s="79" t="s">
        <v>1821</v>
      </c>
      <c r="B662" s="84" t="s">
        <v>392</v>
      </c>
      <c r="C662" s="79" t="s">
        <v>3179</v>
      </c>
      <c r="D662" s="80" t="s">
        <v>2842</v>
      </c>
      <c r="E662" s="2275" t="str">
        <f t="shared" si="48"/>
        <v>C1</v>
      </c>
      <c r="F662" s="55">
        <v>2000</v>
      </c>
      <c r="J662" s="55" t="str">
        <f t="shared" si="49"/>
        <v>C10</v>
      </c>
    </row>
    <row r="663" spans="1:10" hidden="1">
      <c r="A663" s="79" t="s">
        <v>456</v>
      </c>
      <c r="B663" s="84" t="s">
        <v>136</v>
      </c>
      <c r="C663" s="79" t="s">
        <v>3180</v>
      </c>
      <c r="D663" s="80" t="s">
        <v>2842</v>
      </c>
      <c r="E663" s="2275" t="str">
        <f t="shared" si="48"/>
        <v>C1</v>
      </c>
      <c r="F663" s="55">
        <v>2000</v>
      </c>
      <c r="J663" s="55" t="str">
        <f t="shared" si="49"/>
        <v>C105</v>
      </c>
    </row>
    <row r="664" spans="1:10" hidden="1">
      <c r="A664" s="79" t="s">
        <v>1619</v>
      </c>
      <c r="B664" s="84" t="s">
        <v>136</v>
      </c>
      <c r="C664" s="79" t="s">
        <v>3181</v>
      </c>
      <c r="D664" s="80" t="s">
        <v>2842</v>
      </c>
      <c r="E664" s="2275" t="str">
        <f t="shared" si="48"/>
        <v>C1</v>
      </c>
      <c r="F664" s="55">
        <v>2000</v>
      </c>
      <c r="J664" s="55" t="str">
        <f t="shared" si="49"/>
        <v>C12</v>
      </c>
    </row>
    <row r="665" spans="1:10" hidden="1">
      <c r="A665" s="1780" t="s">
        <v>1017</v>
      </c>
      <c r="B665" s="84" t="s">
        <v>684</v>
      </c>
      <c r="C665" s="79" t="s">
        <v>3182</v>
      </c>
      <c r="D665" s="80" t="s">
        <v>2842</v>
      </c>
      <c r="E665" s="2275" t="str">
        <f t="shared" si="48"/>
        <v>C1</v>
      </c>
      <c r="F665" s="55">
        <v>2000</v>
      </c>
      <c r="J665" s="55" t="str">
        <f t="shared" si="49"/>
        <v>C14</v>
      </c>
    </row>
    <row r="666" spans="1:10" hidden="1">
      <c r="A666" s="79" t="s">
        <v>2258</v>
      </c>
      <c r="B666" s="84" t="s">
        <v>2259</v>
      </c>
      <c r="C666" s="79" t="s">
        <v>3183</v>
      </c>
      <c r="D666" s="80" t="s">
        <v>2842</v>
      </c>
      <c r="E666" s="2275" t="str">
        <f t="shared" si="48"/>
        <v>C2</v>
      </c>
      <c r="F666" s="55">
        <v>2000</v>
      </c>
      <c r="J666" s="55" t="str">
        <f t="shared" si="49"/>
        <v>C20</v>
      </c>
    </row>
    <row r="667" spans="1:10" hidden="1">
      <c r="A667" s="79" t="s">
        <v>1604</v>
      </c>
      <c r="B667" s="1796" t="s">
        <v>2104</v>
      </c>
      <c r="C667" s="79" t="s">
        <v>3184</v>
      </c>
      <c r="D667" s="80" t="s">
        <v>2842</v>
      </c>
      <c r="E667" s="2275" t="str">
        <f t="shared" si="48"/>
        <v>C8</v>
      </c>
      <c r="F667" s="55">
        <v>2000</v>
      </c>
      <c r="J667" s="55" t="str">
        <f t="shared" si="49"/>
        <v>C8m</v>
      </c>
    </row>
    <row r="668" spans="1:10" hidden="1">
      <c r="A668" s="79" t="s">
        <v>2260</v>
      </c>
      <c r="B668" s="1796" t="s">
        <v>1770</v>
      </c>
      <c r="C668" s="79" t="s">
        <v>3185</v>
      </c>
      <c r="D668" s="80" t="s">
        <v>2842</v>
      </c>
      <c r="E668" s="2275" t="str">
        <f t="shared" si="48"/>
        <v>C1</v>
      </c>
      <c r="F668" s="55">
        <v>2000</v>
      </c>
      <c r="J668" s="55" t="str">
        <f t="shared" si="49"/>
        <v>C10m</v>
      </c>
    </row>
    <row r="669" spans="1:10" hidden="1">
      <c r="A669" s="79" t="s">
        <v>1617</v>
      </c>
      <c r="B669" s="1796" t="s">
        <v>1771</v>
      </c>
      <c r="C669" s="79" t="s">
        <v>3186</v>
      </c>
      <c r="D669" s="80" t="s">
        <v>2842</v>
      </c>
      <c r="E669" s="2275" t="str">
        <f t="shared" si="48"/>
        <v>C1</v>
      </c>
      <c r="F669" s="55">
        <v>2000</v>
      </c>
      <c r="J669" s="55" t="str">
        <f t="shared" si="49"/>
        <v>C105m</v>
      </c>
    </row>
    <row r="670" spans="1:10" hidden="1">
      <c r="A670" s="79" t="s">
        <v>2177</v>
      </c>
      <c r="B670" s="84" t="s">
        <v>1771</v>
      </c>
      <c r="C670" s="79" t="s">
        <v>3187</v>
      </c>
      <c r="D670" s="80" t="s">
        <v>2842</v>
      </c>
      <c r="E670" s="2275" t="str">
        <f t="shared" si="48"/>
        <v>C1</v>
      </c>
      <c r="F670" s="55">
        <v>2000</v>
      </c>
      <c r="J670" s="55" t="str">
        <f t="shared" si="49"/>
        <v>C12m</v>
      </c>
    </row>
    <row r="671" spans="1:10" hidden="1">
      <c r="A671" s="1780" t="s">
        <v>1665</v>
      </c>
      <c r="B671" s="84" t="s">
        <v>1666</v>
      </c>
      <c r="C671" s="79" t="s">
        <v>3188</v>
      </c>
      <c r="D671" s="80" t="s">
        <v>2842</v>
      </c>
      <c r="E671" s="2275" t="str">
        <f t="shared" si="48"/>
        <v>C1</v>
      </c>
      <c r="F671" s="55">
        <v>2000</v>
      </c>
      <c r="J671" s="55" t="str">
        <f t="shared" si="49"/>
        <v>C14m</v>
      </c>
    </row>
    <row r="672" spans="1:10" hidden="1">
      <c r="A672" s="79" t="s">
        <v>1667</v>
      </c>
      <c r="B672" s="84" t="s">
        <v>1668</v>
      </c>
      <c r="C672" s="79" t="s">
        <v>3189</v>
      </c>
      <c r="D672" s="80" t="s">
        <v>2842</v>
      </c>
      <c r="E672" s="2275" t="str">
        <f t="shared" ref="E672:E735" si="50">LEFT(A672,2)</f>
        <v>C2</v>
      </c>
      <c r="F672" s="55">
        <v>2000</v>
      </c>
      <c r="J672" s="55" t="str">
        <f t="shared" si="49"/>
        <v>C20m</v>
      </c>
    </row>
    <row r="673" spans="1:10" hidden="1">
      <c r="A673" s="79" t="s">
        <v>2134</v>
      </c>
      <c r="B673" s="84" t="s">
        <v>2135</v>
      </c>
      <c r="C673" s="79" t="s">
        <v>3190</v>
      </c>
      <c r="D673" s="80" t="s">
        <v>2842</v>
      </c>
      <c r="E673" s="2275" t="str">
        <f t="shared" si="50"/>
        <v>C1</v>
      </c>
      <c r="F673" s="55">
        <v>2000</v>
      </c>
      <c r="J673" s="55" t="str">
        <f t="shared" si="49"/>
        <v>C12m-TBA</v>
      </c>
    </row>
    <row r="674" spans="1:10" hidden="1">
      <c r="A674" s="79" t="s">
        <v>644</v>
      </c>
      <c r="B674" s="84" t="s">
        <v>2135</v>
      </c>
      <c r="C674" s="79" t="s">
        <v>3191</v>
      </c>
      <c r="D674" s="80" t="s">
        <v>2842</v>
      </c>
      <c r="E674" s="2275" t="str">
        <f t="shared" si="50"/>
        <v>C1</v>
      </c>
      <c r="F674" s="55">
        <v>2000</v>
      </c>
      <c r="J674" s="55" t="str">
        <f t="shared" si="49"/>
        <v>C10m-TBA</v>
      </c>
    </row>
    <row r="675" spans="1:10" hidden="1">
      <c r="A675" s="79" t="s">
        <v>2001</v>
      </c>
      <c r="B675" s="84" t="s">
        <v>4488</v>
      </c>
      <c r="C675" s="81" t="s">
        <v>3192</v>
      </c>
      <c r="D675" s="80" t="s">
        <v>2448</v>
      </c>
      <c r="E675" s="2275" t="str">
        <f t="shared" si="50"/>
        <v>LX</v>
      </c>
      <c r="F675" s="55">
        <v>2000</v>
      </c>
      <c r="J675" s="55" t="str">
        <f t="shared" si="49"/>
        <v>LXIT</v>
      </c>
    </row>
    <row r="676" spans="1:10" hidden="1">
      <c r="A676" s="79" t="s">
        <v>516</v>
      </c>
      <c r="B676" s="84" t="s">
        <v>1552</v>
      </c>
      <c r="C676" s="81" t="s">
        <v>3193</v>
      </c>
      <c r="D676" s="80" t="s">
        <v>2448</v>
      </c>
      <c r="E676" s="2275" t="str">
        <f t="shared" si="50"/>
        <v>LX</v>
      </c>
      <c r="F676" s="55">
        <v>2000</v>
      </c>
      <c r="J676" s="55" t="str">
        <f t="shared" si="49"/>
        <v>LXITL</v>
      </c>
    </row>
    <row r="677" spans="1:10" hidden="1">
      <c r="A677" s="79" t="s">
        <v>2013</v>
      </c>
      <c r="B677" s="84" t="s">
        <v>820</v>
      </c>
      <c r="C677" s="81" t="s">
        <v>3194</v>
      </c>
      <c r="D677" s="80" t="s">
        <v>2448</v>
      </c>
      <c r="E677" s="2275" t="str">
        <f t="shared" si="50"/>
        <v>LX</v>
      </c>
      <c r="F677" s="55">
        <v>2000</v>
      </c>
      <c r="J677" s="55" t="str">
        <f t="shared" si="49"/>
        <v>LXINN</v>
      </c>
    </row>
    <row r="678" spans="1:10" hidden="1">
      <c r="A678" s="79" t="s">
        <v>2004</v>
      </c>
      <c r="B678" s="84" t="s">
        <v>1553</v>
      </c>
      <c r="C678" s="81" t="s">
        <v>3195</v>
      </c>
      <c r="D678" s="80" t="s">
        <v>2448</v>
      </c>
      <c r="E678" s="2275" t="str">
        <f t="shared" si="50"/>
        <v>LX</v>
      </c>
      <c r="F678" s="55">
        <v>2000</v>
      </c>
      <c r="J678" s="55" t="str">
        <f t="shared" si="49"/>
        <v>LXIN</v>
      </c>
    </row>
    <row r="679" spans="1:10" hidden="1">
      <c r="A679" s="79" t="s">
        <v>517</v>
      </c>
      <c r="B679" s="84" t="s">
        <v>1878</v>
      </c>
      <c r="C679" s="81" t="s">
        <v>3196</v>
      </c>
      <c r="D679" s="80" t="s">
        <v>2448</v>
      </c>
      <c r="E679" s="2275" t="str">
        <f t="shared" si="50"/>
        <v>LX</v>
      </c>
      <c r="F679" s="55">
        <v>2000</v>
      </c>
      <c r="J679" s="55" t="str">
        <f t="shared" si="49"/>
        <v>LXINL</v>
      </c>
    </row>
    <row r="680" spans="1:10" hidden="1">
      <c r="A680" s="79" t="s">
        <v>1885</v>
      </c>
      <c r="B680" s="84" t="s">
        <v>1887</v>
      </c>
      <c r="C680" s="81" t="s">
        <v>3197</v>
      </c>
      <c r="D680" s="80" t="s">
        <v>2448</v>
      </c>
      <c r="E680" s="2275" t="str">
        <f t="shared" si="50"/>
        <v>LX</v>
      </c>
      <c r="F680" s="55">
        <v>2000</v>
      </c>
      <c r="J680" s="55" t="str">
        <f t="shared" si="49"/>
        <v>LXID</v>
      </c>
    </row>
    <row r="681" spans="1:10" hidden="1">
      <c r="A681" s="79" t="s">
        <v>1886</v>
      </c>
      <c r="B681" s="84" t="s">
        <v>1888</v>
      </c>
      <c r="C681" s="81" t="s">
        <v>3198</v>
      </c>
      <c r="D681" s="80" t="s">
        <v>2448</v>
      </c>
      <c r="E681" s="2275" t="str">
        <f t="shared" si="50"/>
        <v>LX</v>
      </c>
      <c r="F681" s="55">
        <v>2000</v>
      </c>
      <c r="J681" s="55" t="str">
        <f t="shared" si="49"/>
        <v>LXIDL</v>
      </c>
    </row>
    <row r="682" spans="1:10" hidden="1">
      <c r="A682" s="79" t="s">
        <v>2250</v>
      </c>
      <c r="B682" s="84" t="s">
        <v>1766</v>
      </c>
      <c r="C682" s="81" t="s">
        <v>2449</v>
      </c>
      <c r="D682" s="80" t="s">
        <v>2448</v>
      </c>
      <c r="E682" s="2275" t="str">
        <f t="shared" si="50"/>
        <v>LX</v>
      </c>
      <c r="F682" s="55">
        <v>2000</v>
      </c>
      <c r="J682" s="55" t="str">
        <f t="shared" si="49"/>
        <v>LXHN1</v>
      </c>
    </row>
    <row r="683" spans="1:10" hidden="1">
      <c r="A683" s="79" t="s">
        <v>969</v>
      </c>
      <c r="B683" s="84" t="s">
        <v>1082</v>
      </c>
      <c r="C683" s="81" t="s">
        <v>3199</v>
      </c>
      <c r="D683" s="80" t="s">
        <v>2448</v>
      </c>
      <c r="E683" s="2275" t="str">
        <f t="shared" si="50"/>
        <v>LX</v>
      </c>
      <c r="F683" s="55">
        <v>2000</v>
      </c>
      <c r="J683" s="55" t="str">
        <f t="shared" si="49"/>
        <v>LXHN2</v>
      </c>
    </row>
    <row r="684" spans="1:10" hidden="1">
      <c r="A684" s="79" t="s">
        <v>680</v>
      </c>
      <c r="B684" s="84" t="s">
        <v>1554</v>
      </c>
      <c r="C684" s="81" t="s">
        <v>3200</v>
      </c>
      <c r="D684" s="80" t="s">
        <v>2448</v>
      </c>
      <c r="E684" s="2275" t="str">
        <f t="shared" si="50"/>
        <v>LX</v>
      </c>
      <c r="F684" s="55">
        <v>2000</v>
      </c>
      <c r="J684" s="55" t="str">
        <f t="shared" si="49"/>
        <v>LXHN3</v>
      </c>
    </row>
    <row r="685" spans="1:10" hidden="1">
      <c r="A685" s="79" t="s">
        <v>1594</v>
      </c>
      <c r="B685" s="84" t="s">
        <v>1595</v>
      </c>
      <c r="C685" s="81" t="s">
        <v>3201</v>
      </c>
      <c r="D685" s="80" t="s">
        <v>2566</v>
      </c>
      <c r="E685" s="2275" t="str">
        <f t="shared" si="50"/>
        <v>LD</v>
      </c>
      <c r="F685" s="55">
        <v>2000</v>
      </c>
      <c r="J685" s="55" t="str">
        <f t="shared" si="49"/>
        <v>LDAUCAP70</v>
      </c>
    </row>
    <row r="686" spans="1:10" hidden="1">
      <c r="A686" s="79" t="s">
        <v>1593</v>
      </c>
      <c r="B686" s="84" t="s">
        <v>40</v>
      </c>
      <c r="C686" s="81" t="s">
        <v>3202</v>
      </c>
      <c r="D686" s="80" t="s">
        <v>2566</v>
      </c>
      <c r="E686" s="2275" t="str">
        <f t="shared" si="50"/>
        <v>LD</v>
      </c>
      <c r="F686" s="55">
        <v>2000</v>
      </c>
      <c r="J686" s="55" t="str">
        <f t="shared" si="49"/>
        <v>LDAUCAP120</v>
      </c>
    </row>
    <row r="687" spans="1:10" hidden="1">
      <c r="A687" s="79" t="s">
        <v>39</v>
      </c>
      <c r="B687" s="84" t="s">
        <v>944</v>
      </c>
      <c r="C687" s="81" t="s">
        <v>3203</v>
      </c>
      <c r="D687" s="80" t="s">
        <v>2566</v>
      </c>
      <c r="E687" s="2275" t="str">
        <f t="shared" si="50"/>
        <v>LD</v>
      </c>
      <c r="F687" s="55">
        <v>2000</v>
      </c>
      <c r="J687" s="55" t="str">
        <f t="shared" si="49"/>
        <v>LDAUCAP185</v>
      </c>
    </row>
    <row r="688" spans="1:10" hidden="1">
      <c r="A688" s="79" t="s">
        <v>307</v>
      </c>
      <c r="B688" s="84" t="s">
        <v>551</v>
      </c>
      <c r="C688" s="81" t="s">
        <v>3204</v>
      </c>
      <c r="D688" s="80" t="s">
        <v>2566</v>
      </c>
      <c r="E688" s="2275" t="str">
        <f t="shared" si="50"/>
        <v>LD</v>
      </c>
      <c r="F688" s="55">
        <v>2000</v>
      </c>
      <c r="J688" s="55" t="str">
        <f t="shared" si="49"/>
        <v>LDAUCAP70HT</v>
      </c>
    </row>
    <row r="689" spans="1:10" hidden="1">
      <c r="A689" s="79" t="s">
        <v>308</v>
      </c>
      <c r="B689" s="84" t="s">
        <v>1784</v>
      </c>
      <c r="C689" s="81" t="s">
        <v>3205</v>
      </c>
      <c r="D689" s="80" t="s">
        <v>2566</v>
      </c>
      <c r="E689" s="2275" t="str">
        <f t="shared" si="50"/>
        <v>LD</v>
      </c>
      <c r="F689" s="55">
        <v>2000</v>
      </c>
      <c r="J689" s="55" t="str">
        <f t="shared" si="49"/>
        <v>LDAUCAP120HT</v>
      </c>
    </row>
    <row r="690" spans="1:10" hidden="1">
      <c r="A690" s="79" t="s">
        <v>309</v>
      </c>
      <c r="B690" s="84" t="s">
        <v>148</v>
      </c>
      <c r="C690" s="81" t="s">
        <v>3206</v>
      </c>
      <c r="D690" s="80" t="s">
        <v>2566</v>
      </c>
      <c r="E690" s="2275" t="str">
        <f t="shared" si="50"/>
        <v>LD</v>
      </c>
      <c r="F690" s="55">
        <v>2000</v>
      </c>
      <c r="J690" s="55" t="str">
        <f t="shared" si="49"/>
        <v>LDAUCAP185HT</v>
      </c>
    </row>
    <row r="691" spans="1:10" hidden="1">
      <c r="A691" s="79" t="s">
        <v>681</v>
      </c>
      <c r="B691" s="84" t="s">
        <v>682</v>
      </c>
      <c r="C691" s="81" t="s">
        <v>2988</v>
      </c>
      <c r="D691" s="80" t="s">
        <v>2566</v>
      </c>
      <c r="E691" s="2275" t="str">
        <f t="shared" si="50"/>
        <v>XL</v>
      </c>
      <c r="F691" s="55">
        <v>2000</v>
      </c>
      <c r="J691" s="55" t="str">
        <f t="shared" si="49"/>
        <v>XLCD</v>
      </c>
    </row>
    <row r="692" spans="1:10" hidden="1">
      <c r="A692" s="79" t="s">
        <v>973</v>
      </c>
      <c r="B692" s="84"/>
      <c r="C692" s="81" t="s">
        <v>3207</v>
      </c>
      <c r="D692" s="80"/>
      <c r="E692" s="2275" t="str">
        <f t="shared" si="50"/>
        <v>LB</v>
      </c>
      <c r="F692" s="55">
        <v>2000</v>
      </c>
      <c r="J692" s="55" t="str">
        <f t="shared" si="49"/>
        <v>LBAKE</v>
      </c>
    </row>
    <row r="693" spans="1:10" hidden="1">
      <c r="A693" s="79" t="s">
        <v>972</v>
      </c>
      <c r="B693" s="84"/>
      <c r="C693" s="81" t="s">
        <v>3208</v>
      </c>
      <c r="D693" s="80"/>
      <c r="E693" s="2275" t="str">
        <f t="shared" si="50"/>
        <v>LC</v>
      </c>
      <c r="F693" s="55">
        <v>2000</v>
      </c>
      <c r="J693" s="55" t="str">
        <f t="shared" si="49"/>
        <v>LCHI</v>
      </c>
    </row>
    <row r="694" spans="1:10" hidden="1">
      <c r="A694" s="79" t="s">
        <v>348</v>
      </c>
      <c r="B694" s="84" t="s">
        <v>1760</v>
      </c>
      <c r="C694" s="81" t="s">
        <v>3209</v>
      </c>
      <c r="D694" s="80" t="s">
        <v>2566</v>
      </c>
      <c r="E694" s="2275" t="str">
        <f t="shared" si="50"/>
        <v>LC</v>
      </c>
      <c r="F694" s="55">
        <v>2000</v>
      </c>
      <c r="J694" s="55" t="str">
        <f t="shared" si="49"/>
        <v>LCSD</v>
      </c>
    </row>
    <row r="695" spans="1:10" hidden="1">
      <c r="A695" s="79" t="s">
        <v>1912</v>
      </c>
      <c r="B695" s="84" t="s">
        <v>1462</v>
      </c>
      <c r="C695" s="81" t="s">
        <v>3210</v>
      </c>
      <c r="D695" s="80" t="s">
        <v>2448</v>
      </c>
      <c r="E695" s="2275" t="str">
        <f t="shared" si="50"/>
        <v>LC</v>
      </c>
      <c r="F695" s="55">
        <v>2000</v>
      </c>
      <c r="J695" s="55" t="str">
        <f t="shared" si="49"/>
        <v>LCL</v>
      </c>
    </row>
    <row r="696" spans="1:10" hidden="1">
      <c r="A696" s="79" t="s">
        <v>1924</v>
      </c>
      <c r="B696" s="84" t="s">
        <v>1772</v>
      </c>
      <c r="C696" s="81" t="s">
        <v>3211</v>
      </c>
      <c r="D696" s="80" t="s">
        <v>2448</v>
      </c>
      <c r="E696" s="2275" t="str">
        <f t="shared" si="50"/>
        <v>LD</v>
      </c>
      <c r="F696" s="55">
        <v>2000</v>
      </c>
      <c r="J696" s="55" t="str">
        <f t="shared" si="49"/>
        <v>LDN</v>
      </c>
    </row>
    <row r="697" spans="1:10" hidden="1">
      <c r="A697" s="79" t="s">
        <v>1967</v>
      </c>
      <c r="B697" s="84" t="s">
        <v>220</v>
      </c>
      <c r="C697" s="81" t="s">
        <v>3212</v>
      </c>
      <c r="D697" s="80" t="s">
        <v>2566</v>
      </c>
      <c r="E697" s="2275" t="str">
        <f t="shared" si="50"/>
        <v>NX</v>
      </c>
      <c r="F697" s="55">
        <v>2000</v>
      </c>
      <c r="J697" s="55" t="str">
        <f t="shared" si="49"/>
        <v>NXOE</v>
      </c>
    </row>
    <row r="698" spans="1:10" hidden="1">
      <c r="A698" s="79" t="s">
        <v>2140</v>
      </c>
      <c r="B698" s="84" t="s">
        <v>220</v>
      </c>
      <c r="C698" s="81" t="s">
        <v>3213</v>
      </c>
      <c r="D698" s="80" t="s">
        <v>2566</v>
      </c>
      <c r="E698" s="2275" t="str">
        <f t="shared" si="50"/>
        <v>LD</v>
      </c>
      <c r="F698" s="55">
        <v>2000</v>
      </c>
      <c r="J698" s="55" t="str">
        <f t="shared" si="49"/>
        <v>LDN0212</v>
      </c>
    </row>
    <row r="699" spans="1:10" hidden="1">
      <c r="A699" s="79" t="s">
        <v>2141</v>
      </c>
      <c r="B699" s="84" t="s">
        <v>220</v>
      </c>
      <c r="C699" s="81" t="s">
        <v>3214</v>
      </c>
      <c r="D699" s="80" t="s">
        <v>2566</v>
      </c>
      <c r="E699" s="2275" t="str">
        <f t="shared" si="50"/>
        <v>LD</v>
      </c>
      <c r="F699" s="55">
        <v>2000</v>
      </c>
      <c r="J699" s="55" t="str">
        <f t="shared" si="49"/>
        <v>LDN0412</v>
      </c>
    </row>
    <row r="700" spans="1:10" hidden="1">
      <c r="A700" s="79" t="s">
        <v>1182</v>
      </c>
      <c r="B700" s="84" t="s">
        <v>1563</v>
      </c>
      <c r="C700" s="81" t="s">
        <v>3215</v>
      </c>
      <c r="D700" s="80" t="s">
        <v>2566</v>
      </c>
      <c r="E700" s="2275" t="str">
        <f t="shared" si="50"/>
        <v>LD</v>
      </c>
      <c r="F700" s="55">
        <v>2000</v>
      </c>
      <c r="J700" s="55" t="str">
        <f t="shared" si="49"/>
        <v>LDN0415</v>
      </c>
    </row>
    <row r="701" spans="1:10" hidden="1">
      <c r="A701" s="79" t="s">
        <v>1183</v>
      </c>
      <c r="B701" s="84" t="s">
        <v>1563</v>
      </c>
      <c r="C701" s="81" t="s">
        <v>3216</v>
      </c>
      <c r="D701" s="80" t="s">
        <v>2566</v>
      </c>
      <c r="E701" s="2275" t="str">
        <f t="shared" si="50"/>
        <v>LD</v>
      </c>
      <c r="F701" s="55">
        <v>2000</v>
      </c>
      <c r="J701" s="55" t="str">
        <f t="shared" si="49"/>
        <v>LDN0615</v>
      </c>
    </row>
    <row r="702" spans="1:10" hidden="1">
      <c r="A702" s="79" t="s">
        <v>604</v>
      </c>
      <c r="B702" s="84" t="s">
        <v>220</v>
      </c>
      <c r="C702" s="81" t="s">
        <v>3217</v>
      </c>
      <c r="D702" s="80" t="s">
        <v>2566</v>
      </c>
      <c r="E702" s="2275" t="str">
        <f t="shared" si="50"/>
        <v>LD</v>
      </c>
      <c r="F702" s="55">
        <v>2000</v>
      </c>
      <c r="J702" s="55" t="str">
        <f t="shared" si="49"/>
        <v>LDN4</v>
      </c>
    </row>
    <row r="703" spans="1:10" hidden="1">
      <c r="A703" s="79" t="s">
        <v>1913</v>
      </c>
      <c r="B703" s="84" t="s">
        <v>1563</v>
      </c>
      <c r="C703" s="81" t="s">
        <v>3218</v>
      </c>
      <c r="D703" s="80" t="s">
        <v>2566</v>
      </c>
      <c r="E703" s="2275" t="str">
        <f t="shared" si="50"/>
        <v>LD</v>
      </c>
      <c r="F703" s="55">
        <v>2000</v>
      </c>
      <c r="J703" s="55" t="str">
        <f t="shared" si="49"/>
        <v>LDN6</v>
      </c>
    </row>
    <row r="704" spans="1:10" hidden="1">
      <c r="A704" s="79" t="s">
        <v>1961</v>
      </c>
      <c r="B704" s="84" t="s">
        <v>1391</v>
      </c>
      <c r="C704" s="81" t="s">
        <v>3219</v>
      </c>
      <c r="D704" s="80" t="s">
        <v>858</v>
      </c>
      <c r="E704" s="2275" t="str">
        <f t="shared" si="50"/>
        <v>DB</v>
      </c>
      <c r="F704" s="55">
        <v>2000</v>
      </c>
      <c r="J704" s="55" t="str">
        <f t="shared" si="49"/>
        <v>DBT10046</v>
      </c>
    </row>
    <row r="705" spans="1:10" hidden="1">
      <c r="A705" s="79" t="s">
        <v>1841</v>
      </c>
      <c r="B705" s="84" t="s">
        <v>1768</v>
      </c>
      <c r="C705" s="81" t="s">
        <v>3220</v>
      </c>
      <c r="D705" s="80" t="s">
        <v>858</v>
      </c>
      <c r="E705" s="2275" t="str">
        <f t="shared" si="50"/>
        <v>DB</v>
      </c>
      <c r="F705" s="55">
        <v>2000</v>
      </c>
      <c r="J705" s="55" t="str">
        <f t="shared" si="49"/>
        <v>DBT15012</v>
      </c>
    </row>
    <row r="706" spans="1:10" hidden="1">
      <c r="A706" s="79" t="s">
        <v>1842</v>
      </c>
      <c r="B706" s="1796" t="s">
        <v>1767</v>
      </c>
      <c r="C706" s="81" t="s">
        <v>3221</v>
      </c>
      <c r="D706" s="80" t="s">
        <v>858</v>
      </c>
      <c r="E706" s="2275" t="str">
        <f t="shared" si="50"/>
        <v>DB</v>
      </c>
      <c r="F706" s="55">
        <v>2000</v>
      </c>
      <c r="J706" s="55" t="str">
        <f t="shared" si="49"/>
        <v>DBT20012</v>
      </c>
    </row>
    <row r="707" spans="1:10" hidden="1">
      <c r="A707" s="79" t="s">
        <v>9</v>
      </c>
      <c r="B707" s="84" t="s">
        <v>1781</v>
      </c>
      <c r="C707" s="81" t="s">
        <v>3222</v>
      </c>
      <c r="D707" s="80" t="s">
        <v>2256</v>
      </c>
      <c r="E707" s="2275" t="str">
        <f t="shared" si="50"/>
        <v>LC</v>
      </c>
      <c r="F707" s="55">
        <v>2000</v>
      </c>
      <c r="J707" s="55" t="str">
        <f t="shared" si="49"/>
        <v>LCT10</v>
      </c>
    </row>
    <row r="708" spans="1:10" hidden="1">
      <c r="A708" s="79" t="s">
        <v>585</v>
      </c>
      <c r="B708" s="84" t="s">
        <v>888</v>
      </c>
      <c r="C708" s="81" t="s">
        <v>3223</v>
      </c>
      <c r="D708" s="80" t="s">
        <v>2256</v>
      </c>
      <c r="E708" s="2275" t="str">
        <f t="shared" si="50"/>
        <v>LC</v>
      </c>
      <c r="F708" s="55">
        <v>2000</v>
      </c>
      <c r="J708" s="55" t="str">
        <f t="shared" si="49"/>
        <v>LCT18</v>
      </c>
    </row>
    <row r="709" spans="1:10" hidden="1">
      <c r="A709" s="79" t="s">
        <v>1813</v>
      </c>
      <c r="B709" s="84" t="s">
        <v>1814</v>
      </c>
      <c r="C709" s="81" t="s">
        <v>3224</v>
      </c>
      <c r="D709" s="80" t="s">
        <v>2256</v>
      </c>
      <c r="E709" s="2275" t="str">
        <f t="shared" si="50"/>
        <v>LC</v>
      </c>
      <c r="F709" s="55">
        <v>2000</v>
      </c>
      <c r="J709" s="55" t="str">
        <f t="shared" si="49"/>
        <v>LCT&gt;18</v>
      </c>
    </row>
    <row r="710" spans="1:10" hidden="1">
      <c r="A710" s="79" t="s">
        <v>10</v>
      </c>
      <c r="B710" s="84" t="s">
        <v>53</v>
      </c>
      <c r="C710" s="81" t="s">
        <v>3225</v>
      </c>
      <c r="D710" s="80" t="s">
        <v>1966</v>
      </c>
      <c r="E710" s="2275" t="str">
        <f t="shared" si="50"/>
        <v>LD</v>
      </c>
      <c r="F710" s="55">
        <v>2000</v>
      </c>
      <c r="J710" s="55" t="str">
        <f t="shared" si="49"/>
        <v>LDVANK</v>
      </c>
    </row>
    <row r="711" spans="1:10" hidden="1">
      <c r="A711" s="79" t="s">
        <v>1968</v>
      </c>
      <c r="B711" s="84" t="s">
        <v>1407</v>
      </c>
      <c r="C711" s="81" t="s">
        <v>3226</v>
      </c>
      <c r="D711" s="80" t="s">
        <v>2044</v>
      </c>
      <c r="E711" s="2275" t="str">
        <f t="shared" si="50"/>
        <v>KD</v>
      </c>
      <c r="F711" s="55">
        <v>2000</v>
      </c>
      <c r="J711" s="55" t="str">
        <f t="shared" si="49"/>
        <v>KDA35</v>
      </c>
    </row>
    <row r="712" spans="1:10" hidden="1">
      <c r="A712" s="79" t="s">
        <v>1408</v>
      </c>
      <c r="B712" s="84" t="s">
        <v>1630</v>
      </c>
      <c r="C712" s="81" t="s">
        <v>3227</v>
      </c>
      <c r="D712" s="80" t="s">
        <v>2044</v>
      </c>
      <c r="E712" s="2275" t="str">
        <f t="shared" si="50"/>
        <v>KD</v>
      </c>
      <c r="F712" s="55">
        <v>2000</v>
      </c>
      <c r="J712" s="55" t="str">
        <f t="shared" si="49"/>
        <v>KDA50</v>
      </c>
    </row>
    <row r="713" spans="1:10" hidden="1">
      <c r="A713" s="79" t="s">
        <v>619</v>
      </c>
      <c r="B713" s="84" t="s">
        <v>620</v>
      </c>
      <c r="C713" s="81" t="s">
        <v>3228</v>
      </c>
      <c r="D713" s="80" t="s">
        <v>2044</v>
      </c>
      <c r="E713" s="2275" t="str">
        <f t="shared" si="50"/>
        <v>KD</v>
      </c>
      <c r="F713" s="55">
        <v>2000</v>
      </c>
      <c r="J713" s="55" t="str">
        <f t="shared" si="49"/>
        <v>KDA70</v>
      </c>
    </row>
    <row r="714" spans="1:10" hidden="1">
      <c r="A714" s="79" t="s">
        <v>2251</v>
      </c>
      <c r="B714" s="84" t="s">
        <v>1164</v>
      </c>
      <c r="C714" s="81" t="s">
        <v>3229</v>
      </c>
      <c r="D714" s="80" t="s">
        <v>2044</v>
      </c>
      <c r="E714" s="2275" t="str">
        <f t="shared" si="50"/>
        <v>KD</v>
      </c>
      <c r="F714" s="55">
        <v>2000</v>
      </c>
      <c r="J714" s="55" t="str">
        <f t="shared" ref="J714:J777" si="51">A714</f>
        <v>KDA95</v>
      </c>
    </row>
    <row r="715" spans="1:10" hidden="1">
      <c r="A715" s="79" t="s">
        <v>1168</v>
      </c>
      <c r="B715" s="84" t="s">
        <v>1527</v>
      </c>
      <c r="C715" s="81" t="s">
        <v>3230</v>
      </c>
      <c r="D715" s="80" t="s">
        <v>2044</v>
      </c>
      <c r="E715" s="2275" t="str">
        <f t="shared" si="50"/>
        <v>KD</v>
      </c>
      <c r="F715" s="55">
        <v>2000</v>
      </c>
      <c r="J715" s="55" t="str">
        <f t="shared" si="51"/>
        <v>KDA35B</v>
      </c>
    </row>
    <row r="716" spans="1:10" hidden="1">
      <c r="A716" s="79" t="s">
        <v>451</v>
      </c>
      <c r="B716" s="84" t="s">
        <v>1630</v>
      </c>
      <c r="C716" s="81" t="s">
        <v>3231</v>
      </c>
      <c r="D716" s="80" t="s">
        <v>2044</v>
      </c>
      <c r="E716" s="2275" t="str">
        <f t="shared" si="50"/>
        <v>KD</v>
      </c>
      <c r="F716" s="55">
        <v>2000</v>
      </c>
      <c r="J716" s="55" t="str">
        <f t="shared" si="51"/>
        <v>KDA50B</v>
      </c>
    </row>
    <row r="717" spans="1:10" hidden="1">
      <c r="A717" s="79" t="s">
        <v>79</v>
      </c>
      <c r="B717" s="84" t="s">
        <v>1528</v>
      </c>
      <c r="C717" s="81" t="s">
        <v>3232</v>
      </c>
      <c r="D717" s="80" t="s">
        <v>2044</v>
      </c>
      <c r="E717" s="2275" t="str">
        <f t="shared" si="50"/>
        <v>KD</v>
      </c>
      <c r="F717" s="55">
        <v>2000</v>
      </c>
      <c r="J717" s="55" t="str">
        <f t="shared" si="51"/>
        <v>KDA70B</v>
      </c>
    </row>
    <row r="718" spans="1:10" hidden="1">
      <c r="A718" s="79" t="s">
        <v>1514</v>
      </c>
      <c r="B718" s="84" t="s">
        <v>2041</v>
      </c>
      <c r="C718" s="81" t="s">
        <v>3233</v>
      </c>
      <c r="D718" s="80" t="s">
        <v>2044</v>
      </c>
      <c r="E718" s="2275" t="str">
        <f t="shared" si="50"/>
        <v>KD</v>
      </c>
      <c r="F718" s="55">
        <v>2000</v>
      </c>
      <c r="J718" s="55" t="str">
        <f t="shared" si="51"/>
        <v>KDA95B</v>
      </c>
    </row>
    <row r="719" spans="1:10" hidden="1">
      <c r="A719" s="79" t="s">
        <v>1176</v>
      </c>
      <c r="B719" s="84" t="s">
        <v>1165</v>
      </c>
      <c r="C719" s="81" t="s">
        <v>3234</v>
      </c>
      <c r="D719" s="80" t="s">
        <v>2044</v>
      </c>
      <c r="E719" s="2275" t="str">
        <f t="shared" si="50"/>
        <v>KD</v>
      </c>
      <c r="F719" s="55">
        <v>2000</v>
      </c>
      <c r="J719" s="55" t="str">
        <f t="shared" si="51"/>
        <v>KDA120B</v>
      </c>
    </row>
    <row r="720" spans="1:10" hidden="1">
      <c r="A720" s="79" t="s">
        <v>926</v>
      </c>
      <c r="B720" s="84" t="s">
        <v>794</v>
      </c>
      <c r="C720" s="81" t="s">
        <v>3235</v>
      </c>
      <c r="D720" s="80" t="s">
        <v>2044</v>
      </c>
      <c r="E720" s="2275" t="str">
        <f t="shared" si="50"/>
        <v>KD</v>
      </c>
      <c r="F720" s="55">
        <v>2000</v>
      </c>
      <c r="J720" s="55" t="str">
        <f t="shared" si="51"/>
        <v>KDA150B</v>
      </c>
    </row>
    <row r="721" spans="1:10" hidden="1">
      <c r="A721" s="79" t="s">
        <v>927</v>
      </c>
      <c r="B721" s="84" t="s">
        <v>1166</v>
      </c>
      <c r="C721" s="81" t="s">
        <v>3236</v>
      </c>
      <c r="D721" s="80" t="s">
        <v>2044</v>
      </c>
      <c r="E721" s="2275" t="str">
        <f t="shared" si="50"/>
        <v>KD</v>
      </c>
      <c r="F721" s="55">
        <v>2000</v>
      </c>
      <c r="J721" s="55" t="str">
        <f t="shared" si="51"/>
        <v>KDA185B</v>
      </c>
    </row>
    <row r="722" spans="1:10" hidden="1">
      <c r="A722" s="79" t="s">
        <v>1446</v>
      </c>
      <c r="B722" s="84" t="s">
        <v>1167</v>
      </c>
      <c r="C722" s="81" t="s">
        <v>3237</v>
      </c>
      <c r="D722" s="80" t="s">
        <v>2044</v>
      </c>
      <c r="E722" s="2275" t="str">
        <f t="shared" si="50"/>
        <v>KD</v>
      </c>
      <c r="F722" s="55">
        <v>2000</v>
      </c>
      <c r="J722" s="55" t="str">
        <f t="shared" si="51"/>
        <v>KDA240B</v>
      </c>
    </row>
    <row r="723" spans="1:10" hidden="1">
      <c r="A723" s="1797" t="s">
        <v>2230</v>
      </c>
      <c r="B723" s="84" t="s">
        <v>785</v>
      </c>
      <c r="C723" s="81" t="s">
        <v>3238</v>
      </c>
      <c r="D723" s="80" t="s">
        <v>2044</v>
      </c>
      <c r="E723" s="2275" t="str">
        <f t="shared" si="50"/>
        <v>KD</v>
      </c>
      <c r="F723" s="55">
        <v>2000</v>
      </c>
      <c r="J723" s="55" t="str">
        <f t="shared" si="51"/>
        <v>KDAABC150</v>
      </c>
    </row>
    <row r="724" spans="1:10" hidden="1">
      <c r="A724" s="1797" t="s">
        <v>865</v>
      </c>
      <c r="B724" s="84" t="s">
        <v>785</v>
      </c>
      <c r="C724" s="81" t="s">
        <v>3239</v>
      </c>
      <c r="D724" s="80" t="s">
        <v>2044</v>
      </c>
      <c r="E724" s="2275" t="str">
        <f t="shared" si="50"/>
        <v>KD</v>
      </c>
      <c r="F724" s="55">
        <v>2000</v>
      </c>
      <c r="J724" s="55" t="str">
        <f t="shared" si="51"/>
        <v>KDAABC120</v>
      </c>
    </row>
    <row r="725" spans="1:10" hidden="1">
      <c r="A725" s="1797" t="s">
        <v>866</v>
      </c>
      <c r="B725" s="84" t="s">
        <v>786</v>
      </c>
      <c r="C725" s="81" t="s">
        <v>4353</v>
      </c>
      <c r="D725" s="80" t="s">
        <v>2044</v>
      </c>
      <c r="E725" s="2275" t="str">
        <f t="shared" si="50"/>
        <v>KD</v>
      </c>
      <c r="F725" s="55">
        <v>2000</v>
      </c>
      <c r="J725" s="55" t="str">
        <f t="shared" si="51"/>
        <v>KDAABC95</v>
      </c>
    </row>
    <row r="726" spans="1:10" hidden="1">
      <c r="A726" s="1797" t="s">
        <v>867</v>
      </c>
      <c r="B726" s="1796" t="s">
        <v>2105</v>
      </c>
      <c r="C726" s="81" t="s">
        <v>3240</v>
      </c>
      <c r="D726" s="80" t="s">
        <v>2044</v>
      </c>
      <c r="E726" s="2275" t="str">
        <f t="shared" si="50"/>
        <v>KD</v>
      </c>
      <c r="F726" s="55">
        <v>2000</v>
      </c>
      <c r="J726" s="55" t="str">
        <f t="shared" si="51"/>
        <v>KDAABC70</v>
      </c>
    </row>
    <row r="727" spans="1:10" hidden="1">
      <c r="A727" s="1797" t="s">
        <v>868</v>
      </c>
      <c r="B727" s="84" t="s">
        <v>1775</v>
      </c>
      <c r="C727" s="81" t="s">
        <v>3241</v>
      </c>
      <c r="D727" s="80" t="s">
        <v>2044</v>
      </c>
      <c r="E727" s="2275" t="str">
        <f t="shared" si="50"/>
        <v>KD</v>
      </c>
      <c r="F727" s="55">
        <v>2000</v>
      </c>
      <c r="J727" s="55" t="str">
        <f t="shared" si="51"/>
        <v>KDAABC50</v>
      </c>
    </row>
    <row r="728" spans="1:10" hidden="1">
      <c r="A728" s="79" t="s">
        <v>1526</v>
      </c>
      <c r="B728" s="84" t="s">
        <v>1527</v>
      </c>
      <c r="C728" s="81" t="s">
        <v>3242</v>
      </c>
      <c r="D728" s="80" t="s">
        <v>2044</v>
      </c>
      <c r="E728" s="2275" t="str">
        <f t="shared" si="50"/>
        <v>KD</v>
      </c>
      <c r="F728" s="55">
        <v>2000</v>
      </c>
      <c r="J728" s="55" t="str">
        <f t="shared" si="51"/>
        <v>KDAC35</v>
      </c>
    </row>
    <row r="729" spans="1:10" hidden="1">
      <c r="A729" s="79" t="s">
        <v>1274</v>
      </c>
      <c r="B729" s="84" t="s">
        <v>1773</v>
      </c>
      <c r="C729" s="81" t="s">
        <v>3243</v>
      </c>
      <c r="D729" s="80" t="s">
        <v>2044</v>
      </c>
      <c r="E729" s="2275" t="str">
        <f t="shared" si="50"/>
        <v>KD</v>
      </c>
      <c r="F729" s="55">
        <v>2000</v>
      </c>
      <c r="J729" s="55" t="str">
        <f t="shared" si="51"/>
        <v>KDAC50</v>
      </c>
    </row>
    <row r="730" spans="1:10" hidden="1">
      <c r="A730" s="79" t="s">
        <v>1419</v>
      </c>
      <c r="B730" s="84" t="s">
        <v>1528</v>
      </c>
      <c r="C730" s="81" t="s">
        <v>3244</v>
      </c>
      <c r="D730" s="80" t="s">
        <v>2044</v>
      </c>
      <c r="E730" s="2275" t="str">
        <f t="shared" si="50"/>
        <v>KD</v>
      </c>
      <c r="F730" s="55">
        <v>2000</v>
      </c>
      <c r="J730" s="55" t="str">
        <f t="shared" si="51"/>
        <v>KDAC70</v>
      </c>
    </row>
    <row r="731" spans="1:10" hidden="1">
      <c r="A731" s="79" t="s">
        <v>1529</v>
      </c>
      <c r="B731" s="84" t="s">
        <v>2041</v>
      </c>
      <c r="C731" s="81" t="s">
        <v>3245</v>
      </c>
      <c r="D731" s="80" t="s">
        <v>2044</v>
      </c>
      <c r="E731" s="2275" t="str">
        <f t="shared" si="50"/>
        <v>KD</v>
      </c>
      <c r="F731" s="55">
        <v>2000</v>
      </c>
      <c r="J731" s="55" t="str">
        <f t="shared" si="51"/>
        <v>KDAC95</v>
      </c>
    </row>
    <row r="732" spans="1:10" hidden="1">
      <c r="A732" s="79" t="s">
        <v>139</v>
      </c>
      <c r="B732" s="84" t="s">
        <v>1165</v>
      </c>
      <c r="C732" s="81" t="s">
        <v>3246</v>
      </c>
      <c r="D732" s="80" t="s">
        <v>2044</v>
      </c>
      <c r="E732" s="2275" t="str">
        <f t="shared" si="50"/>
        <v>KD</v>
      </c>
      <c r="F732" s="55">
        <v>2000</v>
      </c>
      <c r="J732" s="55" t="str">
        <f t="shared" si="51"/>
        <v>KDAC120</v>
      </c>
    </row>
    <row r="733" spans="1:10" hidden="1">
      <c r="A733" s="79" t="s">
        <v>793</v>
      </c>
      <c r="B733" s="84" t="s">
        <v>794</v>
      </c>
      <c r="C733" s="81" t="s">
        <v>3247</v>
      </c>
      <c r="D733" s="80" t="s">
        <v>2044</v>
      </c>
      <c r="E733" s="2275" t="str">
        <f t="shared" si="50"/>
        <v>KD</v>
      </c>
      <c r="F733" s="55">
        <v>2000</v>
      </c>
      <c r="J733" s="55" t="str">
        <f t="shared" si="51"/>
        <v>KDAC150</v>
      </c>
    </row>
    <row r="734" spans="1:10" hidden="1">
      <c r="A734" s="79" t="s">
        <v>366</v>
      </c>
      <c r="B734" s="84" t="s">
        <v>1773</v>
      </c>
      <c r="C734" s="81" t="s">
        <v>4366</v>
      </c>
      <c r="D734" s="80" t="s">
        <v>2044</v>
      </c>
      <c r="E734" s="2275" t="str">
        <f t="shared" si="50"/>
        <v>KD</v>
      </c>
      <c r="F734" s="55">
        <v>2000</v>
      </c>
      <c r="J734" s="55" t="str">
        <f t="shared" si="51"/>
        <v>KDACXV50</v>
      </c>
    </row>
    <row r="735" spans="1:10" hidden="1">
      <c r="A735" s="79" t="s">
        <v>1377</v>
      </c>
      <c r="B735" s="84" t="s">
        <v>794</v>
      </c>
      <c r="C735" s="81" t="s">
        <v>3248</v>
      </c>
      <c r="D735" s="80" t="s">
        <v>2044</v>
      </c>
      <c r="E735" s="2275" t="str">
        <f t="shared" si="50"/>
        <v>KD</v>
      </c>
      <c r="F735" s="55">
        <v>2000</v>
      </c>
      <c r="J735" s="55" t="str">
        <f t="shared" si="51"/>
        <v>KDACXV150</v>
      </c>
    </row>
    <row r="736" spans="1:10" hidden="1">
      <c r="A736" s="79" t="s">
        <v>140</v>
      </c>
      <c r="B736" s="84" t="s">
        <v>1166</v>
      </c>
      <c r="C736" s="81" t="s">
        <v>3249</v>
      </c>
      <c r="D736" s="80" t="s">
        <v>2044</v>
      </c>
      <c r="E736" s="2275" t="str">
        <f t="shared" ref="E736:E799" si="52">LEFT(A736,2)</f>
        <v>KD</v>
      </c>
      <c r="F736" s="55">
        <v>2000</v>
      </c>
      <c r="J736" s="55" t="str">
        <f t="shared" si="51"/>
        <v>KDAC185</v>
      </c>
    </row>
    <row r="737" spans="1:10" hidden="1">
      <c r="A737" s="79" t="s">
        <v>713</v>
      </c>
      <c r="B737" s="84" t="s">
        <v>1167</v>
      </c>
      <c r="C737" s="81" t="s">
        <v>3250</v>
      </c>
      <c r="D737" s="80" t="s">
        <v>2044</v>
      </c>
      <c r="E737" s="2275" t="str">
        <f t="shared" si="52"/>
        <v>KD</v>
      </c>
      <c r="F737" s="55">
        <v>2000</v>
      </c>
      <c r="J737" s="55" t="str">
        <f t="shared" si="51"/>
        <v>KDAC240</v>
      </c>
    </row>
    <row r="738" spans="1:10" hidden="1">
      <c r="A738" s="79" t="s">
        <v>390</v>
      </c>
      <c r="B738" s="84" t="s">
        <v>391</v>
      </c>
      <c r="C738" s="81" t="s">
        <v>3251</v>
      </c>
      <c r="D738" s="80" t="s">
        <v>2044</v>
      </c>
      <c r="E738" s="2275" t="str">
        <f t="shared" si="52"/>
        <v>KD</v>
      </c>
      <c r="F738" s="55">
        <v>2000</v>
      </c>
      <c r="J738" s="55" t="str">
        <f t="shared" si="51"/>
        <v>KDM22</v>
      </c>
    </row>
    <row r="739" spans="1:10" hidden="1">
      <c r="A739" s="79" t="s">
        <v>679</v>
      </c>
      <c r="B739" s="84" t="s">
        <v>391</v>
      </c>
      <c r="C739" s="81" t="s">
        <v>3252</v>
      </c>
      <c r="D739" s="80" t="s">
        <v>2044</v>
      </c>
      <c r="E739" s="2275" t="str">
        <f t="shared" si="52"/>
        <v>KD</v>
      </c>
      <c r="F739" s="55">
        <v>2000</v>
      </c>
      <c r="J739" s="55" t="str">
        <f t="shared" si="51"/>
        <v>KDM25</v>
      </c>
    </row>
    <row r="740" spans="1:10" hidden="1">
      <c r="A740" s="79" t="s">
        <v>298</v>
      </c>
      <c r="B740" s="84" t="s">
        <v>299</v>
      </c>
      <c r="C740" s="81" t="s">
        <v>3253</v>
      </c>
      <c r="D740" s="80" t="s">
        <v>2044</v>
      </c>
      <c r="E740" s="2275" t="str">
        <f t="shared" si="52"/>
        <v>KD</v>
      </c>
      <c r="F740" s="55">
        <v>2000</v>
      </c>
      <c r="J740" s="55" t="str">
        <f t="shared" si="51"/>
        <v>KDM35</v>
      </c>
    </row>
    <row r="741" spans="1:10" hidden="1">
      <c r="A741" s="79" t="s">
        <v>413</v>
      </c>
      <c r="B741" s="84" t="s">
        <v>414</v>
      </c>
      <c r="C741" s="81" t="s">
        <v>3254</v>
      </c>
      <c r="D741" s="80" t="s">
        <v>2044</v>
      </c>
      <c r="E741" s="2275" t="str">
        <f t="shared" si="52"/>
        <v>KD</v>
      </c>
      <c r="F741" s="55">
        <v>2000</v>
      </c>
      <c r="J741" s="55" t="str">
        <f t="shared" si="51"/>
        <v>KDM48</v>
      </c>
    </row>
    <row r="742" spans="1:10" hidden="1">
      <c r="A742" s="79" t="s">
        <v>480</v>
      </c>
      <c r="B742" s="84" t="s">
        <v>414</v>
      </c>
      <c r="C742" s="81" t="s">
        <v>3255</v>
      </c>
      <c r="D742" s="80" t="s">
        <v>2044</v>
      </c>
      <c r="E742" s="2275" t="str">
        <f t="shared" si="52"/>
        <v>KD</v>
      </c>
      <c r="F742" s="55">
        <v>2000</v>
      </c>
      <c r="J742" s="55" t="str">
        <f t="shared" si="51"/>
        <v>KDM50</v>
      </c>
    </row>
    <row r="743" spans="1:10" hidden="1">
      <c r="A743" s="79" t="s">
        <v>481</v>
      </c>
      <c r="B743" s="84" t="s">
        <v>482</v>
      </c>
      <c r="C743" s="81" t="s">
        <v>3256</v>
      </c>
      <c r="D743" s="80" t="s">
        <v>2044</v>
      </c>
      <c r="E743" s="2275" t="str">
        <f t="shared" si="52"/>
        <v>KD</v>
      </c>
      <c r="F743" s="55">
        <v>2000</v>
      </c>
      <c r="J743" s="55" t="str">
        <f t="shared" si="51"/>
        <v>KDM70</v>
      </c>
    </row>
    <row r="744" spans="1:10" hidden="1">
      <c r="A744" s="79" t="s">
        <v>477</v>
      </c>
      <c r="B744" s="84" t="s">
        <v>478</v>
      </c>
      <c r="C744" s="81" t="s">
        <v>3257</v>
      </c>
      <c r="D744" s="80" t="s">
        <v>2044</v>
      </c>
      <c r="E744" s="2275" t="str">
        <f t="shared" si="52"/>
        <v>KD</v>
      </c>
      <c r="F744" s="55">
        <v>2000</v>
      </c>
      <c r="J744" s="55" t="str">
        <f t="shared" si="51"/>
        <v>KDM95</v>
      </c>
    </row>
    <row r="745" spans="1:10" hidden="1">
      <c r="A745" s="79" t="s">
        <v>96</v>
      </c>
      <c r="B745" s="84" t="s">
        <v>391</v>
      </c>
      <c r="C745" s="81" t="s">
        <v>3258</v>
      </c>
      <c r="D745" s="80" t="s">
        <v>2044</v>
      </c>
      <c r="E745" s="2275" t="str">
        <f t="shared" si="52"/>
        <v>KD</v>
      </c>
      <c r="F745" s="55">
        <v>2000</v>
      </c>
      <c r="J745" s="55" t="str">
        <f t="shared" si="51"/>
        <v>KDM25B</v>
      </c>
    </row>
    <row r="746" spans="1:10" hidden="1">
      <c r="A746" s="79" t="s">
        <v>253</v>
      </c>
      <c r="B746" s="84" t="s">
        <v>414</v>
      </c>
      <c r="C746" s="81" t="s">
        <v>3259</v>
      </c>
      <c r="D746" s="80" t="s">
        <v>2044</v>
      </c>
      <c r="E746" s="2275" t="str">
        <f t="shared" si="52"/>
        <v>KD</v>
      </c>
      <c r="F746" s="55">
        <v>2000</v>
      </c>
      <c r="J746" s="55" t="str">
        <f t="shared" si="51"/>
        <v>KDM50B</v>
      </c>
    </row>
    <row r="747" spans="1:10" hidden="1">
      <c r="A747" s="79" t="s">
        <v>2101</v>
      </c>
      <c r="B747" s="84" t="s">
        <v>478</v>
      </c>
      <c r="C747" s="81" t="s">
        <v>3260</v>
      </c>
      <c r="D747" s="80" t="s">
        <v>2044</v>
      </c>
      <c r="E747" s="2275" t="str">
        <f t="shared" si="52"/>
        <v>KD</v>
      </c>
      <c r="F747" s="55">
        <v>2000</v>
      </c>
      <c r="J747" s="55" t="str">
        <f t="shared" si="51"/>
        <v>KDM95B</v>
      </c>
    </row>
    <row r="748" spans="1:10" hidden="1">
      <c r="A748" s="79" t="s">
        <v>1405</v>
      </c>
      <c r="B748" s="84" t="s">
        <v>1406</v>
      </c>
      <c r="C748" s="81" t="s">
        <v>3261</v>
      </c>
      <c r="D748" s="80" t="s">
        <v>3262</v>
      </c>
      <c r="E748" s="2275" t="str">
        <f t="shared" si="52"/>
        <v>KD</v>
      </c>
      <c r="F748" s="55">
        <v>2000</v>
      </c>
      <c r="J748" s="55" t="str">
        <f t="shared" si="51"/>
        <v>KDQG1</v>
      </c>
    </row>
    <row r="749" spans="1:10" hidden="1">
      <c r="A749" s="79" t="s">
        <v>353</v>
      </c>
      <c r="B749" s="84" t="s">
        <v>332</v>
      </c>
      <c r="C749" s="81" t="s">
        <v>3263</v>
      </c>
      <c r="D749" s="80" t="s">
        <v>3262</v>
      </c>
      <c r="E749" s="2275" t="str">
        <f t="shared" si="52"/>
        <v>KD</v>
      </c>
      <c r="F749" s="55">
        <v>2000</v>
      </c>
      <c r="J749" s="55" t="str">
        <f t="shared" si="51"/>
        <v>KDQG2</v>
      </c>
    </row>
    <row r="750" spans="1:10" hidden="1">
      <c r="A750" s="79" t="s">
        <v>354</v>
      </c>
      <c r="B750" s="84" t="s">
        <v>333</v>
      </c>
      <c r="C750" s="81" t="s">
        <v>3264</v>
      </c>
      <c r="D750" s="80" t="s">
        <v>3262</v>
      </c>
      <c r="E750" s="2275" t="str">
        <f t="shared" si="52"/>
        <v>KD</v>
      </c>
      <c r="F750" s="55">
        <v>2000</v>
      </c>
      <c r="J750" s="55" t="str">
        <f t="shared" si="51"/>
        <v>KDQS</v>
      </c>
    </row>
    <row r="751" spans="1:10" hidden="1">
      <c r="A751" s="79" t="s">
        <v>62</v>
      </c>
      <c r="B751" s="84" t="s">
        <v>333</v>
      </c>
      <c r="C751" s="81" t="s">
        <v>3265</v>
      </c>
      <c r="D751" s="80" t="s">
        <v>3262</v>
      </c>
      <c r="E751" s="2275" t="str">
        <f t="shared" si="52"/>
        <v>KD</v>
      </c>
      <c r="F751" s="55">
        <v>2000</v>
      </c>
      <c r="J751" s="55" t="str">
        <f t="shared" si="51"/>
        <v>KDQMR</v>
      </c>
    </row>
    <row r="752" spans="1:10" hidden="1">
      <c r="A752" s="79" t="s">
        <v>2046</v>
      </c>
      <c r="B752" s="84" t="s">
        <v>2047</v>
      </c>
      <c r="C752" s="81" t="s">
        <v>3266</v>
      </c>
      <c r="D752" s="80" t="s">
        <v>3262</v>
      </c>
      <c r="E752" s="2275" t="str">
        <f t="shared" si="52"/>
        <v>KD</v>
      </c>
      <c r="F752" s="55">
        <v>2000</v>
      </c>
      <c r="J752" s="55" t="str">
        <f t="shared" si="51"/>
        <v>KDQD</v>
      </c>
    </row>
    <row r="753" spans="1:10" hidden="1">
      <c r="A753" s="79" t="s">
        <v>2048</v>
      </c>
      <c r="B753" s="84" t="s">
        <v>1162</v>
      </c>
      <c r="C753" s="81" t="s">
        <v>3267</v>
      </c>
      <c r="D753" s="80" t="s">
        <v>3262</v>
      </c>
      <c r="E753" s="2275" t="str">
        <f t="shared" si="52"/>
        <v>KD</v>
      </c>
      <c r="F753" s="55">
        <v>2000</v>
      </c>
      <c r="J753" s="55" t="str">
        <f t="shared" si="51"/>
        <v>KDQD1</v>
      </c>
    </row>
    <row r="754" spans="1:10" hidden="1">
      <c r="A754" s="79" t="s">
        <v>1555</v>
      </c>
      <c r="B754" s="84" t="s">
        <v>1911</v>
      </c>
      <c r="C754" s="81" t="s">
        <v>3268</v>
      </c>
      <c r="D754" s="80" t="s">
        <v>2541</v>
      </c>
      <c r="E754" s="2275" t="str">
        <f t="shared" si="52"/>
        <v>LS</v>
      </c>
      <c r="F754" s="55">
        <v>2000</v>
      </c>
      <c r="J754" s="55" t="str">
        <f t="shared" si="51"/>
        <v>LSTK100</v>
      </c>
    </row>
    <row r="755" spans="1:10" hidden="1">
      <c r="A755" s="79" t="s">
        <v>1556</v>
      </c>
      <c r="B755" s="84" t="s">
        <v>1102</v>
      </c>
      <c r="C755" s="81" t="s">
        <v>3269</v>
      </c>
      <c r="D755" s="80" t="s">
        <v>2541</v>
      </c>
      <c r="E755" s="2275" t="str">
        <f t="shared" si="52"/>
        <v>LS</v>
      </c>
      <c r="F755" s="55">
        <v>2000</v>
      </c>
      <c r="J755" s="55" t="str">
        <f t="shared" si="51"/>
        <v>LSTK70</v>
      </c>
    </row>
    <row r="756" spans="1:10" hidden="1">
      <c r="A756" s="79" t="s">
        <v>411</v>
      </c>
      <c r="B756" s="84" t="s">
        <v>1103</v>
      </c>
      <c r="C756" s="81" t="s">
        <v>3270</v>
      </c>
      <c r="D756" s="80" t="s">
        <v>2541</v>
      </c>
      <c r="E756" s="2275" t="str">
        <f t="shared" si="52"/>
        <v>LS</v>
      </c>
      <c r="F756" s="55">
        <v>2000</v>
      </c>
      <c r="J756" s="55" t="str">
        <f t="shared" si="51"/>
        <v>LSTK50</v>
      </c>
    </row>
    <row r="757" spans="1:10" hidden="1">
      <c r="A757" s="79" t="s">
        <v>412</v>
      </c>
      <c r="B757" s="84" t="s">
        <v>1283</v>
      </c>
      <c r="C757" s="81" t="s">
        <v>3271</v>
      </c>
      <c r="D757" s="80" t="s">
        <v>2541</v>
      </c>
      <c r="E757" s="2275" t="str">
        <f t="shared" si="52"/>
        <v>LS</v>
      </c>
      <c r="F757" s="55">
        <v>2000</v>
      </c>
      <c r="J757" s="55" t="str">
        <f t="shared" si="51"/>
        <v>LSTK120d</v>
      </c>
    </row>
    <row r="758" spans="1:10" hidden="1">
      <c r="A758" s="79" t="s">
        <v>491</v>
      </c>
      <c r="B758" s="84" t="s">
        <v>1421</v>
      </c>
      <c r="C758" s="81" t="s">
        <v>3272</v>
      </c>
      <c r="D758" s="80" t="s">
        <v>2541</v>
      </c>
      <c r="E758" s="2275" t="str">
        <f t="shared" si="52"/>
        <v>LS</v>
      </c>
      <c r="F758" s="55">
        <v>2000</v>
      </c>
      <c r="J758" s="55" t="str">
        <f t="shared" si="51"/>
        <v>LSTK220d</v>
      </c>
    </row>
    <row r="759" spans="1:10" hidden="1">
      <c r="A759" s="79" t="s">
        <v>2016</v>
      </c>
      <c r="B759" s="84" t="s">
        <v>1104</v>
      </c>
      <c r="C759" s="81" t="s">
        <v>3273</v>
      </c>
      <c r="D759" s="80" t="s">
        <v>2541</v>
      </c>
      <c r="E759" s="2275" t="str">
        <f t="shared" si="52"/>
        <v>LP</v>
      </c>
      <c r="F759" s="55">
        <v>2000</v>
      </c>
      <c r="J759" s="55" t="str">
        <f t="shared" si="51"/>
        <v>LPVC42CL</v>
      </c>
    </row>
    <row r="760" spans="1:10" hidden="1">
      <c r="A760" s="79" t="s">
        <v>1101</v>
      </c>
      <c r="B760" s="84" t="s">
        <v>2110</v>
      </c>
      <c r="C760" s="81" t="s">
        <v>3274</v>
      </c>
      <c r="D760" s="80" t="s">
        <v>2541</v>
      </c>
      <c r="E760" s="2275" t="str">
        <f t="shared" si="52"/>
        <v>LP</v>
      </c>
      <c r="F760" s="55">
        <v>2000</v>
      </c>
      <c r="J760" s="55" t="str">
        <f t="shared" si="51"/>
        <v>LPVC60CL</v>
      </c>
    </row>
    <row r="761" spans="1:10" hidden="1">
      <c r="A761" s="79" t="s">
        <v>552</v>
      </c>
      <c r="B761" s="84" t="s">
        <v>1756</v>
      </c>
      <c r="C761" s="81" t="s">
        <v>3275</v>
      </c>
      <c r="D761" s="80" t="s">
        <v>2541</v>
      </c>
      <c r="E761" s="2275" t="str">
        <f t="shared" si="52"/>
        <v>LP</v>
      </c>
      <c r="F761" s="55">
        <v>2000</v>
      </c>
      <c r="J761" s="55" t="str">
        <f t="shared" si="51"/>
        <v>LPVC90CL</v>
      </c>
    </row>
    <row r="762" spans="1:10" hidden="1">
      <c r="A762" s="79" t="s">
        <v>963</v>
      </c>
      <c r="B762" s="84" t="s">
        <v>964</v>
      </c>
      <c r="C762" s="81" t="s">
        <v>3276</v>
      </c>
      <c r="D762" s="80" t="s">
        <v>2541</v>
      </c>
      <c r="E762" s="2275" t="str">
        <f t="shared" si="52"/>
        <v>LP</v>
      </c>
      <c r="F762" s="55">
        <v>2000</v>
      </c>
      <c r="J762" s="55" t="str">
        <f t="shared" si="51"/>
        <v>LPVC114CL</v>
      </c>
    </row>
    <row r="763" spans="1:10" hidden="1">
      <c r="A763" s="79" t="s">
        <v>442</v>
      </c>
      <c r="B763" s="84" t="s">
        <v>1104</v>
      </c>
      <c r="C763" s="81" t="s">
        <v>3277</v>
      </c>
      <c r="D763" s="80" t="s">
        <v>2541</v>
      </c>
      <c r="E763" s="2275" t="str">
        <f t="shared" si="52"/>
        <v>LP</v>
      </c>
      <c r="F763" s="55">
        <v>2000</v>
      </c>
      <c r="J763" s="55" t="str">
        <f t="shared" si="51"/>
        <v>LPVC140CL</v>
      </c>
    </row>
    <row r="764" spans="1:10" hidden="1">
      <c r="A764" s="79" t="s">
        <v>1190</v>
      </c>
      <c r="B764" s="1779" t="s">
        <v>575</v>
      </c>
      <c r="C764" s="81" t="s">
        <v>1191</v>
      </c>
      <c r="D764" s="80" t="s">
        <v>2541</v>
      </c>
      <c r="E764" s="2275" t="str">
        <f t="shared" si="52"/>
        <v>LP</v>
      </c>
      <c r="F764" s="55">
        <v>2000</v>
      </c>
      <c r="J764" s="55" t="str">
        <f t="shared" si="51"/>
        <v>LPVC</v>
      </c>
    </row>
    <row r="765" spans="1:10" hidden="1">
      <c r="A765" s="79" t="s">
        <v>2102</v>
      </c>
      <c r="B765" s="1779" t="s">
        <v>1605</v>
      </c>
      <c r="C765" s="81" t="s">
        <v>3278</v>
      </c>
      <c r="D765" s="80" t="s">
        <v>2541</v>
      </c>
      <c r="E765" s="2275" t="str">
        <f t="shared" si="52"/>
        <v>KC</v>
      </c>
      <c r="F765" s="55">
        <v>2000</v>
      </c>
      <c r="J765" s="55" t="str">
        <f t="shared" si="51"/>
        <v>KCN1kg</v>
      </c>
    </row>
    <row r="766" spans="1:10" hidden="1">
      <c r="A766" s="79" t="s">
        <v>1839</v>
      </c>
      <c r="B766" s="1779" t="s">
        <v>1606</v>
      </c>
      <c r="C766" s="81" t="s">
        <v>3279</v>
      </c>
      <c r="D766" s="80" t="s">
        <v>2541</v>
      </c>
      <c r="E766" s="2275" t="str">
        <f t="shared" si="52"/>
        <v>KC</v>
      </c>
      <c r="F766" s="55">
        <v>2000</v>
      </c>
      <c r="J766" s="55" t="str">
        <f t="shared" si="51"/>
        <v>KCN2kg</v>
      </c>
    </row>
    <row r="767" spans="1:10" hidden="1">
      <c r="A767" s="79" t="s">
        <v>812</v>
      </c>
      <c r="B767" s="1779" t="s">
        <v>1607</v>
      </c>
      <c r="C767" s="81" t="s">
        <v>3280</v>
      </c>
      <c r="D767" s="80" t="s">
        <v>2541</v>
      </c>
      <c r="E767" s="2275" t="str">
        <f t="shared" si="52"/>
        <v>KC</v>
      </c>
      <c r="F767" s="55">
        <v>2000</v>
      </c>
      <c r="J767" s="55" t="str">
        <f t="shared" si="51"/>
        <v>KCN3kg</v>
      </c>
    </row>
    <row r="768" spans="1:10" hidden="1">
      <c r="A768" s="79" t="s">
        <v>813</v>
      </c>
      <c r="B768" s="1779" t="s">
        <v>1608</v>
      </c>
      <c r="C768" s="81" t="s">
        <v>3281</v>
      </c>
      <c r="D768" s="80" t="s">
        <v>2541</v>
      </c>
      <c r="E768" s="2275" t="str">
        <f t="shared" si="52"/>
        <v>KC</v>
      </c>
      <c r="F768" s="55">
        <v>2000</v>
      </c>
      <c r="J768" s="55" t="str">
        <f t="shared" si="51"/>
        <v>KCN4kg</v>
      </c>
    </row>
    <row r="769" spans="1:10" hidden="1">
      <c r="A769" s="79" t="s">
        <v>1184</v>
      </c>
      <c r="B769" s="1779" t="s">
        <v>1609</v>
      </c>
      <c r="C769" s="81" t="s">
        <v>3282</v>
      </c>
      <c r="D769" s="80" t="s">
        <v>2541</v>
      </c>
      <c r="E769" s="2275" t="str">
        <f t="shared" si="52"/>
        <v>KC</v>
      </c>
      <c r="F769" s="55">
        <v>2000</v>
      </c>
      <c r="J769" s="55" t="str">
        <f t="shared" si="51"/>
        <v>KCN6kg</v>
      </c>
    </row>
    <row r="770" spans="1:10" hidden="1">
      <c r="A770" s="79" t="s">
        <v>1185</v>
      </c>
      <c r="B770" s="1779" t="s">
        <v>1691</v>
      </c>
      <c r="C770" s="81" t="s">
        <v>3283</v>
      </c>
      <c r="D770" s="80" t="s">
        <v>2541</v>
      </c>
      <c r="E770" s="2275" t="str">
        <f t="shared" si="52"/>
        <v>KC</v>
      </c>
      <c r="F770" s="55">
        <v>2000</v>
      </c>
      <c r="J770" s="55" t="str">
        <f t="shared" si="51"/>
        <v>KCN7kg</v>
      </c>
    </row>
    <row r="771" spans="1:10" hidden="1">
      <c r="A771" s="79" t="s">
        <v>1041</v>
      </c>
      <c r="B771" s="1779" t="s">
        <v>1692</v>
      </c>
      <c r="C771" s="81" t="s">
        <v>3284</v>
      </c>
      <c r="D771" s="80" t="s">
        <v>2541</v>
      </c>
      <c r="E771" s="2275" t="str">
        <f t="shared" si="52"/>
        <v>KC</v>
      </c>
      <c r="F771" s="55">
        <v>2000</v>
      </c>
      <c r="J771" s="55" t="str">
        <f t="shared" si="51"/>
        <v>KCN9kg</v>
      </c>
    </row>
    <row r="772" spans="1:10" hidden="1">
      <c r="A772" s="79" t="s">
        <v>1693</v>
      </c>
      <c r="B772" s="1779" t="s">
        <v>1695</v>
      </c>
      <c r="C772" s="81" t="s">
        <v>3285</v>
      </c>
      <c r="D772" s="80" t="s">
        <v>2541</v>
      </c>
      <c r="E772" s="2275" t="str">
        <f t="shared" si="52"/>
        <v>KC</v>
      </c>
      <c r="F772" s="55">
        <v>2000</v>
      </c>
      <c r="J772" s="55" t="str">
        <f t="shared" si="51"/>
        <v>KCN10kg</v>
      </c>
    </row>
    <row r="773" spans="1:10" hidden="1">
      <c r="A773" s="79" t="s">
        <v>1694</v>
      </c>
      <c r="B773" s="1779" t="s">
        <v>1696</v>
      </c>
      <c r="C773" s="81" t="s">
        <v>3286</v>
      </c>
      <c r="D773" s="80" t="s">
        <v>2541</v>
      </c>
      <c r="E773" s="2275" t="str">
        <f t="shared" si="52"/>
        <v>KC</v>
      </c>
      <c r="F773" s="55">
        <v>2000</v>
      </c>
      <c r="J773" s="55" t="str">
        <f t="shared" si="51"/>
        <v>KCN12kg</v>
      </c>
    </row>
    <row r="774" spans="1:10" hidden="1">
      <c r="A774" s="79" t="s">
        <v>1202</v>
      </c>
      <c r="B774" s="84" t="s">
        <v>1532</v>
      </c>
      <c r="C774" s="81" t="s">
        <v>3287</v>
      </c>
      <c r="D774" s="80" t="s">
        <v>2541</v>
      </c>
      <c r="E774" s="2275" t="str">
        <f t="shared" si="52"/>
        <v>KC</v>
      </c>
      <c r="F774" s="55">
        <v>2000</v>
      </c>
      <c r="J774" s="55" t="str">
        <f t="shared" si="51"/>
        <v>KCNT1kg</v>
      </c>
    </row>
    <row r="775" spans="1:10" hidden="1">
      <c r="A775" s="79" t="s">
        <v>1203</v>
      </c>
      <c r="B775" s="84" t="s">
        <v>334</v>
      </c>
      <c r="C775" s="81" t="s">
        <v>3288</v>
      </c>
      <c r="D775" s="80" t="s">
        <v>2541</v>
      </c>
      <c r="E775" s="2275" t="str">
        <f t="shared" si="52"/>
        <v>KC</v>
      </c>
      <c r="F775" s="55">
        <v>2000</v>
      </c>
      <c r="J775" s="55" t="str">
        <f t="shared" si="51"/>
        <v>KCNT2kg</v>
      </c>
    </row>
    <row r="776" spans="1:10" hidden="1">
      <c r="A776" s="79" t="s">
        <v>1204</v>
      </c>
      <c r="B776" s="84" t="s">
        <v>335</v>
      </c>
      <c r="C776" s="81" t="s">
        <v>3289</v>
      </c>
      <c r="D776" s="80" t="s">
        <v>2541</v>
      </c>
      <c r="E776" s="2275" t="str">
        <f t="shared" si="52"/>
        <v>KC</v>
      </c>
      <c r="F776" s="55">
        <v>2000</v>
      </c>
      <c r="J776" s="55" t="str">
        <f t="shared" si="51"/>
        <v>KCNT3kg</v>
      </c>
    </row>
    <row r="777" spans="1:10" hidden="1">
      <c r="A777" s="79" t="s">
        <v>1205</v>
      </c>
      <c r="B777" s="84" t="s">
        <v>336</v>
      </c>
      <c r="C777" s="81" t="s">
        <v>3290</v>
      </c>
      <c r="D777" s="80" t="s">
        <v>2541</v>
      </c>
      <c r="E777" s="2275" t="str">
        <f t="shared" si="52"/>
        <v>KC</v>
      </c>
      <c r="F777" s="55">
        <v>2000</v>
      </c>
      <c r="J777" s="55" t="str">
        <f t="shared" si="51"/>
        <v>KCNT4kg</v>
      </c>
    </row>
    <row r="778" spans="1:10" hidden="1">
      <c r="A778" s="79" t="s">
        <v>1206</v>
      </c>
      <c r="B778" s="84" t="s">
        <v>337</v>
      </c>
      <c r="C778" s="81" t="s">
        <v>3291</v>
      </c>
      <c r="D778" s="80" t="s">
        <v>2541</v>
      </c>
      <c r="E778" s="2275" t="str">
        <f t="shared" si="52"/>
        <v>KC</v>
      </c>
      <c r="F778" s="55">
        <v>2000</v>
      </c>
      <c r="J778" s="55" t="str">
        <f t="shared" ref="J778:J841" si="53">A778</f>
        <v>KCNT6kg</v>
      </c>
    </row>
    <row r="779" spans="1:10" hidden="1">
      <c r="A779" s="79" t="s">
        <v>1207</v>
      </c>
      <c r="B779" s="84" t="s">
        <v>1285</v>
      </c>
      <c r="C779" s="81" t="s">
        <v>3292</v>
      </c>
      <c r="D779" s="80" t="s">
        <v>2541</v>
      </c>
      <c r="E779" s="2275" t="str">
        <f t="shared" si="52"/>
        <v>KC</v>
      </c>
      <c r="F779" s="55">
        <v>2000</v>
      </c>
      <c r="J779" s="55" t="str">
        <f t="shared" si="53"/>
        <v>KCNT7kg</v>
      </c>
    </row>
    <row r="780" spans="1:10" hidden="1">
      <c r="A780" s="79" t="s">
        <v>1208</v>
      </c>
      <c r="B780" s="84" t="s">
        <v>338</v>
      </c>
      <c r="C780" s="81" t="s">
        <v>3293</v>
      </c>
      <c r="D780" s="80" t="s">
        <v>2541</v>
      </c>
      <c r="E780" s="2275" t="str">
        <f t="shared" si="52"/>
        <v>KC</v>
      </c>
      <c r="F780" s="55">
        <v>2000</v>
      </c>
      <c r="J780" s="55" t="str">
        <f t="shared" si="53"/>
        <v>KCNT9kg</v>
      </c>
    </row>
    <row r="781" spans="1:10" hidden="1">
      <c r="A781" s="79" t="s">
        <v>347</v>
      </c>
      <c r="B781" s="84" t="s">
        <v>434</v>
      </c>
      <c r="C781" s="81" t="s">
        <v>3294</v>
      </c>
      <c r="D781" s="80" t="s">
        <v>2448</v>
      </c>
      <c r="E781" s="2275" t="str">
        <f t="shared" si="52"/>
        <v>LS</v>
      </c>
      <c r="F781" s="55">
        <v>2000</v>
      </c>
      <c r="J781" s="55" t="str">
        <f t="shared" si="53"/>
        <v>LSD</v>
      </c>
    </row>
    <row r="782" spans="1:10" hidden="1">
      <c r="A782" s="79" t="s">
        <v>1232</v>
      </c>
      <c r="B782" s="84" t="s">
        <v>434</v>
      </c>
      <c r="C782" s="81" t="s">
        <v>3295</v>
      </c>
      <c r="D782" s="80" t="s">
        <v>2448</v>
      </c>
      <c r="E782" s="2275" t="str">
        <f t="shared" si="52"/>
        <v>LS</v>
      </c>
      <c r="F782" s="55">
        <v>2000</v>
      </c>
      <c r="J782" s="55" t="str">
        <f t="shared" si="53"/>
        <v>LSD_T</v>
      </c>
    </row>
    <row r="783" spans="1:10" hidden="1">
      <c r="A783" s="79" t="s">
        <v>1186</v>
      </c>
      <c r="B783" s="84" t="s">
        <v>928</v>
      </c>
      <c r="C783" s="81" t="s">
        <v>3296</v>
      </c>
      <c r="D783" s="80" t="s">
        <v>2448</v>
      </c>
      <c r="E783" s="2275" t="str">
        <f t="shared" si="52"/>
        <v>ls</v>
      </c>
      <c r="F783" s="55">
        <v>2000</v>
      </c>
      <c r="J783" s="55" t="str">
        <f t="shared" si="53"/>
        <v>lsd35</v>
      </c>
    </row>
    <row r="784" spans="1:10" hidden="1">
      <c r="A784" s="79" t="s">
        <v>349</v>
      </c>
      <c r="B784" s="84" t="s">
        <v>1254</v>
      </c>
      <c r="C784" s="81" t="s">
        <v>3297</v>
      </c>
      <c r="D784" s="80" t="s">
        <v>2521</v>
      </c>
      <c r="E784" s="2275" t="str">
        <f t="shared" si="52"/>
        <v>LC</v>
      </c>
      <c r="F784" s="55">
        <v>2000</v>
      </c>
      <c r="J784" s="55" t="str">
        <f t="shared" si="53"/>
        <v>LCHSD</v>
      </c>
    </row>
    <row r="785" spans="1:10" hidden="1">
      <c r="A785" s="79" t="s">
        <v>350</v>
      </c>
      <c r="B785" s="84" t="s">
        <v>294</v>
      </c>
      <c r="C785" s="81" t="s">
        <v>3298</v>
      </c>
      <c r="D785" s="80" t="s">
        <v>2521</v>
      </c>
      <c r="E785" s="2275" t="str">
        <f t="shared" si="52"/>
        <v>LC</v>
      </c>
      <c r="F785" s="55">
        <v>2000</v>
      </c>
      <c r="J785" s="55" t="str">
        <f t="shared" si="53"/>
        <v>LCHSN</v>
      </c>
    </row>
    <row r="786" spans="1:10" hidden="1">
      <c r="A786" s="79" t="s">
        <v>1512</v>
      </c>
      <c r="B786" s="84" t="s">
        <v>4370</v>
      </c>
      <c r="C786" s="81" t="s">
        <v>3299</v>
      </c>
      <c r="D786" s="80" t="s">
        <v>2521</v>
      </c>
      <c r="E786" s="2275" t="str">
        <f t="shared" si="52"/>
        <v>LC</v>
      </c>
      <c r="F786" s="55">
        <v>2000</v>
      </c>
      <c r="J786" s="55" t="str">
        <f t="shared" si="53"/>
        <v>LCHSNply</v>
      </c>
    </row>
    <row r="787" spans="1:10" hidden="1">
      <c r="A787" s="79" t="s">
        <v>626</v>
      </c>
      <c r="B787" s="84" t="s">
        <v>627</v>
      </c>
      <c r="C787" s="81" t="s">
        <v>3300</v>
      </c>
      <c r="D787" s="80" t="s">
        <v>2521</v>
      </c>
      <c r="E787" s="2275" t="str">
        <f t="shared" si="52"/>
        <v>LC</v>
      </c>
      <c r="F787" s="55">
        <v>2000</v>
      </c>
      <c r="J787" s="55" t="str">
        <f t="shared" si="53"/>
        <v>LCHSN3</v>
      </c>
    </row>
    <row r="788" spans="1:10" hidden="1">
      <c r="A788" s="79" t="s">
        <v>351</v>
      </c>
      <c r="B788" s="84" t="s">
        <v>4369</v>
      </c>
      <c r="C788" s="81" t="s">
        <v>3301</v>
      </c>
      <c r="D788" s="80" t="s">
        <v>2448</v>
      </c>
      <c r="E788" s="2275" t="str">
        <f t="shared" si="52"/>
        <v>LS</v>
      </c>
      <c r="F788" s="55">
        <v>2000</v>
      </c>
      <c r="J788" s="55" t="str">
        <f t="shared" si="53"/>
        <v>LSOC</v>
      </c>
    </row>
    <row r="789" spans="1:10" hidden="1">
      <c r="A789" s="79" t="s">
        <v>125</v>
      </c>
      <c r="B789" s="84" t="s">
        <v>126</v>
      </c>
      <c r="C789" s="81" t="s">
        <v>3302</v>
      </c>
      <c r="D789" s="80" t="s">
        <v>2448</v>
      </c>
      <c r="E789" s="2275" t="str">
        <f t="shared" si="52"/>
        <v>LR</v>
      </c>
      <c r="F789" s="55">
        <v>2000</v>
      </c>
      <c r="J789" s="55" t="str">
        <f t="shared" si="53"/>
        <v>LR2</v>
      </c>
    </row>
    <row r="790" spans="1:10" hidden="1">
      <c r="A790" s="79" t="s">
        <v>452</v>
      </c>
      <c r="B790" s="84" t="s">
        <v>1013</v>
      </c>
      <c r="C790" s="81" t="s">
        <v>3303</v>
      </c>
      <c r="D790" s="80" t="s">
        <v>2448</v>
      </c>
      <c r="E790" s="2275" t="str">
        <f t="shared" si="52"/>
        <v>LR</v>
      </c>
      <c r="F790" s="55">
        <v>2000</v>
      </c>
      <c r="J790" s="55" t="str">
        <f t="shared" si="53"/>
        <v>LR3</v>
      </c>
    </row>
    <row r="791" spans="1:10" hidden="1">
      <c r="A791" s="79" t="s">
        <v>691</v>
      </c>
      <c r="B791" s="84" t="s">
        <v>1014</v>
      </c>
      <c r="C791" s="81" t="s">
        <v>3304</v>
      </c>
      <c r="D791" s="80" t="s">
        <v>2448</v>
      </c>
      <c r="E791" s="2275" t="str">
        <f t="shared" si="52"/>
        <v>LR</v>
      </c>
      <c r="F791" s="55">
        <v>2000</v>
      </c>
      <c r="J791" s="55" t="str">
        <f t="shared" si="53"/>
        <v>LR4</v>
      </c>
    </row>
    <row r="792" spans="1:10" hidden="1">
      <c r="A792" s="79" t="s">
        <v>2172</v>
      </c>
      <c r="B792" s="1779" t="s">
        <v>2173</v>
      </c>
      <c r="C792" s="81" t="s">
        <v>3305</v>
      </c>
      <c r="D792" s="80" t="s">
        <v>2842</v>
      </c>
      <c r="E792" s="2275" t="str">
        <f t="shared" si="52"/>
        <v>LT</v>
      </c>
      <c r="F792" s="55">
        <v>2000</v>
      </c>
      <c r="J792" s="55" t="str">
        <f t="shared" si="53"/>
        <v>LTRUHL-I</v>
      </c>
    </row>
    <row r="793" spans="1:10" hidden="1">
      <c r="A793" s="79" t="s">
        <v>160</v>
      </c>
      <c r="B793" s="1779" t="s">
        <v>156</v>
      </c>
      <c r="C793" s="81" t="s">
        <v>3306</v>
      </c>
      <c r="D793" s="80" t="s">
        <v>2448</v>
      </c>
      <c r="E793" s="2275" t="str">
        <f t="shared" si="52"/>
        <v>LS</v>
      </c>
      <c r="F793" s="55">
        <v>2000</v>
      </c>
      <c r="J793" s="55" t="str">
        <f t="shared" si="53"/>
        <v>LSDHL-DX</v>
      </c>
    </row>
    <row r="794" spans="1:10" hidden="1">
      <c r="A794" s="79" t="s">
        <v>155</v>
      </c>
      <c r="B794" s="1779" t="s">
        <v>157</v>
      </c>
      <c r="C794" s="81" t="s">
        <v>3307</v>
      </c>
      <c r="D794" s="80" t="s">
        <v>2448</v>
      </c>
      <c r="E794" s="2275" t="str">
        <f t="shared" si="52"/>
        <v>LC</v>
      </c>
      <c r="F794" s="55">
        <v>2000</v>
      </c>
      <c r="J794" s="55" t="str">
        <f t="shared" si="53"/>
        <v>LCHSNplyHL</v>
      </c>
    </row>
    <row r="795" spans="1:10" hidden="1">
      <c r="A795" s="79" t="s">
        <v>401</v>
      </c>
      <c r="B795" s="1779" t="s">
        <v>402</v>
      </c>
      <c r="C795" s="81" t="s">
        <v>3308</v>
      </c>
      <c r="D795" s="80" t="s">
        <v>3309</v>
      </c>
      <c r="E795" s="2275" t="str">
        <f t="shared" si="52"/>
        <v>DN</v>
      </c>
      <c r="F795" s="55">
        <v>2000</v>
      </c>
      <c r="J795" s="55" t="str">
        <f t="shared" si="53"/>
        <v>DN CL</v>
      </c>
    </row>
    <row r="796" spans="1:10" hidden="1">
      <c r="A796" s="79" t="s">
        <v>159</v>
      </c>
      <c r="B796" s="1779" t="s">
        <v>158</v>
      </c>
      <c r="C796" s="81" t="s">
        <v>3310</v>
      </c>
      <c r="D796" s="80" t="s">
        <v>2448</v>
      </c>
      <c r="E796" s="2275" t="str">
        <f t="shared" si="52"/>
        <v>LX</v>
      </c>
      <c r="F796" s="55">
        <v>2000</v>
      </c>
      <c r="J796" s="55" t="str">
        <f t="shared" si="53"/>
        <v>LXHL</v>
      </c>
    </row>
    <row r="797" spans="1:10" hidden="1">
      <c r="A797" s="79" t="s">
        <v>161</v>
      </c>
      <c r="B797" s="1779" t="s">
        <v>325</v>
      </c>
      <c r="C797" s="81" t="s">
        <v>3311</v>
      </c>
      <c r="D797" s="80" t="s">
        <v>2448</v>
      </c>
      <c r="E797" s="2275" t="str">
        <f t="shared" si="52"/>
        <v>LS</v>
      </c>
      <c r="F797" s="55">
        <v>2000</v>
      </c>
      <c r="J797" s="55" t="str">
        <f t="shared" si="53"/>
        <v>LSDHL-V</v>
      </c>
    </row>
    <row r="798" spans="1:10" hidden="1">
      <c r="A798" s="79" t="s">
        <v>327</v>
      </c>
      <c r="B798" s="1779" t="s">
        <v>326</v>
      </c>
      <c r="C798" s="81" t="s">
        <v>3312</v>
      </c>
      <c r="D798" s="80" t="s">
        <v>2448</v>
      </c>
      <c r="E798" s="2275" t="str">
        <f t="shared" si="52"/>
        <v>LF</v>
      </c>
      <c r="F798" s="55">
        <v>2000</v>
      </c>
      <c r="J798" s="55" t="str">
        <f t="shared" si="53"/>
        <v>LFCOHL</v>
      </c>
    </row>
    <row r="799" spans="1:10" hidden="1">
      <c r="A799" s="79" t="s">
        <v>328</v>
      </c>
      <c r="B799" s="1779" t="s">
        <v>326</v>
      </c>
      <c r="C799" s="81" t="s">
        <v>3313</v>
      </c>
      <c r="D799" s="80" t="s">
        <v>2566</v>
      </c>
      <c r="E799" s="2275" t="str">
        <f t="shared" si="52"/>
        <v>LL</v>
      </c>
      <c r="F799" s="55">
        <v>2000</v>
      </c>
      <c r="J799" s="55" t="str">
        <f t="shared" si="53"/>
        <v>LLAHL</v>
      </c>
    </row>
    <row r="800" spans="1:10" hidden="1">
      <c r="A800" s="79" t="s">
        <v>352</v>
      </c>
      <c r="B800" s="84" t="s">
        <v>2130</v>
      </c>
      <c r="C800" s="81" t="s">
        <v>3314</v>
      </c>
      <c r="D800" s="80" t="s">
        <v>2566</v>
      </c>
      <c r="E800" s="2275" t="str">
        <f t="shared" ref="E800:E863" si="54">LEFT(A800,2)</f>
        <v>LB</v>
      </c>
      <c r="F800" s="55">
        <v>2000</v>
      </c>
      <c r="J800" s="55" t="str">
        <f t="shared" si="53"/>
        <v>LBNH</v>
      </c>
    </row>
    <row r="801" spans="1:10" hidden="1">
      <c r="A801" s="79" t="s">
        <v>850</v>
      </c>
      <c r="B801" s="84" t="s">
        <v>2257</v>
      </c>
      <c r="C801" s="81" t="s">
        <v>3315</v>
      </c>
      <c r="D801" s="80" t="s">
        <v>1829</v>
      </c>
      <c r="E801" s="2275" t="str">
        <f t="shared" si="54"/>
        <v>Lc</v>
      </c>
      <c r="F801" s="55">
        <v>2000</v>
      </c>
      <c r="J801" s="55" t="str">
        <f t="shared" si="53"/>
        <v>LcapdongTB95</v>
      </c>
    </row>
    <row r="802" spans="1:10" hidden="1">
      <c r="A802" s="79" t="s">
        <v>851</v>
      </c>
      <c r="B802" s="84" t="s">
        <v>33</v>
      </c>
      <c r="C802" s="81" t="s">
        <v>3316</v>
      </c>
      <c r="D802" s="80" t="s">
        <v>1829</v>
      </c>
      <c r="E802" s="2275" t="str">
        <f t="shared" si="54"/>
        <v>Lc</v>
      </c>
      <c r="F802" s="55">
        <v>2000</v>
      </c>
      <c r="J802" s="55" t="str">
        <f t="shared" si="53"/>
        <v>LcapdongTB150</v>
      </c>
    </row>
    <row r="803" spans="1:10" hidden="1">
      <c r="A803" s="79" t="s">
        <v>1896</v>
      </c>
      <c r="B803" s="84" t="s">
        <v>1016</v>
      </c>
      <c r="C803" s="81" t="s">
        <v>3317</v>
      </c>
      <c r="D803" s="80" t="s">
        <v>1829</v>
      </c>
      <c r="E803" s="2275" t="str">
        <f t="shared" si="54"/>
        <v>Lc</v>
      </c>
      <c r="F803" s="55">
        <v>2000</v>
      </c>
      <c r="J803" s="55" t="str">
        <f t="shared" si="53"/>
        <v>LcapdongTB240</v>
      </c>
    </row>
    <row r="804" spans="1:10" hidden="1">
      <c r="A804" s="79" t="s">
        <v>833</v>
      </c>
      <c r="B804" s="84" t="s">
        <v>435</v>
      </c>
      <c r="C804" s="81" t="s">
        <v>3318</v>
      </c>
      <c r="D804" s="80" t="s">
        <v>2566</v>
      </c>
      <c r="E804" s="2275" t="str">
        <f t="shared" si="54"/>
        <v>LF</v>
      </c>
      <c r="F804" s="55">
        <v>2000</v>
      </c>
      <c r="J804" s="55" t="str">
        <f t="shared" si="53"/>
        <v>LFCO</v>
      </c>
    </row>
    <row r="805" spans="1:10" hidden="1">
      <c r="A805" s="79" t="s">
        <v>1403</v>
      </c>
      <c r="B805" s="84" t="s">
        <v>435</v>
      </c>
      <c r="C805" s="81" t="s">
        <v>3319</v>
      </c>
      <c r="D805" s="80" t="s">
        <v>2566</v>
      </c>
      <c r="E805" s="2275" t="str">
        <f t="shared" si="54"/>
        <v>LL</v>
      </c>
      <c r="F805" s="55">
        <v>2000</v>
      </c>
      <c r="J805" s="55" t="str">
        <f t="shared" si="53"/>
        <v>LLBFCO</v>
      </c>
    </row>
    <row r="806" spans="1:10">
      <c r="A806" s="79" t="s">
        <v>1404</v>
      </c>
      <c r="B806" s="84" t="s">
        <v>682</v>
      </c>
      <c r="C806" s="81" t="s">
        <v>2535</v>
      </c>
      <c r="D806" s="80" t="s">
        <v>2448</v>
      </c>
      <c r="E806" s="2275" t="str">
        <f t="shared" si="54"/>
        <v>LG</v>
      </c>
      <c r="F806" s="55">
        <v>2000</v>
      </c>
      <c r="J806" s="55" t="str">
        <f t="shared" si="53"/>
        <v>LGFCO</v>
      </c>
    </row>
    <row r="807" spans="1:10" hidden="1">
      <c r="A807" s="79" t="s">
        <v>98</v>
      </c>
      <c r="B807" s="84" t="s">
        <v>99</v>
      </c>
      <c r="C807" s="81" t="s">
        <v>3320</v>
      </c>
      <c r="D807" s="80" t="s">
        <v>1966</v>
      </c>
      <c r="E807" s="2275" t="str">
        <f t="shared" si="54"/>
        <v>PT</v>
      </c>
      <c r="F807" s="55">
        <v>2000</v>
      </c>
      <c r="J807" s="55" t="str">
        <f t="shared" si="53"/>
        <v>PT</v>
      </c>
    </row>
    <row r="808" spans="1:10" hidden="1">
      <c r="A808" s="79" t="s">
        <v>1218</v>
      </c>
      <c r="B808" s="84" t="s">
        <v>849</v>
      </c>
      <c r="C808" s="81" t="s">
        <v>3321</v>
      </c>
      <c r="D808" s="80" t="s">
        <v>1966</v>
      </c>
      <c r="E808" s="2275" t="str">
        <f t="shared" si="54"/>
        <v>PH</v>
      </c>
      <c r="F808" s="55">
        <v>2000</v>
      </c>
      <c r="J808" s="55" t="str">
        <f t="shared" si="53"/>
        <v>PHABETONG</v>
      </c>
    </row>
    <row r="809" spans="1:10" hidden="1">
      <c r="B809" s="1799"/>
      <c r="C809" s="1800"/>
      <c r="D809" s="1801"/>
      <c r="E809" s="2275" t="str">
        <f t="shared" si="54"/>
        <v/>
      </c>
      <c r="J809" s="55">
        <f t="shared" si="53"/>
        <v>0</v>
      </c>
    </row>
    <row r="810" spans="1:10" hidden="1">
      <c r="B810" s="1802"/>
      <c r="C810" s="1803"/>
      <c r="D810" s="1804"/>
      <c r="E810" s="2275" t="str">
        <f t="shared" si="54"/>
        <v/>
      </c>
      <c r="J810" s="55">
        <f t="shared" si="53"/>
        <v>0</v>
      </c>
    </row>
    <row r="811" spans="1:10" hidden="1">
      <c r="B811" s="1802"/>
      <c r="C811" s="1803"/>
      <c r="D811" s="1804"/>
      <c r="E811" s="2275" t="str">
        <f t="shared" si="54"/>
        <v/>
      </c>
      <c r="J811" s="55">
        <f t="shared" si="53"/>
        <v>0</v>
      </c>
    </row>
    <row r="812" spans="1:10" hidden="1">
      <c r="A812" s="1803"/>
      <c r="B812" s="1805"/>
      <c r="C812" s="1806"/>
      <c r="D812" s="1804"/>
      <c r="E812" s="2275" t="str">
        <f t="shared" si="54"/>
        <v/>
      </c>
      <c r="J812" s="55">
        <f t="shared" si="53"/>
        <v>0</v>
      </c>
    </row>
    <row r="813" spans="1:10" hidden="1">
      <c r="A813" s="1778" t="s">
        <v>4434</v>
      </c>
      <c r="B813" s="1807"/>
      <c r="C813" s="1778"/>
      <c r="D813" s="1792"/>
      <c r="E813" s="2275" t="str">
        <f t="shared" si="54"/>
        <v>Bả</v>
      </c>
      <c r="J813" s="55" t="str">
        <f t="shared" si="53"/>
        <v>Bảng kê đơn Giá trạm biến áp ( 66/1999/QĐ-BCN)</v>
      </c>
    </row>
    <row r="814" spans="1:10" hidden="1">
      <c r="A814" s="1778"/>
      <c r="B814" s="1807"/>
      <c r="C814" s="1778"/>
      <c r="D814" s="1791"/>
      <c r="E814" s="2275" t="str">
        <f t="shared" si="54"/>
        <v/>
      </c>
      <c r="J814" s="55">
        <f t="shared" si="53"/>
        <v>0</v>
      </c>
    </row>
    <row r="815" spans="1:10" hidden="1">
      <c r="A815" s="1793" t="s">
        <v>2614</v>
      </c>
      <c r="B815" s="1795" t="s">
        <v>2615</v>
      </c>
      <c r="C815" s="1793" t="s">
        <v>3065</v>
      </c>
      <c r="D815" s="1795" t="s">
        <v>2617</v>
      </c>
      <c r="E815" s="2275" t="str">
        <f t="shared" si="54"/>
        <v>Mã</v>
      </c>
      <c r="J815" s="55" t="str">
        <f t="shared" si="53"/>
        <v>Mã</v>
      </c>
    </row>
    <row r="816" spans="1:10" hidden="1">
      <c r="A816" s="1793">
        <v>1</v>
      </c>
      <c r="B816" s="1795">
        <v>2</v>
      </c>
      <c r="C816" s="1793">
        <v>3</v>
      </c>
      <c r="D816" s="1795">
        <v>4</v>
      </c>
      <c r="E816" s="2275" t="str">
        <f t="shared" si="54"/>
        <v>1</v>
      </c>
      <c r="J816" s="55">
        <f t="shared" si="53"/>
        <v>1</v>
      </c>
    </row>
    <row r="817" spans="1:10" hidden="1">
      <c r="A817" s="79" t="s">
        <v>1629</v>
      </c>
      <c r="B817" s="1779" t="s">
        <v>781</v>
      </c>
      <c r="C817" s="81" t="s">
        <v>3322</v>
      </c>
      <c r="D817" s="80" t="s">
        <v>3323</v>
      </c>
      <c r="E817" s="2275" t="str">
        <f t="shared" si="54"/>
        <v>TR</v>
      </c>
      <c r="F817" s="55">
        <v>1</v>
      </c>
      <c r="G817" s="55" t="s">
        <v>512</v>
      </c>
      <c r="J817" s="55" t="str">
        <f t="shared" si="53"/>
        <v>TR15</v>
      </c>
    </row>
    <row r="818" spans="1:10" hidden="1">
      <c r="A818" s="79" t="s">
        <v>937</v>
      </c>
      <c r="B818" s="1779" t="s">
        <v>781</v>
      </c>
      <c r="C818" s="81" t="s">
        <v>3324</v>
      </c>
      <c r="D818" s="80" t="s">
        <v>3323</v>
      </c>
      <c r="E818" s="2275" t="str">
        <f t="shared" si="54"/>
        <v>TR</v>
      </c>
      <c r="F818" s="55">
        <v>1</v>
      </c>
      <c r="G818" s="55" t="s">
        <v>512</v>
      </c>
      <c r="J818" s="55" t="str">
        <f t="shared" si="53"/>
        <v>TR25</v>
      </c>
    </row>
    <row r="819" spans="1:10" hidden="1">
      <c r="A819" s="79" t="s">
        <v>1654</v>
      </c>
      <c r="B819" s="1779" t="s">
        <v>1655</v>
      </c>
      <c r="C819" s="81" t="s">
        <v>3325</v>
      </c>
      <c r="D819" s="80" t="s">
        <v>3323</v>
      </c>
      <c r="E819" s="2275" t="str">
        <f t="shared" si="54"/>
        <v>TR</v>
      </c>
      <c r="F819" s="55">
        <v>1</v>
      </c>
      <c r="G819" s="55" t="s">
        <v>512</v>
      </c>
      <c r="J819" s="55" t="str">
        <f t="shared" si="53"/>
        <v>TR37</v>
      </c>
    </row>
    <row r="820" spans="1:10" hidden="1">
      <c r="A820" s="79" t="s">
        <v>948</v>
      </c>
      <c r="B820" s="1779" t="s">
        <v>1655</v>
      </c>
      <c r="C820" s="81" t="s">
        <v>3326</v>
      </c>
      <c r="D820" s="80" t="s">
        <v>3323</v>
      </c>
      <c r="E820" s="2275" t="str">
        <f t="shared" si="54"/>
        <v>TR</v>
      </c>
      <c r="F820" s="55">
        <v>1</v>
      </c>
      <c r="G820" s="55" t="s">
        <v>512</v>
      </c>
      <c r="J820" s="55" t="str">
        <f t="shared" si="53"/>
        <v>TR50</v>
      </c>
    </row>
    <row r="821" spans="1:10" hidden="1">
      <c r="A821" s="79" t="s">
        <v>1836</v>
      </c>
      <c r="B821" s="1779" t="s">
        <v>214</v>
      </c>
      <c r="C821" s="81" t="s">
        <v>3327</v>
      </c>
      <c r="D821" s="80" t="s">
        <v>3323</v>
      </c>
      <c r="E821" s="2275" t="str">
        <f t="shared" si="54"/>
        <v>TR</v>
      </c>
      <c r="F821" s="55">
        <v>1</v>
      </c>
      <c r="G821" s="55" t="s">
        <v>512</v>
      </c>
      <c r="J821" s="55" t="str">
        <f t="shared" si="53"/>
        <v>TR75</v>
      </c>
    </row>
    <row r="822" spans="1:10" hidden="1">
      <c r="A822" s="79" t="s">
        <v>502</v>
      </c>
      <c r="B822" s="84" t="s">
        <v>1861</v>
      </c>
      <c r="C822" s="81" t="s">
        <v>3328</v>
      </c>
      <c r="D822" s="80" t="s">
        <v>3323</v>
      </c>
      <c r="E822" s="2275" t="str">
        <f t="shared" si="54"/>
        <v>T1</v>
      </c>
      <c r="F822" s="55">
        <v>1</v>
      </c>
      <c r="G822" s="55" t="s">
        <v>512</v>
      </c>
      <c r="J822" s="55" t="str">
        <f t="shared" si="53"/>
        <v>T100</v>
      </c>
    </row>
    <row r="823" spans="1:10" hidden="1">
      <c r="A823" s="79" t="s">
        <v>824</v>
      </c>
      <c r="B823" s="1779" t="s">
        <v>781</v>
      </c>
      <c r="C823" s="81" t="s">
        <v>3329</v>
      </c>
      <c r="D823" s="80" t="s">
        <v>3323</v>
      </c>
      <c r="E823" s="2275" t="str">
        <f t="shared" si="54"/>
        <v>TR</v>
      </c>
      <c r="F823" s="55">
        <v>1</v>
      </c>
      <c r="G823" s="55" t="s">
        <v>512</v>
      </c>
      <c r="J823" s="55" t="str">
        <f t="shared" si="53"/>
        <v>TR151</v>
      </c>
    </row>
    <row r="824" spans="1:10" hidden="1">
      <c r="A824" s="79" t="s">
        <v>1212</v>
      </c>
      <c r="B824" s="1779" t="s">
        <v>781</v>
      </c>
      <c r="C824" s="81" t="s">
        <v>3330</v>
      </c>
      <c r="D824" s="80" t="s">
        <v>3323</v>
      </c>
      <c r="E824" s="2275" t="str">
        <f t="shared" si="54"/>
        <v>TR</v>
      </c>
      <c r="F824" s="55">
        <v>1</v>
      </c>
      <c r="G824" s="55" t="s">
        <v>512</v>
      </c>
      <c r="J824" s="55" t="str">
        <f t="shared" si="53"/>
        <v>TR251</v>
      </c>
    </row>
    <row r="825" spans="1:10" hidden="1">
      <c r="A825" s="79" t="s">
        <v>1213</v>
      </c>
      <c r="B825" s="1779" t="s">
        <v>1749</v>
      </c>
      <c r="C825" s="81" t="s">
        <v>3331</v>
      </c>
      <c r="D825" s="80" t="s">
        <v>3323</v>
      </c>
      <c r="E825" s="2275" t="str">
        <f t="shared" si="54"/>
        <v>TR</v>
      </c>
      <c r="F825" s="55">
        <v>1</v>
      </c>
      <c r="G825" s="55" t="s">
        <v>512</v>
      </c>
      <c r="J825" s="55" t="str">
        <f t="shared" si="53"/>
        <v>TR371</v>
      </c>
    </row>
    <row r="826" spans="1:10" hidden="1">
      <c r="A826" s="79" t="s">
        <v>1214</v>
      </c>
      <c r="B826" s="1779" t="s">
        <v>1655</v>
      </c>
      <c r="C826" s="81" t="s">
        <v>4813</v>
      </c>
      <c r="D826" s="80" t="s">
        <v>3323</v>
      </c>
      <c r="E826" s="2275" t="str">
        <f t="shared" si="54"/>
        <v>TR</v>
      </c>
      <c r="F826" s="55">
        <v>1</v>
      </c>
      <c r="G826" s="55" t="s">
        <v>512</v>
      </c>
      <c r="J826" s="55" t="str">
        <f t="shared" si="53"/>
        <v>TR501</v>
      </c>
    </row>
    <row r="827" spans="1:10" hidden="1">
      <c r="A827" s="79" t="s">
        <v>1215</v>
      </c>
      <c r="B827" s="1779" t="s">
        <v>214</v>
      </c>
      <c r="C827" s="81" t="s">
        <v>4555</v>
      </c>
      <c r="D827" s="80" t="s">
        <v>3323</v>
      </c>
      <c r="E827" s="2275" t="str">
        <f t="shared" si="54"/>
        <v>TR</v>
      </c>
      <c r="F827" s="55">
        <v>1</v>
      </c>
      <c r="G827" s="55" t="s">
        <v>512</v>
      </c>
      <c r="J827" s="55" t="str">
        <f t="shared" si="53"/>
        <v>TR751</v>
      </c>
    </row>
    <row r="828" spans="1:10" hidden="1">
      <c r="A828" s="79" t="s">
        <v>503</v>
      </c>
      <c r="B828" s="84" t="s">
        <v>1861</v>
      </c>
      <c r="C828" s="81" t="s">
        <v>3332</v>
      </c>
      <c r="D828" s="80" t="s">
        <v>3323</v>
      </c>
      <c r="E828" s="2275" t="str">
        <f t="shared" si="54"/>
        <v>T1</v>
      </c>
      <c r="F828" s="55">
        <v>1</v>
      </c>
      <c r="G828" s="55" t="s">
        <v>512</v>
      </c>
      <c r="J828" s="55" t="str">
        <f t="shared" si="53"/>
        <v>T1001</v>
      </c>
    </row>
    <row r="829" spans="1:10" hidden="1">
      <c r="A829" s="81" t="s">
        <v>249</v>
      </c>
      <c r="B829" s="1808" t="s">
        <v>931</v>
      </c>
      <c r="C829" s="81" t="s">
        <v>3333</v>
      </c>
      <c r="D829" s="80" t="s">
        <v>3323</v>
      </c>
      <c r="E829" s="2275" t="str">
        <f t="shared" si="54"/>
        <v>TR</v>
      </c>
      <c r="F829" s="55">
        <v>1</v>
      </c>
      <c r="G829" s="55" t="s">
        <v>512</v>
      </c>
      <c r="J829" s="55" t="str">
        <f t="shared" si="53"/>
        <v>TR100</v>
      </c>
    </row>
    <row r="830" spans="1:10" hidden="1">
      <c r="A830" s="81" t="s">
        <v>1507</v>
      </c>
      <c r="B830" s="1808" t="s">
        <v>1862</v>
      </c>
      <c r="C830" s="81" t="s">
        <v>3334</v>
      </c>
      <c r="D830" s="80" t="s">
        <v>3323</v>
      </c>
      <c r="E830" s="2275" t="str">
        <f t="shared" si="54"/>
        <v>TR</v>
      </c>
      <c r="F830" s="55">
        <v>1</v>
      </c>
      <c r="G830" s="55" t="s">
        <v>512</v>
      </c>
      <c r="J830" s="55" t="str">
        <f t="shared" si="53"/>
        <v>TR160</v>
      </c>
    </row>
    <row r="831" spans="1:10" hidden="1">
      <c r="A831" s="81" t="s">
        <v>1247</v>
      </c>
      <c r="B831" s="1808" t="s">
        <v>1862</v>
      </c>
      <c r="C831" s="81" t="s">
        <v>3335</v>
      </c>
      <c r="D831" s="80" t="s">
        <v>3323</v>
      </c>
      <c r="E831" s="2275" t="str">
        <f t="shared" si="54"/>
        <v>TR</v>
      </c>
      <c r="F831" s="55">
        <v>1</v>
      </c>
      <c r="G831" s="55" t="s">
        <v>512</v>
      </c>
      <c r="J831" s="55" t="str">
        <f t="shared" si="53"/>
        <v>TR180</v>
      </c>
    </row>
    <row r="832" spans="1:10" hidden="1">
      <c r="A832" s="81" t="s">
        <v>2077</v>
      </c>
      <c r="B832" s="1808" t="s">
        <v>1863</v>
      </c>
      <c r="C832" s="81" t="s">
        <v>3336</v>
      </c>
      <c r="D832" s="80" t="s">
        <v>3323</v>
      </c>
      <c r="E832" s="2275" t="str">
        <f t="shared" si="54"/>
        <v>TR</v>
      </c>
      <c r="F832" s="55">
        <v>1</v>
      </c>
      <c r="G832" s="55" t="s">
        <v>512</v>
      </c>
      <c r="J832" s="55" t="str">
        <f t="shared" si="53"/>
        <v>TR250</v>
      </c>
    </row>
    <row r="833" spans="1:10" hidden="1">
      <c r="A833" s="81" t="s">
        <v>436</v>
      </c>
      <c r="B833" s="1808" t="s">
        <v>1863</v>
      </c>
      <c r="C833" s="81" t="s">
        <v>3337</v>
      </c>
      <c r="D833" s="80" t="s">
        <v>3323</v>
      </c>
      <c r="E833" s="2275" t="str">
        <f t="shared" si="54"/>
        <v>TR</v>
      </c>
      <c r="F833" s="55">
        <v>1</v>
      </c>
      <c r="G833" s="55" t="s">
        <v>512</v>
      </c>
      <c r="J833" s="55" t="str">
        <f t="shared" si="53"/>
        <v>TR320</v>
      </c>
    </row>
    <row r="834" spans="1:10" hidden="1">
      <c r="A834" s="81" t="s">
        <v>63</v>
      </c>
      <c r="B834" s="1808" t="s">
        <v>1863</v>
      </c>
      <c r="C834" s="81" t="s">
        <v>3338</v>
      </c>
      <c r="D834" s="80" t="s">
        <v>3323</v>
      </c>
      <c r="E834" s="2275" t="str">
        <f t="shared" si="54"/>
        <v>TR</v>
      </c>
      <c r="F834" s="55">
        <v>1</v>
      </c>
      <c r="G834" s="55" t="s">
        <v>512</v>
      </c>
      <c r="J834" s="55" t="str">
        <f t="shared" si="53"/>
        <v>TR400</v>
      </c>
    </row>
    <row r="835" spans="1:10" hidden="1">
      <c r="A835" s="81" t="s">
        <v>845</v>
      </c>
      <c r="B835" s="1808" t="s">
        <v>1864</v>
      </c>
      <c r="C835" s="81" t="s">
        <v>3339</v>
      </c>
      <c r="D835" s="80" t="s">
        <v>3323</v>
      </c>
      <c r="E835" s="2275" t="str">
        <f t="shared" si="54"/>
        <v>TR</v>
      </c>
      <c r="F835" s="55">
        <v>1</v>
      </c>
      <c r="G835" s="55" t="s">
        <v>512</v>
      </c>
      <c r="J835" s="55" t="str">
        <f t="shared" si="53"/>
        <v>TR560</v>
      </c>
    </row>
    <row r="836" spans="1:10" hidden="1">
      <c r="A836" s="81" t="s">
        <v>879</v>
      </c>
      <c r="B836" s="1808" t="s">
        <v>1864</v>
      </c>
      <c r="C836" s="81" t="s">
        <v>3340</v>
      </c>
      <c r="D836" s="80" t="s">
        <v>3323</v>
      </c>
      <c r="E836" s="2275" t="str">
        <f t="shared" si="54"/>
        <v>TR</v>
      </c>
      <c r="F836" s="55">
        <v>1</v>
      </c>
      <c r="G836" s="55" t="s">
        <v>512</v>
      </c>
      <c r="J836" s="55" t="str">
        <f t="shared" si="53"/>
        <v>TR630</v>
      </c>
    </row>
    <row r="837" spans="1:10" hidden="1">
      <c r="A837" s="81" t="s">
        <v>2174</v>
      </c>
      <c r="B837" s="1808" t="s">
        <v>1865</v>
      </c>
      <c r="C837" s="81" t="s">
        <v>3341</v>
      </c>
      <c r="D837" s="80" t="s">
        <v>3323</v>
      </c>
      <c r="E837" s="2275" t="str">
        <f t="shared" si="54"/>
        <v>TR</v>
      </c>
      <c r="F837" s="55">
        <v>1</v>
      </c>
      <c r="G837" s="55" t="s">
        <v>512</v>
      </c>
      <c r="J837" s="55" t="str">
        <f t="shared" si="53"/>
        <v>TR750</v>
      </c>
    </row>
    <row r="838" spans="1:10" hidden="1">
      <c r="A838" s="81" t="s">
        <v>1986</v>
      </c>
      <c r="B838" s="1808" t="s">
        <v>1865</v>
      </c>
      <c r="C838" s="81" t="s">
        <v>3342</v>
      </c>
      <c r="D838" s="80" t="s">
        <v>3323</v>
      </c>
      <c r="E838" s="2275" t="str">
        <f t="shared" si="54"/>
        <v>TR</v>
      </c>
      <c r="F838" s="55">
        <v>1</v>
      </c>
      <c r="G838" s="55" t="s">
        <v>512</v>
      </c>
      <c r="J838" s="55" t="str">
        <f t="shared" si="53"/>
        <v>TR1000</v>
      </c>
    </row>
    <row r="839" spans="1:10" hidden="1">
      <c r="A839" s="81" t="s">
        <v>696</v>
      </c>
      <c r="B839" s="1808" t="s">
        <v>1865</v>
      </c>
      <c r="C839" s="81" t="s">
        <v>3343</v>
      </c>
      <c r="D839" s="80" t="s">
        <v>3323</v>
      </c>
      <c r="E839" s="2275" t="str">
        <f t="shared" si="54"/>
        <v>TR</v>
      </c>
      <c r="F839" s="55">
        <v>1</v>
      </c>
      <c r="G839" s="55" t="s">
        <v>512</v>
      </c>
      <c r="J839" s="55" t="str">
        <f t="shared" si="53"/>
        <v>TR1250</v>
      </c>
    </row>
    <row r="840" spans="1:10" hidden="1">
      <c r="A840" s="81" t="s">
        <v>1417</v>
      </c>
      <c r="B840" s="1808" t="s">
        <v>1865</v>
      </c>
      <c r="C840" s="81" t="s">
        <v>3344</v>
      </c>
      <c r="D840" s="80" t="s">
        <v>3323</v>
      </c>
      <c r="E840" s="2275" t="str">
        <f t="shared" si="54"/>
        <v>TR</v>
      </c>
      <c r="F840" s="55">
        <v>1</v>
      </c>
      <c r="G840" s="55" t="s">
        <v>512</v>
      </c>
      <c r="J840" s="55" t="str">
        <f t="shared" si="53"/>
        <v>TR1500</v>
      </c>
    </row>
    <row r="841" spans="1:10" hidden="1">
      <c r="A841" s="81" t="s">
        <v>1457</v>
      </c>
      <c r="B841" s="1808" t="s">
        <v>1865</v>
      </c>
      <c r="C841" s="81" t="s">
        <v>3345</v>
      </c>
      <c r="D841" s="80" t="s">
        <v>3323</v>
      </c>
      <c r="E841" s="2275" t="str">
        <f t="shared" si="54"/>
        <v>TR</v>
      </c>
      <c r="F841" s="55">
        <v>1</v>
      </c>
      <c r="G841" s="55" t="s">
        <v>512</v>
      </c>
      <c r="J841" s="55" t="str">
        <f t="shared" si="53"/>
        <v>TR1600</v>
      </c>
    </row>
    <row r="842" spans="1:10" hidden="1">
      <c r="A842" s="81" t="s">
        <v>902</v>
      </c>
      <c r="B842" s="1808" t="s">
        <v>1865</v>
      </c>
      <c r="C842" s="81" t="s">
        <v>3346</v>
      </c>
      <c r="D842" s="80" t="s">
        <v>3323</v>
      </c>
      <c r="E842" s="2275" t="str">
        <f t="shared" si="54"/>
        <v>TR</v>
      </c>
      <c r="F842" s="55">
        <v>1</v>
      </c>
      <c r="G842" s="55" t="s">
        <v>512</v>
      </c>
      <c r="J842" s="55" t="str">
        <f t="shared" ref="J842:J905" si="55">A842</f>
        <v>TR2000</v>
      </c>
    </row>
    <row r="843" spans="1:10" hidden="1">
      <c r="A843" s="81" t="s">
        <v>1426</v>
      </c>
      <c r="B843" s="1808" t="s">
        <v>1865</v>
      </c>
      <c r="C843" s="81" t="s">
        <v>3347</v>
      </c>
      <c r="D843" s="80" t="s">
        <v>3323</v>
      </c>
      <c r="E843" s="2275" t="str">
        <f t="shared" si="54"/>
        <v>TR</v>
      </c>
      <c r="F843" s="55">
        <v>1</v>
      </c>
      <c r="G843" s="55" t="s">
        <v>512</v>
      </c>
      <c r="J843" s="55" t="str">
        <f t="shared" si="55"/>
        <v>TR2500</v>
      </c>
    </row>
    <row r="844" spans="1:10" hidden="1">
      <c r="A844" s="81" t="s">
        <v>1427</v>
      </c>
      <c r="B844" s="1808" t="s">
        <v>1865</v>
      </c>
      <c r="C844" s="81" t="s">
        <v>3348</v>
      </c>
      <c r="D844" s="80" t="s">
        <v>3323</v>
      </c>
      <c r="E844" s="2275" t="str">
        <f t="shared" si="54"/>
        <v>TR</v>
      </c>
      <c r="F844" s="55">
        <v>1</v>
      </c>
      <c r="G844" s="55" t="s">
        <v>512</v>
      </c>
      <c r="J844" s="55" t="str">
        <f t="shared" si="55"/>
        <v>TR3000</v>
      </c>
    </row>
    <row r="845" spans="1:10" hidden="1">
      <c r="A845" s="81" t="s">
        <v>1428</v>
      </c>
      <c r="B845" s="1808" t="s">
        <v>1865</v>
      </c>
      <c r="C845" s="81" t="s">
        <v>3349</v>
      </c>
      <c r="D845" s="80" t="s">
        <v>3323</v>
      </c>
      <c r="E845" s="2275" t="str">
        <f t="shared" si="54"/>
        <v>TR</v>
      </c>
      <c r="F845" s="55">
        <v>1</v>
      </c>
      <c r="G845" s="55" t="s">
        <v>512</v>
      </c>
      <c r="J845" s="55" t="str">
        <f t="shared" si="55"/>
        <v>TR4000</v>
      </c>
    </row>
    <row r="846" spans="1:10" hidden="1">
      <c r="A846" s="79" t="s">
        <v>943</v>
      </c>
      <c r="B846" s="1779" t="s">
        <v>1866</v>
      </c>
      <c r="C846" s="81" t="s">
        <v>5006</v>
      </c>
      <c r="D846" s="80" t="s">
        <v>3323</v>
      </c>
      <c r="E846" s="2275" t="str">
        <f t="shared" si="54"/>
        <v>TR</v>
      </c>
      <c r="F846" s="55">
        <v>1</v>
      </c>
      <c r="G846" s="55" t="s">
        <v>512</v>
      </c>
      <c r="J846" s="55" t="str">
        <f t="shared" si="55"/>
        <v>TR1001</v>
      </c>
    </row>
    <row r="847" spans="1:10" hidden="1">
      <c r="A847" s="79" t="s">
        <v>1508</v>
      </c>
      <c r="B847" s="1779" t="s">
        <v>651</v>
      </c>
      <c r="C847" s="81" t="s">
        <v>3350</v>
      </c>
      <c r="D847" s="80" t="s">
        <v>3323</v>
      </c>
      <c r="E847" s="2275" t="str">
        <f t="shared" si="54"/>
        <v>TR</v>
      </c>
      <c r="F847" s="55">
        <v>1</v>
      </c>
      <c r="G847" s="55" t="s">
        <v>512</v>
      </c>
      <c r="J847" s="55" t="str">
        <f t="shared" si="55"/>
        <v>TR1601</v>
      </c>
    </row>
    <row r="848" spans="1:10" hidden="1">
      <c r="A848" s="79" t="s">
        <v>1246</v>
      </c>
      <c r="B848" s="1779" t="s">
        <v>651</v>
      </c>
      <c r="C848" s="81" t="s">
        <v>3351</v>
      </c>
      <c r="D848" s="80" t="s">
        <v>3323</v>
      </c>
      <c r="E848" s="2275" t="str">
        <f t="shared" si="54"/>
        <v>TR</v>
      </c>
      <c r="F848" s="55">
        <v>1</v>
      </c>
      <c r="G848" s="55" t="s">
        <v>512</v>
      </c>
      <c r="J848" s="55" t="str">
        <f t="shared" si="55"/>
        <v>TR1801</v>
      </c>
    </row>
    <row r="849" spans="1:10" hidden="1">
      <c r="A849" s="79" t="s">
        <v>783</v>
      </c>
      <c r="B849" s="1779" t="s">
        <v>1750</v>
      </c>
      <c r="C849" s="81" t="s">
        <v>3352</v>
      </c>
      <c r="D849" s="80" t="s">
        <v>3323</v>
      </c>
      <c r="E849" s="2275" t="str">
        <f t="shared" si="54"/>
        <v>TR</v>
      </c>
      <c r="F849" s="55">
        <v>1</v>
      </c>
      <c r="G849" s="55" t="s">
        <v>512</v>
      </c>
      <c r="J849" s="55" t="str">
        <f t="shared" si="55"/>
        <v>TR2501</v>
      </c>
    </row>
    <row r="850" spans="1:10" hidden="1">
      <c r="A850" s="79" t="s">
        <v>485</v>
      </c>
      <c r="B850" s="1779" t="s">
        <v>692</v>
      </c>
      <c r="C850" s="81" t="s">
        <v>3353</v>
      </c>
      <c r="D850" s="80" t="s">
        <v>3323</v>
      </c>
      <c r="E850" s="2275" t="str">
        <f t="shared" si="54"/>
        <v>TR</v>
      </c>
      <c r="F850" s="55">
        <v>1</v>
      </c>
      <c r="G850" s="55" t="s">
        <v>512</v>
      </c>
      <c r="J850" s="55" t="str">
        <f t="shared" si="55"/>
        <v>TR3201</v>
      </c>
    </row>
    <row r="851" spans="1:10" hidden="1">
      <c r="A851" s="79" t="s">
        <v>65</v>
      </c>
      <c r="B851" s="1779" t="s">
        <v>2103</v>
      </c>
      <c r="C851" s="81" t="s">
        <v>3354</v>
      </c>
      <c r="D851" s="80" t="s">
        <v>3323</v>
      </c>
      <c r="E851" s="2275" t="str">
        <f t="shared" si="54"/>
        <v>TR</v>
      </c>
      <c r="F851" s="55">
        <v>1</v>
      </c>
      <c r="G851" s="55" t="s">
        <v>512</v>
      </c>
      <c r="J851" s="55" t="str">
        <f t="shared" si="55"/>
        <v>TR4001</v>
      </c>
    </row>
    <row r="852" spans="1:10" hidden="1">
      <c r="A852" s="79" t="s">
        <v>878</v>
      </c>
      <c r="B852" s="1779" t="s">
        <v>2103</v>
      </c>
      <c r="C852" s="81" t="s">
        <v>3355</v>
      </c>
      <c r="D852" s="80" t="s">
        <v>3323</v>
      </c>
      <c r="E852" s="2275" t="str">
        <f t="shared" si="54"/>
        <v>TR</v>
      </c>
      <c r="F852" s="55">
        <v>1</v>
      </c>
      <c r="G852" s="55" t="s">
        <v>512</v>
      </c>
      <c r="J852" s="55" t="str">
        <f t="shared" si="55"/>
        <v>TR5601</v>
      </c>
    </row>
    <row r="853" spans="1:10" hidden="1">
      <c r="A853" s="79" t="s">
        <v>880</v>
      </c>
      <c r="B853" s="1779" t="s">
        <v>2103</v>
      </c>
      <c r="C853" s="81" t="s">
        <v>3356</v>
      </c>
      <c r="D853" s="80" t="s">
        <v>3323</v>
      </c>
      <c r="E853" s="2275" t="str">
        <f t="shared" si="54"/>
        <v>TR</v>
      </c>
      <c r="F853" s="55">
        <v>1</v>
      </c>
      <c r="G853" s="55" t="s">
        <v>512</v>
      </c>
      <c r="J853" s="55" t="str">
        <f t="shared" si="55"/>
        <v>TR6301</v>
      </c>
    </row>
    <row r="854" spans="1:10" hidden="1">
      <c r="A854" s="79" t="s">
        <v>613</v>
      </c>
      <c r="B854" s="1779" t="s">
        <v>652</v>
      </c>
      <c r="C854" s="81" t="s">
        <v>3357</v>
      </c>
      <c r="D854" s="80" t="s">
        <v>3323</v>
      </c>
      <c r="E854" s="2275" t="str">
        <f t="shared" si="54"/>
        <v>TR</v>
      </c>
      <c r="F854" s="55">
        <v>1</v>
      </c>
      <c r="G854" s="55" t="s">
        <v>512</v>
      </c>
      <c r="J854" s="55" t="str">
        <f t="shared" si="55"/>
        <v>TR7501</v>
      </c>
    </row>
    <row r="855" spans="1:10" hidden="1">
      <c r="A855" s="79" t="s">
        <v>614</v>
      </c>
      <c r="B855" s="1779" t="s">
        <v>652</v>
      </c>
      <c r="C855" s="81" t="s">
        <v>3358</v>
      </c>
      <c r="D855" s="80" t="s">
        <v>3323</v>
      </c>
      <c r="E855" s="2275" t="str">
        <f t="shared" si="54"/>
        <v>TR</v>
      </c>
      <c r="F855" s="55">
        <v>1</v>
      </c>
      <c r="G855" s="55" t="s">
        <v>512</v>
      </c>
      <c r="J855" s="55" t="str">
        <f t="shared" si="55"/>
        <v>TR10001</v>
      </c>
    </row>
    <row r="856" spans="1:10" hidden="1">
      <c r="A856" s="79" t="s">
        <v>1418</v>
      </c>
      <c r="B856" s="1779" t="s">
        <v>652</v>
      </c>
      <c r="C856" s="81" t="s">
        <v>3359</v>
      </c>
      <c r="D856" s="80" t="s">
        <v>3323</v>
      </c>
      <c r="E856" s="2275" t="str">
        <f t="shared" si="54"/>
        <v>TR</v>
      </c>
      <c r="F856" s="55">
        <v>1</v>
      </c>
      <c r="G856" s="55" t="s">
        <v>512</v>
      </c>
      <c r="J856" s="55" t="str">
        <f t="shared" si="55"/>
        <v>TR12501</v>
      </c>
    </row>
    <row r="857" spans="1:10" hidden="1">
      <c r="A857" s="79" t="s">
        <v>306</v>
      </c>
      <c r="B857" s="1779" t="s">
        <v>652</v>
      </c>
      <c r="C857" s="81" t="s">
        <v>3360</v>
      </c>
      <c r="D857" s="80" t="s">
        <v>3323</v>
      </c>
      <c r="E857" s="2275" t="str">
        <f t="shared" si="54"/>
        <v>TR</v>
      </c>
      <c r="F857" s="55">
        <v>1</v>
      </c>
      <c r="G857" s="55" t="s">
        <v>512</v>
      </c>
      <c r="J857" s="55" t="str">
        <f t="shared" si="55"/>
        <v>TR15001</v>
      </c>
    </row>
    <row r="858" spans="1:10" hidden="1">
      <c r="A858" s="79" t="s">
        <v>1458</v>
      </c>
      <c r="B858" s="1779" t="s">
        <v>652</v>
      </c>
      <c r="C858" s="81" t="s">
        <v>3361</v>
      </c>
      <c r="D858" s="80" t="s">
        <v>3323</v>
      </c>
      <c r="E858" s="2275" t="str">
        <f t="shared" si="54"/>
        <v>TR</v>
      </c>
      <c r="F858" s="55">
        <v>1</v>
      </c>
      <c r="G858" s="55" t="s">
        <v>512</v>
      </c>
      <c r="J858" s="55" t="str">
        <f t="shared" si="55"/>
        <v>TR16001</v>
      </c>
    </row>
    <row r="859" spans="1:10" hidden="1">
      <c r="A859" s="79" t="s">
        <v>2160</v>
      </c>
      <c r="B859" s="1779" t="s">
        <v>652</v>
      </c>
      <c r="C859" s="81" t="s">
        <v>3362</v>
      </c>
      <c r="D859" s="80" t="s">
        <v>3323</v>
      </c>
      <c r="E859" s="2275" t="str">
        <f t="shared" si="54"/>
        <v>TR</v>
      </c>
      <c r="F859" s="55">
        <v>1</v>
      </c>
      <c r="G859" s="55" t="s">
        <v>512</v>
      </c>
      <c r="J859" s="55" t="str">
        <f t="shared" si="55"/>
        <v>TR20001</v>
      </c>
    </row>
    <row r="860" spans="1:10" hidden="1">
      <c r="A860" s="79" t="s">
        <v>48</v>
      </c>
      <c r="B860" s="1779" t="s">
        <v>652</v>
      </c>
      <c r="C860" s="81" t="s">
        <v>3363</v>
      </c>
      <c r="D860" s="80" t="s">
        <v>3323</v>
      </c>
      <c r="E860" s="2275" t="str">
        <f t="shared" si="54"/>
        <v>TR</v>
      </c>
      <c r="F860" s="55">
        <v>1</v>
      </c>
      <c r="G860" s="55" t="s">
        <v>512</v>
      </c>
      <c r="J860" s="55" t="str">
        <f t="shared" si="55"/>
        <v>TR25001</v>
      </c>
    </row>
    <row r="861" spans="1:10" hidden="1">
      <c r="A861" s="79" t="s">
        <v>1284</v>
      </c>
      <c r="B861" s="1779" t="s">
        <v>652</v>
      </c>
      <c r="C861" s="81" t="s">
        <v>3364</v>
      </c>
      <c r="D861" s="80" t="s">
        <v>3323</v>
      </c>
      <c r="E861" s="2275" t="str">
        <f t="shared" si="54"/>
        <v>TR</v>
      </c>
      <c r="F861" s="55">
        <v>1</v>
      </c>
      <c r="G861" s="55" t="s">
        <v>512</v>
      </c>
      <c r="J861" s="55" t="str">
        <f t="shared" si="55"/>
        <v>TR30001</v>
      </c>
    </row>
    <row r="862" spans="1:10" hidden="1">
      <c r="A862" s="79" t="s">
        <v>806</v>
      </c>
      <c r="B862" s="1779" t="s">
        <v>652</v>
      </c>
      <c r="C862" s="81" t="s">
        <v>3365</v>
      </c>
      <c r="D862" s="80" t="s">
        <v>3323</v>
      </c>
      <c r="E862" s="2275" t="str">
        <f t="shared" si="54"/>
        <v>TR</v>
      </c>
      <c r="F862" s="55">
        <v>1</v>
      </c>
      <c r="G862" s="55" t="s">
        <v>512</v>
      </c>
      <c r="J862" s="55" t="str">
        <f t="shared" si="55"/>
        <v>TR40001</v>
      </c>
    </row>
    <row r="863" spans="1:10" hidden="1">
      <c r="A863" s="79" t="s">
        <v>1660</v>
      </c>
      <c r="B863" s="1809" t="s">
        <v>1656</v>
      </c>
      <c r="C863" s="79" t="s">
        <v>5010</v>
      </c>
      <c r="D863" s="80" t="s">
        <v>2566</v>
      </c>
      <c r="E863" s="2275" t="str">
        <f t="shared" si="54"/>
        <v>FC</v>
      </c>
      <c r="F863" s="55">
        <v>3</v>
      </c>
      <c r="G863" s="55" t="s">
        <v>512</v>
      </c>
      <c r="J863" s="55" t="str">
        <f t="shared" si="55"/>
        <v>FCO100-15</v>
      </c>
    </row>
    <row r="864" spans="1:10" hidden="1">
      <c r="A864" s="79" t="s">
        <v>1661</v>
      </c>
      <c r="B864" s="1809" t="s">
        <v>1656</v>
      </c>
      <c r="C864" s="79" t="s">
        <v>2036</v>
      </c>
      <c r="D864" s="80" t="s">
        <v>2566</v>
      </c>
      <c r="E864" s="2275" t="str">
        <f t="shared" ref="E864:E928" si="56">LEFT(A864,2)</f>
        <v>FC</v>
      </c>
      <c r="F864" s="55">
        <v>3</v>
      </c>
      <c r="G864" s="55" t="s">
        <v>512</v>
      </c>
      <c r="J864" s="55" t="str">
        <f t="shared" si="55"/>
        <v>FCO200-15</v>
      </c>
    </row>
    <row r="865" spans="1:10" hidden="1">
      <c r="A865" s="79" t="s">
        <v>1657</v>
      </c>
      <c r="B865" s="1809" t="s">
        <v>1751</v>
      </c>
      <c r="C865" s="79" t="s">
        <v>4850</v>
      </c>
      <c r="D865" s="80" t="s">
        <v>2566</v>
      </c>
      <c r="E865" s="2275" t="str">
        <f t="shared" si="56"/>
        <v>FC</v>
      </c>
      <c r="F865" s="55">
        <v>3</v>
      </c>
      <c r="G865" s="55" t="s">
        <v>512</v>
      </c>
      <c r="J865" s="55" t="str">
        <f t="shared" si="55"/>
        <v>FCO100-22</v>
      </c>
    </row>
    <row r="866" spans="1:10" hidden="1">
      <c r="A866" s="79" t="s">
        <v>1658</v>
      </c>
      <c r="B866" s="1809" t="s">
        <v>435</v>
      </c>
      <c r="C866" s="79" t="s">
        <v>2036</v>
      </c>
      <c r="D866" s="80" t="s">
        <v>2566</v>
      </c>
      <c r="E866" s="2275" t="str">
        <f t="shared" si="56"/>
        <v>FC</v>
      </c>
      <c r="F866" s="55">
        <v>3</v>
      </c>
      <c r="G866" s="55" t="s">
        <v>512</v>
      </c>
      <c r="J866" s="55" t="str">
        <f t="shared" si="55"/>
        <v>FCO200-22</v>
      </c>
    </row>
    <row r="867" spans="1:10" hidden="1">
      <c r="A867" s="79" t="s">
        <v>1662</v>
      </c>
      <c r="B867" s="1809" t="s">
        <v>1656</v>
      </c>
      <c r="C867" s="79" t="s">
        <v>1261</v>
      </c>
      <c r="D867" s="80" t="s">
        <v>2566</v>
      </c>
      <c r="E867" s="2275" t="str">
        <f t="shared" si="56"/>
        <v>lb</v>
      </c>
      <c r="F867" s="55">
        <v>3</v>
      </c>
      <c r="G867" s="55" t="s">
        <v>512</v>
      </c>
      <c r="J867" s="55" t="str">
        <f t="shared" si="55"/>
        <v>lbfco100-15</v>
      </c>
    </row>
    <row r="868" spans="1:10" hidden="1">
      <c r="A868" s="79" t="s">
        <v>1663</v>
      </c>
      <c r="B868" s="1809" t="s">
        <v>1656</v>
      </c>
      <c r="C868" s="79" t="s">
        <v>1260</v>
      </c>
      <c r="D868" s="80" t="s">
        <v>2566</v>
      </c>
      <c r="E868" s="2275" t="str">
        <f t="shared" si="56"/>
        <v>LB</v>
      </c>
      <c r="F868" s="55">
        <v>3</v>
      </c>
      <c r="G868" s="55" t="s">
        <v>512</v>
      </c>
      <c r="J868" s="55" t="str">
        <f t="shared" si="55"/>
        <v>LBFCO200-15</v>
      </c>
    </row>
    <row r="869" spans="1:10" hidden="1">
      <c r="A869" s="79" t="s">
        <v>2133</v>
      </c>
      <c r="B869" s="1809" t="s">
        <v>435</v>
      </c>
      <c r="C869" s="79" t="s">
        <v>1261</v>
      </c>
      <c r="D869" s="80" t="s">
        <v>2566</v>
      </c>
      <c r="E869" s="2275" t="str">
        <f t="shared" si="56"/>
        <v>lb</v>
      </c>
      <c r="F869" s="55">
        <v>3</v>
      </c>
      <c r="G869" s="55" t="s">
        <v>512</v>
      </c>
      <c r="J869" s="55" t="str">
        <f t="shared" si="55"/>
        <v>lbfco100-22</v>
      </c>
    </row>
    <row r="870" spans="1:10" hidden="1">
      <c r="A870" s="79" t="s">
        <v>1659</v>
      </c>
      <c r="B870" s="1809" t="s">
        <v>435</v>
      </c>
      <c r="C870" s="79" t="s">
        <v>1260</v>
      </c>
      <c r="D870" s="80" t="s">
        <v>2566</v>
      </c>
      <c r="E870" s="2275" t="str">
        <f t="shared" si="56"/>
        <v>LB</v>
      </c>
      <c r="F870" s="55">
        <v>3</v>
      </c>
      <c r="G870" s="55" t="s">
        <v>512</v>
      </c>
      <c r="J870" s="55" t="str">
        <f t="shared" si="55"/>
        <v>LBFCO200-22</v>
      </c>
    </row>
    <row r="871" spans="1:10" hidden="1">
      <c r="A871" s="79" t="s">
        <v>446</v>
      </c>
      <c r="B871" s="1810" t="s">
        <v>1394</v>
      </c>
      <c r="C871" s="79" t="s">
        <v>1220</v>
      </c>
      <c r="D871" s="80" t="s">
        <v>2448</v>
      </c>
      <c r="E871" s="2275" t="str">
        <f t="shared" si="56"/>
        <v>DS</v>
      </c>
      <c r="F871" s="55">
        <v>50</v>
      </c>
      <c r="G871" s="55" t="s">
        <v>512</v>
      </c>
      <c r="J871" s="55" t="str">
        <f t="shared" si="55"/>
        <v>DS1P</v>
      </c>
    </row>
    <row r="872" spans="1:10" hidden="1">
      <c r="A872" s="79" t="s">
        <v>393</v>
      </c>
      <c r="B872" s="1810" t="s">
        <v>1394</v>
      </c>
      <c r="C872" s="79" t="s">
        <v>1598</v>
      </c>
      <c r="D872" s="80" t="s">
        <v>2448</v>
      </c>
      <c r="E872" s="2275" t="str">
        <f t="shared" si="56"/>
        <v>DS</v>
      </c>
      <c r="F872" s="55">
        <v>50</v>
      </c>
      <c r="G872" s="55" t="s">
        <v>512</v>
      </c>
      <c r="J872" s="55" t="str">
        <f t="shared" si="55"/>
        <v>DS3P</v>
      </c>
    </row>
    <row r="873" spans="1:10" hidden="1">
      <c r="A873" s="79" t="s">
        <v>1192</v>
      </c>
      <c r="B873" s="1810" t="s">
        <v>128</v>
      </c>
      <c r="C873" s="79" t="s">
        <v>1220</v>
      </c>
      <c r="D873" s="80" t="s">
        <v>2448</v>
      </c>
      <c r="E873" s="2275" t="str">
        <f t="shared" si="56"/>
        <v>DS</v>
      </c>
      <c r="F873" s="55">
        <v>50</v>
      </c>
      <c r="G873" s="55" t="s">
        <v>512</v>
      </c>
      <c r="J873" s="55" t="str">
        <f t="shared" si="55"/>
        <v>DS1PDD</v>
      </c>
    </row>
    <row r="874" spans="1:10" hidden="1">
      <c r="A874" s="79" t="s">
        <v>1193</v>
      </c>
      <c r="B874" s="1810" t="s">
        <v>129</v>
      </c>
      <c r="C874" s="79" t="s">
        <v>1598</v>
      </c>
      <c r="D874" s="80" t="s">
        <v>2448</v>
      </c>
      <c r="E874" s="2275" t="str">
        <f t="shared" si="56"/>
        <v>DS</v>
      </c>
      <c r="F874" s="55">
        <v>50</v>
      </c>
      <c r="G874" s="55" t="s">
        <v>512</v>
      </c>
      <c r="J874" s="55" t="str">
        <f t="shared" si="55"/>
        <v>DS3PDD</v>
      </c>
    </row>
    <row r="875" spans="1:10" hidden="1">
      <c r="A875" s="79" t="s">
        <v>602</v>
      </c>
      <c r="B875" s="1810" t="s">
        <v>1510</v>
      </c>
      <c r="C875" s="79" t="s">
        <v>1708</v>
      </c>
      <c r="D875" s="80" t="s">
        <v>2448</v>
      </c>
      <c r="E875" s="2275" t="str">
        <f t="shared" si="56"/>
        <v>LB</v>
      </c>
      <c r="F875" s="55">
        <v>50</v>
      </c>
      <c r="G875" s="55" t="s">
        <v>512</v>
      </c>
      <c r="J875" s="55" t="str">
        <f t="shared" si="55"/>
        <v>LBS 16</v>
      </c>
    </row>
    <row r="876" spans="1:10" hidden="1">
      <c r="A876" s="79" t="s">
        <v>535</v>
      </c>
      <c r="B876" s="1810" t="s">
        <v>1510</v>
      </c>
      <c r="C876" s="79" t="s">
        <v>3366</v>
      </c>
      <c r="D876" s="80" t="s">
        <v>2448</v>
      </c>
      <c r="E876" s="2275" t="str">
        <f t="shared" si="56"/>
        <v>LB</v>
      </c>
      <c r="F876" s="55">
        <v>50</v>
      </c>
      <c r="G876" s="55" t="s">
        <v>512</v>
      </c>
      <c r="J876" s="55" t="str">
        <f t="shared" si="55"/>
        <v>LBS treo</v>
      </c>
    </row>
    <row r="877" spans="1:10" hidden="1">
      <c r="A877" s="79" t="s">
        <v>2192</v>
      </c>
      <c r="B877" s="1810" t="s">
        <v>642</v>
      </c>
      <c r="C877" s="79" t="s">
        <v>2042</v>
      </c>
      <c r="D877" s="80" t="s">
        <v>2448</v>
      </c>
      <c r="E877" s="2275" t="str">
        <f t="shared" si="56"/>
        <v>RE</v>
      </c>
      <c r="F877" s="55">
        <v>50</v>
      </c>
      <c r="G877" s="55" t="s">
        <v>512</v>
      </c>
      <c r="J877" s="55" t="str">
        <f t="shared" si="55"/>
        <v>REC</v>
      </c>
    </row>
    <row r="878" spans="1:10" hidden="1">
      <c r="A878" s="79" t="s">
        <v>1918</v>
      </c>
      <c r="B878" s="1810" t="s">
        <v>1510</v>
      </c>
      <c r="C878" s="79" t="s">
        <v>2065</v>
      </c>
      <c r="D878" s="80" t="s">
        <v>2448</v>
      </c>
      <c r="E878" s="2275" t="str">
        <f t="shared" si="56"/>
        <v>Re</v>
      </c>
      <c r="F878" s="55">
        <v>50</v>
      </c>
      <c r="G878" s="55" t="s">
        <v>512</v>
      </c>
      <c r="J878" s="55" t="str">
        <f t="shared" si="55"/>
        <v>Recloser</v>
      </c>
    </row>
    <row r="879" spans="1:10" hidden="1">
      <c r="A879" s="79" t="s">
        <v>790</v>
      </c>
      <c r="B879" s="1810" t="s">
        <v>668</v>
      </c>
      <c r="C879" s="79" t="s">
        <v>1189</v>
      </c>
      <c r="D879" s="80" t="s">
        <v>2566</v>
      </c>
      <c r="E879" s="2275" t="str">
        <f t="shared" si="56"/>
        <v>LT</v>
      </c>
      <c r="F879" s="55">
        <v>50</v>
      </c>
      <c r="G879" s="55" t="s">
        <v>512</v>
      </c>
      <c r="J879" s="55" t="str">
        <f t="shared" si="55"/>
        <v>LTD</v>
      </c>
    </row>
    <row r="880" spans="1:10" hidden="1">
      <c r="A880" s="79" t="s">
        <v>968</v>
      </c>
      <c r="B880" s="1810" t="s">
        <v>967</v>
      </c>
      <c r="C880" s="79" t="s">
        <v>1196</v>
      </c>
      <c r="D880" s="80" t="s">
        <v>2566</v>
      </c>
      <c r="E880" s="2275" t="str">
        <f t="shared" si="56"/>
        <v>LA</v>
      </c>
      <c r="F880" s="55">
        <v>4</v>
      </c>
      <c r="G880" s="55" t="s">
        <v>512</v>
      </c>
      <c r="J880" s="55" t="str">
        <f t="shared" si="55"/>
        <v>LA12</v>
      </c>
    </row>
    <row r="881" spans="1:10" hidden="1">
      <c r="A881" s="79" t="s">
        <v>1378</v>
      </c>
      <c r="B881" s="1810" t="s">
        <v>967</v>
      </c>
      <c r="C881" s="79" t="s">
        <v>5012</v>
      </c>
      <c r="D881" s="80" t="s">
        <v>2566</v>
      </c>
      <c r="E881" s="2275" t="str">
        <f t="shared" si="56"/>
        <v>LA</v>
      </c>
      <c r="F881" s="55">
        <v>4</v>
      </c>
      <c r="G881" s="55" t="s">
        <v>512</v>
      </c>
      <c r="J881" s="55" t="str">
        <f t="shared" si="55"/>
        <v>LA18</v>
      </c>
    </row>
    <row r="882" spans="1:10" hidden="1">
      <c r="A882" s="79" t="s">
        <v>2166</v>
      </c>
      <c r="B882" s="84" t="s">
        <v>1480</v>
      </c>
      <c r="C882" s="79" t="s">
        <v>3367</v>
      </c>
      <c r="D882" s="80" t="s">
        <v>2566</v>
      </c>
      <c r="E882" s="2275" t="str">
        <f t="shared" si="56"/>
        <v>TI</v>
      </c>
      <c r="F882" s="55">
        <v>2000</v>
      </c>
      <c r="G882" s="55" t="s">
        <v>512</v>
      </c>
      <c r="J882" s="55" t="str">
        <f t="shared" si="55"/>
        <v>TI10</v>
      </c>
    </row>
    <row r="883" spans="1:10" hidden="1">
      <c r="A883" s="79" t="s">
        <v>1673</v>
      </c>
      <c r="B883" s="84" t="s">
        <v>1480</v>
      </c>
      <c r="C883" s="79" t="s">
        <v>3368</v>
      </c>
      <c r="D883" s="80" t="s">
        <v>2566</v>
      </c>
      <c r="E883" s="2275" t="str">
        <f t="shared" si="56"/>
        <v>TI</v>
      </c>
      <c r="F883" s="55">
        <v>2000</v>
      </c>
      <c r="G883" s="55" t="s">
        <v>512</v>
      </c>
      <c r="J883" s="55" t="str">
        <f t="shared" si="55"/>
        <v>TI15</v>
      </c>
    </row>
    <row r="884" spans="1:10" hidden="1">
      <c r="A884" s="79" t="s">
        <v>1735</v>
      </c>
      <c r="B884" s="84" t="s">
        <v>1480</v>
      </c>
      <c r="C884" s="79" t="s">
        <v>3369</v>
      </c>
      <c r="D884" s="80" t="s">
        <v>2566</v>
      </c>
      <c r="E884" s="2275" t="str">
        <f t="shared" si="56"/>
        <v>TI</v>
      </c>
      <c r="F884" s="55">
        <v>2000</v>
      </c>
      <c r="G884" s="55" t="s">
        <v>512</v>
      </c>
      <c r="J884" s="55" t="str">
        <f t="shared" si="55"/>
        <v>TI20</v>
      </c>
    </row>
    <row r="885" spans="1:10" hidden="1">
      <c r="A885" s="79" t="s">
        <v>1733</v>
      </c>
      <c r="B885" s="84" t="s">
        <v>1480</v>
      </c>
      <c r="C885" s="79" t="s">
        <v>3370</v>
      </c>
      <c r="D885" s="80" t="s">
        <v>2566</v>
      </c>
      <c r="E885" s="2275" t="str">
        <f t="shared" si="56"/>
        <v>TI</v>
      </c>
      <c r="F885" s="55">
        <v>2000</v>
      </c>
      <c r="G885" s="55" t="s">
        <v>512</v>
      </c>
      <c r="J885" s="55" t="str">
        <f t="shared" si="55"/>
        <v>TI25</v>
      </c>
    </row>
    <row r="886" spans="1:10" hidden="1">
      <c r="A886" s="79" t="s">
        <v>903</v>
      </c>
      <c r="B886" s="84" t="s">
        <v>1480</v>
      </c>
      <c r="C886" s="79" t="s">
        <v>3371</v>
      </c>
      <c r="D886" s="80" t="s">
        <v>2566</v>
      </c>
      <c r="E886" s="2275" t="str">
        <f t="shared" si="56"/>
        <v>TI</v>
      </c>
      <c r="F886" s="55">
        <v>2000</v>
      </c>
      <c r="G886" s="55" t="s">
        <v>512</v>
      </c>
      <c r="J886" s="55" t="str">
        <f t="shared" si="55"/>
        <v>TI30</v>
      </c>
    </row>
    <row r="887" spans="1:10" hidden="1">
      <c r="A887" s="79" t="s">
        <v>1734</v>
      </c>
      <c r="B887" s="84" t="s">
        <v>1480</v>
      </c>
      <c r="C887" s="79" t="s">
        <v>3372</v>
      </c>
      <c r="D887" s="80" t="s">
        <v>2566</v>
      </c>
      <c r="E887" s="2275" t="str">
        <f t="shared" si="56"/>
        <v>TI</v>
      </c>
      <c r="F887" s="55">
        <v>2000</v>
      </c>
      <c r="G887" s="55" t="s">
        <v>512</v>
      </c>
      <c r="J887" s="55" t="str">
        <f t="shared" si="55"/>
        <v>TI40</v>
      </c>
    </row>
    <row r="888" spans="1:10" hidden="1">
      <c r="A888" s="79" t="s">
        <v>202</v>
      </c>
      <c r="B888" s="84" t="s">
        <v>1480</v>
      </c>
      <c r="C888" s="79" t="s">
        <v>3373</v>
      </c>
      <c r="D888" s="80" t="s">
        <v>2566</v>
      </c>
      <c r="E888" s="2275" t="str">
        <f t="shared" si="56"/>
        <v>TI</v>
      </c>
      <c r="F888" s="55">
        <v>2000</v>
      </c>
      <c r="G888" s="55" t="s">
        <v>512</v>
      </c>
      <c r="J888" s="55" t="str">
        <f t="shared" si="55"/>
        <v>TI50</v>
      </c>
    </row>
    <row r="889" spans="1:10" hidden="1">
      <c r="A889" s="79" t="s">
        <v>2198</v>
      </c>
      <c r="B889" s="84" t="s">
        <v>1480</v>
      </c>
      <c r="C889" s="79" t="s">
        <v>3374</v>
      </c>
      <c r="D889" s="80" t="s">
        <v>2566</v>
      </c>
      <c r="E889" s="2275" t="str">
        <f t="shared" si="56"/>
        <v>TI</v>
      </c>
      <c r="F889" s="55">
        <v>2000</v>
      </c>
      <c r="G889" s="55" t="s">
        <v>512</v>
      </c>
      <c r="J889" s="55" t="str">
        <f t="shared" si="55"/>
        <v>TI60</v>
      </c>
    </row>
    <row r="890" spans="1:10" hidden="1">
      <c r="A890" s="79" t="s">
        <v>2097</v>
      </c>
      <c r="B890" s="84" t="s">
        <v>1480</v>
      </c>
      <c r="C890" s="79" t="s">
        <v>3375</v>
      </c>
      <c r="D890" s="80" t="s">
        <v>2566</v>
      </c>
      <c r="E890" s="2275" t="str">
        <f t="shared" si="56"/>
        <v>TI</v>
      </c>
      <c r="F890" s="55">
        <v>2000</v>
      </c>
      <c r="G890" s="55" t="s">
        <v>512</v>
      </c>
      <c r="J890" s="55" t="str">
        <f t="shared" si="55"/>
        <v>TI75</v>
      </c>
    </row>
    <row r="891" spans="1:10" hidden="1">
      <c r="A891" s="79" t="s">
        <v>1476</v>
      </c>
      <c r="B891" s="84" t="s">
        <v>1480</v>
      </c>
      <c r="C891" s="79" t="s">
        <v>3376</v>
      </c>
      <c r="D891" s="80" t="s">
        <v>2566</v>
      </c>
      <c r="E891" s="2275" t="str">
        <f t="shared" si="56"/>
        <v>TI</v>
      </c>
      <c r="F891" s="55">
        <v>2000</v>
      </c>
      <c r="G891" s="55" t="s">
        <v>512</v>
      </c>
      <c r="J891" s="55" t="str">
        <f t="shared" si="55"/>
        <v>TI100</v>
      </c>
    </row>
    <row r="892" spans="1:10" hidden="1">
      <c r="A892" s="79" t="s">
        <v>819</v>
      </c>
      <c r="B892" s="84" t="s">
        <v>1480</v>
      </c>
      <c r="C892" s="79" t="s">
        <v>3377</v>
      </c>
      <c r="D892" s="80" t="s">
        <v>2566</v>
      </c>
      <c r="E892" s="2275" t="str">
        <f t="shared" si="56"/>
        <v>TI</v>
      </c>
      <c r="F892" s="55">
        <v>2000</v>
      </c>
      <c r="G892" s="55" t="s">
        <v>512</v>
      </c>
      <c r="J892" s="55" t="str">
        <f t="shared" si="55"/>
        <v>TI150</v>
      </c>
    </row>
    <row r="893" spans="1:10" hidden="1">
      <c r="A893" s="79" t="s">
        <v>825</v>
      </c>
      <c r="B893" s="84"/>
      <c r="C893" s="1787" t="s">
        <v>3378</v>
      </c>
      <c r="D893" s="80" t="s">
        <v>2566</v>
      </c>
      <c r="E893" s="2275" t="str">
        <f t="shared" si="56"/>
        <v>TI</v>
      </c>
      <c r="F893" s="55">
        <v>2000</v>
      </c>
      <c r="G893" s="55" t="s">
        <v>512</v>
      </c>
      <c r="J893" s="55" t="str">
        <f t="shared" si="55"/>
        <v>TI755</v>
      </c>
    </row>
    <row r="894" spans="1:10" hidden="1">
      <c r="A894" s="79" t="s">
        <v>2050</v>
      </c>
      <c r="B894" s="84"/>
      <c r="C894" s="1787" t="s">
        <v>3379</v>
      </c>
      <c r="D894" s="80" t="s">
        <v>2566</v>
      </c>
      <c r="E894" s="2275" t="str">
        <f t="shared" si="56"/>
        <v>TI</v>
      </c>
      <c r="F894" s="55">
        <v>2000</v>
      </c>
      <c r="G894" s="55" t="s">
        <v>512</v>
      </c>
      <c r="J894" s="55" t="str">
        <f t="shared" si="55"/>
        <v>TI1005</v>
      </c>
    </row>
    <row r="895" spans="1:10" hidden="1">
      <c r="A895" s="79" t="s">
        <v>2051</v>
      </c>
      <c r="B895" s="84"/>
      <c r="C895" s="1787" t="s">
        <v>3380</v>
      </c>
      <c r="D895" s="80" t="s">
        <v>2566</v>
      </c>
      <c r="E895" s="2275" t="str">
        <f t="shared" si="56"/>
        <v>TI</v>
      </c>
      <c r="F895" s="55">
        <v>2000</v>
      </c>
      <c r="G895" s="55" t="s">
        <v>512</v>
      </c>
      <c r="J895" s="55" t="str">
        <f t="shared" si="55"/>
        <v>TI1255</v>
      </c>
    </row>
    <row r="896" spans="1:10" hidden="1">
      <c r="A896" s="79" t="s">
        <v>2194</v>
      </c>
      <c r="B896" s="84"/>
      <c r="C896" s="1787" t="s">
        <v>3381</v>
      </c>
      <c r="D896" s="80" t="s">
        <v>2566</v>
      </c>
      <c r="E896" s="2275" t="str">
        <f t="shared" si="56"/>
        <v>TI</v>
      </c>
      <c r="F896" s="55">
        <v>2000</v>
      </c>
      <c r="G896" s="55" t="s">
        <v>512</v>
      </c>
      <c r="J896" s="55" t="str">
        <f t="shared" si="55"/>
        <v>TI1505</v>
      </c>
    </row>
    <row r="897" spans="1:10" hidden="1">
      <c r="A897" s="79" t="s">
        <v>1118</v>
      </c>
      <c r="B897" s="84"/>
      <c r="C897" s="1787" t="s">
        <v>3382</v>
      </c>
      <c r="D897" s="80" t="s">
        <v>2566</v>
      </c>
      <c r="E897" s="2275" t="str">
        <f t="shared" si="56"/>
        <v>TI</v>
      </c>
      <c r="F897" s="55">
        <v>2000</v>
      </c>
      <c r="G897" s="55" t="s">
        <v>512</v>
      </c>
      <c r="J897" s="55" t="str">
        <f t="shared" si="55"/>
        <v>TI200</v>
      </c>
    </row>
    <row r="898" spans="1:10" hidden="1">
      <c r="A898" s="79" t="s">
        <v>1674</v>
      </c>
      <c r="B898" s="84"/>
      <c r="C898" s="1787" t="s">
        <v>3383</v>
      </c>
      <c r="D898" s="80" t="s">
        <v>2566</v>
      </c>
      <c r="E898" s="2275" t="str">
        <f t="shared" si="56"/>
        <v>TI</v>
      </c>
      <c r="F898" s="55">
        <v>2000</v>
      </c>
      <c r="G898" s="55" t="s">
        <v>512</v>
      </c>
      <c r="J898" s="55" t="str">
        <f t="shared" si="55"/>
        <v>TI250</v>
      </c>
    </row>
    <row r="899" spans="1:10" hidden="1">
      <c r="A899" s="79" t="s">
        <v>900</v>
      </c>
      <c r="B899" s="84"/>
      <c r="C899" s="1787" t="s">
        <v>3384</v>
      </c>
      <c r="D899" s="80" t="s">
        <v>2566</v>
      </c>
      <c r="E899" s="2275" t="str">
        <f t="shared" si="56"/>
        <v>TI</v>
      </c>
      <c r="F899" s="55">
        <v>2000</v>
      </c>
      <c r="G899" s="55" t="s">
        <v>512</v>
      </c>
      <c r="J899" s="55" t="str">
        <f t="shared" si="55"/>
        <v>TI300</v>
      </c>
    </row>
    <row r="900" spans="1:10" hidden="1">
      <c r="A900" s="79" t="s">
        <v>899</v>
      </c>
      <c r="B900" s="84"/>
      <c r="C900" s="1787" t="s">
        <v>3385</v>
      </c>
      <c r="D900" s="80" t="s">
        <v>2566</v>
      </c>
      <c r="E900" s="2275" t="str">
        <f t="shared" si="56"/>
        <v>TI</v>
      </c>
      <c r="F900" s="55">
        <v>2000</v>
      </c>
      <c r="G900" s="55" t="s">
        <v>512</v>
      </c>
      <c r="J900" s="55" t="str">
        <f t="shared" si="55"/>
        <v>TI400</v>
      </c>
    </row>
    <row r="901" spans="1:10" hidden="1">
      <c r="A901" s="79" t="s">
        <v>2283</v>
      </c>
      <c r="B901" s="84"/>
      <c r="C901" s="1787" t="s">
        <v>3386</v>
      </c>
      <c r="D901" s="80" t="s">
        <v>2566</v>
      </c>
      <c r="E901" s="2275" t="str">
        <f t="shared" si="56"/>
        <v>TI</v>
      </c>
      <c r="F901" s="55">
        <v>2000</v>
      </c>
      <c r="G901" s="55" t="s">
        <v>512</v>
      </c>
      <c r="J901" s="55" t="str">
        <f t="shared" si="55"/>
        <v>TI500</v>
      </c>
    </row>
    <row r="902" spans="1:10" hidden="1">
      <c r="A902" s="79" t="s">
        <v>64</v>
      </c>
      <c r="B902" s="84"/>
      <c r="C902" s="79" t="s">
        <v>3387</v>
      </c>
      <c r="D902" s="80" t="s">
        <v>2566</v>
      </c>
      <c r="E902" s="2275" t="str">
        <f t="shared" si="56"/>
        <v>TI</v>
      </c>
      <c r="F902" s="55">
        <v>2000</v>
      </c>
      <c r="G902" s="55" t="s">
        <v>512</v>
      </c>
      <c r="J902" s="55" t="str">
        <f t="shared" si="55"/>
        <v>TI600</v>
      </c>
    </row>
    <row r="903" spans="1:10" hidden="1">
      <c r="A903" s="79" t="s">
        <v>2049</v>
      </c>
      <c r="B903" s="84"/>
      <c r="C903" s="1787" t="s">
        <v>3388</v>
      </c>
      <c r="D903" s="80" t="s">
        <v>2566</v>
      </c>
      <c r="E903" s="2275" t="str">
        <f t="shared" si="56"/>
        <v>TI</v>
      </c>
      <c r="F903" s="55">
        <v>2000</v>
      </c>
      <c r="G903" s="55" t="s">
        <v>512</v>
      </c>
      <c r="J903" s="55" t="str">
        <f t="shared" si="55"/>
        <v>TI800</v>
      </c>
    </row>
    <row r="904" spans="1:10" hidden="1">
      <c r="A904" s="79" t="s">
        <v>1379</v>
      </c>
      <c r="B904" s="84" t="s">
        <v>317</v>
      </c>
      <c r="C904" s="1787" t="s">
        <v>3389</v>
      </c>
      <c r="D904" s="80" t="s">
        <v>2566</v>
      </c>
      <c r="E904" s="2275" t="str">
        <f t="shared" si="56"/>
        <v>TU</v>
      </c>
      <c r="F904" s="55">
        <v>2000</v>
      </c>
      <c r="G904" s="55" t="s">
        <v>512</v>
      </c>
      <c r="J904" s="55" t="str">
        <f t="shared" si="55"/>
        <v>TU15</v>
      </c>
    </row>
    <row r="905" spans="1:10" hidden="1">
      <c r="A905" s="79" t="s">
        <v>2195</v>
      </c>
      <c r="B905" s="84" t="s">
        <v>317</v>
      </c>
      <c r="C905" s="1787" t="s">
        <v>3390</v>
      </c>
      <c r="D905" s="80" t="s">
        <v>2566</v>
      </c>
      <c r="E905" s="2275" t="str">
        <f t="shared" si="56"/>
        <v>TU</v>
      </c>
      <c r="F905" s="55">
        <v>2000</v>
      </c>
      <c r="G905" s="55" t="s">
        <v>512</v>
      </c>
      <c r="J905" s="55" t="str">
        <f t="shared" si="55"/>
        <v>TU22</v>
      </c>
    </row>
    <row r="906" spans="1:10" hidden="1">
      <c r="A906" s="79" t="s">
        <v>2232</v>
      </c>
      <c r="B906" s="84"/>
      <c r="C906" s="1787" t="s">
        <v>3391</v>
      </c>
      <c r="D906" s="80" t="s">
        <v>2448</v>
      </c>
      <c r="E906" s="2275" t="str">
        <f t="shared" si="56"/>
        <v>TI</v>
      </c>
      <c r="F906" s="55">
        <v>50</v>
      </c>
      <c r="G906" s="55" t="s">
        <v>512</v>
      </c>
      <c r="J906" s="55" t="str">
        <f t="shared" ref="J906:J969" si="57">A906</f>
        <v>TIMER</v>
      </c>
    </row>
    <row r="907" spans="1:10" hidden="1">
      <c r="A907" s="79" t="s">
        <v>1802</v>
      </c>
      <c r="B907" s="84"/>
      <c r="C907" s="1787" t="s">
        <v>1142</v>
      </c>
      <c r="D907" s="80" t="s">
        <v>2566</v>
      </c>
      <c r="E907" s="2275" t="str">
        <f t="shared" si="56"/>
        <v>CO</v>
      </c>
      <c r="F907" s="55">
        <v>50</v>
      </c>
      <c r="G907" s="55" t="s">
        <v>512</v>
      </c>
      <c r="J907" s="55" t="str">
        <f t="shared" si="57"/>
        <v>COTATOR</v>
      </c>
    </row>
    <row r="908" spans="1:10" hidden="1">
      <c r="A908" s="79" t="s">
        <v>67</v>
      </c>
      <c r="B908" s="84"/>
      <c r="C908" s="1787" t="s">
        <v>68</v>
      </c>
      <c r="D908" s="80" t="s">
        <v>2566</v>
      </c>
      <c r="E908" s="2275" t="str">
        <f t="shared" si="56"/>
        <v>CO</v>
      </c>
      <c r="F908" s="55">
        <v>50</v>
      </c>
      <c r="G908" s="55" t="s">
        <v>512</v>
      </c>
      <c r="J908" s="55" t="str">
        <f t="shared" si="57"/>
        <v>CONTACTOR 100</v>
      </c>
    </row>
    <row r="909" spans="1:10" hidden="1">
      <c r="A909" s="79" t="s">
        <v>1649</v>
      </c>
      <c r="B909" s="84"/>
      <c r="C909" s="1787" t="s">
        <v>898</v>
      </c>
      <c r="D909" s="80" t="s">
        <v>2566</v>
      </c>
      <c r="E909" s="2275" t="str">
        <f t="shared" si="56"/>
        <v>CO</v>
      </c>
      <c r="F909" s="55">
        <v>50</v>
      </c>
      <c r="G909" s="55" t="s">
        <v>512</v>
      </c>
      <c r="J909" s="55" t="str">
        <f t="shared" si="57"/>
        <v>CONTACTOR 125</v>
      </c>
    </row>
    <row r="910" spans="1:10" hidden="1">
      <c r="A910" s="79" t="s">
        <v>2199</v>
      </c>
      <c r="B910" s="1779" t="s">
        <v>1392</v>
      </c>
      <c r="C910" s="1787" t="s">
        <v>3392</v>
      </c>
      <c r="D910" s="80" t="s">
        <v>3393</v>
      </c>
      <c r="E910" s="2275" t="str">
        <f t="shared" si="56"/>
        <v>TU</v>
      </c>
      <c r="F910" s="55">
        <v>2000</v>
      </c>
      <c r="G910" s="55" t="s">
        <v>512</v>
      </c>
      <c r="J910" s="55" t="str">
        <f t="shared" si="57"/>
        <v>TUBU1000</v>
      </c>
    </row>
    <row r="911" spans="1:10" hidden="1">
      <c r="A911" s="79" t="s">
        <v>2058</v>
      </c>
      <c r="B911" s="1779" t="s">
        <v>1392</v>
      </c>
      <c r="C911" s="1787" t="s">
        <v>3394</v>
      </c>
      <c r="D911" s="80" t="s">
        <v>3393</v>
      </c>
      <c r="E911" s="2275" t="str">
        <f t="shared" si="56"/>
        <v>TU</v>
      </c>
      <c r="F911" s="55">
        <v>2000</v>
      </c>
      <c r="G911" s="55" t="s">
        <v>512</v>
      </c>
      <c r="J911" s="55" t="str">
        <f t="shared" si="57"/>
        <v>TUBU750</v>
      </c>
    </row>
    <row r="912" spans="1:10" hidden="1">
      <c r="A912" s="79" t="s">
        <v>570</v>
      </c>
      <c r="B912" s="1779" t="s">
        <v>1392</v>
      </c>
      <c r="C912" s="1787" t="s">
        <v>3395</v>
      </c>
      <c r="D912" s="80" t="s">
        <v>3393</v>
      </c>
      <c r="E912" s="2275" t="str">
        <f t="shared" si="56"/>
        <v>TU</v>
      </c>
      <c r="F912" s="55">
        <v>2000</v>
      </c>
      <c r="G912" s="55" t="s">
        <v>512</v>
      </c>
      <c r="J912" s="55" t="str">
        <f t="shared" si="57"/>
        <v>TUBU600</v>
      </c>
    </row>
    <row r="913" spans="1:10" hidden="1">
      <c r="A913" s="79" t="s">
        <v>1965</v>
      </c>
      <c r="B913" s="1779" t="s">
        <v>1392</v>
      </c>
      <c r="C913" s="1787" t="s">
        <v>3396</v>
      </c>
      <c r="D913" s="80" t="s">
        <v>3393</v>
      </c>
      <c r="E913" s="2275" t="str">
        <f t="shared" si="56"/>
        <v>TU</v>
      </c>
      <c r="F913" s="55">
        <v>2000</v>
      </c>
      <c r="G913" s="55" t="s">
        <v>512</v>
      </c>
      <c r="J913" s="55" t="str">
        <f t="shared" si="57"/>
        <v>TUBU400</v>
      </c>
    </row>
    <row r="914" spans="1:10" hidden="1">
      <c r="A914" s="79" t="s">
        <v>1596</v>
      </c>
      <c r="B914" s="1779" t="s">
        <v>1392</v>
      </c>
      <c r="C914" s="1787" t="s">
        <v>3397</v>
      </c>
      <c r="D914" s="80" t="s">
        <v>3393</v>
      </c>
      <c r="E914" s="2275" t="str">
        <f t="shared" si="56"/>
        <v>TU</v>
      </c>
      <c r="F914" s="55">
        <v>2000</v>
      </c>
      <c r="G914" s="55" t="s">
        <v>512</v>
      </c>
      <c r="J914" s="55" t="str">
        <f t="shared" si="57"/>
        <v>TUBU380</v>
      </c>
    </row>
    <row r="915" spans="1:10" hidden="1">
      <c r="A915" s="79" t="s">
        <v>1798</v>
      </c>
      <c r="B915" s="1779" t="s">
        <v>1392</v>
      </c>
      <c r="C915" s="1787" t="s">
        <v>3398</v>
      </c>
      <c r="D915" s="80" t="s">
        <v>3393</v>
      </c>
      <c r="E915" s="2275" t="str">
        <f t="shared" si="56"/>
        <v>TU</v>
      </c>
      <c r="F915" s="55">
        <v>2000</v>
      </c>
      <c r="G915" s="55" t="s">
        <v>512</v>
      </c>
      <c r="J915" s="55" t="str">
        <f t="shared" si="57"/>
        <v>TUBU300</v>
      </c>
    </row>
    <row r="916" spans="1:10" hidden="1">
      <c r="A916" s="79" t="s">
        <v>736</v>
      </c>
      <c r="B916" s="1779" t="s">
        <v>1392</v>
      </c>
      <c r="C916" s="1787" t="s">
        <v>3399</v>
      </c>
      <c r="D916" s="80" t="s">
        <v>3393</v>
      </c>
      <c r="E916" s="2275" t="str">
        <f t="shared" si="56"/>
        <v>TU</v>
      </c>
      <c r="F916" s="55">
        <v>2000</v>
      </c>
      <c r="G916" s="55" t="s">
        <v>512</v>
      </c>
      <c r="J916" s="55" t="str">
        <f t="shared" si="57"/>
        <v>TUBU250</v>
      </c>
    </row>
    <row r="917" spans="1:10" hidden="1">
      <c r="A917" s="79" t="s">
        <v>1963</v>
      </c>
      <c r="B917" s="1779" t="s">
        <v>1392</v>
      </c>
      <c r="C917" s="1787" t="s">
        <v>3400</v>
      </c>
      <c r="D917" s="80" t="s">
        <v>3393</v>
      </c>
      <c r="E917" s="2275" t="str">
        <f t="shared" si="56"/>
        <v>TU</v>
      </c>
      <c r="F917" s="55">
        <v>2000</v>
      </c>
      <c r="G917" s="55" t="s">
        <v>512</v>
      </c>
      <c r="J917" s="55" t="str">
        <f t="shared" si="57"/>
        <v>TUBU220</v>
      </c>
    </row>
    <row r="918" spans="1:10" hidden="1">
      <c r="A918" s="79" t="s">
        <v>729</v>
      </c>
      <c r="B918" s="1779" t="s">
        <v>1392</v>
      </c>
      <c r="C918" s="1787" t="s">
        <v>3401</v>
      </c>
      <c r="D918" s="80" t="s">
        <v>3393</v>
      </c>
      <c r="E918" s="2275" t="str">
        <f t="shared" si="56"/>
        <v>TU</v>
      </c>
      <c r="F918" s="55">
        <v>2000</v>
      </c>
      <c r="G918" s="55" t="s">
        <v>512</v>
      </c>
      <c r="J918" s="55" t="str">
        <f t="shared" si="57"/>
        <v>TUBU160</v>
      </c>
    </row>
    <row r="919" spans="1:10" hidden="1">
      <c r="A919" s="79" t="s">
        <v>486</v>
      </c>
      <c r="B919" s="1779" t="s">
        <v>1392</v>
      </c>
      <c r="C919" s="1787" t="s">
        <v>3402</v>
      </c>
      <c r="D919" s="80" t="s">
        <v>3393</v>
      </c>
      <c r="E919" s="2275" t="str">
        <f t="shared" si="56"/>
        <v>TU</v>
      </c>
      <c r="F919" s="55">
        <v>2000</v>
      </c>
      <c r="G919" s="55" t="s">
        <v>512</v>
      </c>
      <c r="J919" s="55" t="str">
        <f t="shared" si="57"/>
        <v>TUBU135</v>
      </c>
    </row>
    <row r="920" spans="1:10" hidden="1">
      <c r="A920" s="79" t="s">
        <v>774</v>
      </c>
      <c r="B920" s="1779" t="s">
        <v>1392</v>
      </c>
      <c r="C920" s="1787" t="s">
        <v>3403</v>
      </c>
      <c r="D920" s="80" t="s">
        <v>3393</v>
      </c>
      <c r="E920" s="2275" t="str">
        <f t="shared" si="56"/>
        <v>TU</v>
      </c>
      <c r="F920" s="55">
        <v>2000</v>
      </c>
      <c r="G920" s="55" t="s">
        <v>512</v>
      </c>
      <c r="J920" s="55" t="str">
        <f t="shared" si="57"/>
        <v>TUBU130</v>
      </c>
    </row>
    <row r="921" spans="1:10" hidden="1">
      <c r="A921" s="79" t="s">
        <v>1799</v>
      </c>
      <c r="B921" s="1779" t="s">
        <v>1765</v>
      </c>
      <c r="C921" s="1787" t="s">
        <v>3404</v>
      </c>
      <c r="D921" s="80" t="s">
        <v>3393</v>
      </c>
      <c r="E921" s="2275" t="str">
        <f t="shared" si="56"/>
        <v>TU</v>
      </c>
      <c r="F921" s="55">
        <v>2000</v>
      </c>
      <c r="G921" s="55" t="s">
        <v>512</v>
      </c>
      <c r="J921" s="55" t="str">
        <f t="shared" si="57"/>
        <v>TUBU100</v>
      </c>
    </row>
    <row r="922" spans="1:10" hidden="1">
      <c r="A922" s="79" t="s">
        <v>4637</v>
      </c>
      <c r="B922" s="1779" t="s">
        <v>1392</v>
      </c>
      <c r="C922" s="1787" t="s">
        <v>4638</v>
      </c>
      <c r="D922" s="80" t="s">
        <v>3393</v>
      </c>
      <c r="E922" s="2275" t="str">
        <f t="shared" ref="E922" si="58">LEFT(A922,2)</f>
        <v>TU</v>
      </c>
      <c r="F922" s="55">
        <v>2000</v>
      </c>
      <c r="G922" s="55" t="s">
        <v>512</v>
      </c>
      <c r="J922" s="55" t="str">
        <f t="shared" si="57"/>
        <v>TUBU90</v>
      </c>
    </row>
    <row r="923" spans="1:10" hidden="1">
      <c r="A923" s="79" t="s">
        <v>686</v>
      </c>
      <c r="B923" s="1779" t="s">
        <v>1392</v>
      </c>
      <c r="C923" s="1787" t="s">
        <v>3405</v>
      </c>
      <c r="D923" s="80" t="s">
        <v>3393</v>
      </c>
      <c r="E923" s="2275" t="str">
        <f t="shared" si="56"/>
        <v>TU</v>
      </c>
      <c r="F923" s="55">
        <v>2000</v>
      </c>
      <c r="G923" s="55" t="s">
        <v>512</v>
      </c>
      <c r="J923" s="55" t="str">
        <f t="shared" si="57"/>
        <v>TUBU80</v>
      </c>
    </row>
    <row r="924" spans="1:10" hidden="1">
      <c r="A924" s="79" t="s">
        <v>2200</v>
      </c>
      <c r="B924" s="1779" t="s">
        <v>1392</v>
      </c>
      <c r="C924" s="1787" t="s">
        <v>3406</v>
      </c>
      <c r="D924" s="80" t="s">
        <v>3393</v>
      </c>
      <c r="E924" s="2275" t="str">
        <f t="shared" si="56"/>
        <v>TU</v>
      </c>
      <c r="F924" s="55">
        <v>2000</v>
      </c>
      <c r="G924" s="55" t="s">
        <v>512</v>
      </c>
      <c r="J924" s="55" t="str">
        <f t="shared" si="57"/>
        <v>TUBU60</v>
      </c>
    </row>
    <row r="925" spans="1:10" hidden="1">
      <c r="A925" s="79" t="s">
        <v>760</v>
      </c>
      <c r="B925" s="1779" t="s">
        <v>1392</v>
      </c>
      <c r="C925" s="1787" t="s">
        <v>5008</v>
      </c>
      <c r="D925" s="80" t="s">
        <v>3393</v>
      </c>
      <c r="E925" s="2275" t="str">
        <f t="shared" si="56"/>
        <v>TU</v>
      </c>
      <c r="F925" s="55">
        <v>2000</v>
      </c>
      <c r="G925" s="55" t="s">
        <v>512</v>
      </c>
      <c r="J925" s="55" t="str">
        <f t="shared" si="57"/>
        <v>TUBU40</v>
      </c>
    </row>
    <row r="926" spans="1:10" hidden="1">
      <c r="A926" s="79" t="s">
        <v>1599</v>
      </c>
      <c r="B926" s="1779" t="s">
        <v>1393</v>
      </c>
      <c r="C926" s="79" t="s">
        <v>3407</v>
      </c>
      <c r="D926" s="80" t="s">
        <v>3393</v>
      </c>
      <c r="E926" s="2275" t="str">
        <f t="shared" si="56"/>
        <v>TU</v>
      </c>
      <c r="F926" s="55">
        <v>50</v>
      </c>
      <c r="G926" s="55" t="s">
        <v>512</v>
      </c>
      <c r="J926" s="55" t="str">
        <f t="shared" si="57"/>
        <v>TULBS</v>
      </c>
    </row>
    <row r="927" spans="1:10" hidden="1">
      <c r="A927" s="79" t="s">
        <v>11</v>
      </c>
      <c r="B927" s="1779" t="s">
        <v>1393</v>
      </c>
      <c r="C927" s="79" t="s">
        <v>3408</v>
      </c>
      <c r="D927" s="80" t="s">
        <v>3393</v>
      </c>
      <c r="E927" s="2275" t="str">
        <f t="shared" si="56"/>
        <v>TU</v>
      </c>
      <c r="F927" s="55">
        <v>50</v>
      </c>
      <c r="G927" s="55" t="s">
        <v>512</v>
      </c>
      <c r="J927" s="55" t="str">
        <f t="shared" si="57"/>
        <v>TU LBS</v>
      </c>
    </row>
    <row r="928" spans="1:10" hidden="1">
      <c r="A928" s="79" t="s">
        <v>1796</v>
      </c>
      <c r="B928" s="1779" t="s">
        <v>1393</v>
      </c>
      <c r="C928" s="79" t="s">
        <v>3409</v>
      </c>
      <c r="D928" s="80" t="s">
        <v>3393</v>
      </c>
      <c r="E928" s="2275" t="str">
        <f t="shared" si="56"/>
        <v>TU</v>
      </c>
      <c r="F928" s="55">
        <v>50</v>
      </c>
      <c r="G928" s="55" t="s">
        <v>512</v>
      </c>
      <c r="J928" s="55" t="str">
        <f t="shared" si="57"/>
        <v>TUTC LBS</v>
      </c>
    </row>
    <row r="929" spans="1:10" hidden="1">
      <c r="A929" s="79" t="s">
        <v>1600</v>
      </c>
      <c r="B929" s="1779" t="s">
        <v>1393</v>
      </c>
      <c r="C929" s="79" t="s">
        <v>3410</v>
      </c>
      <c r="D929" s="80" t="s">
        <v>3393</v>
      </c>
      <c r="E929" s="2275" t="str">
        <f t="shared" ref="E929:E993" si="59">LEFT(A929,2)</f>
        <v>TU</v>
      </c>
      <c r="F929" s="55">
        <v>50</v>
      </c>
      <c r="G929" s="55" t="s">
        <v>512</v>
      </c>
      <c r="J929" s="55" t="str">
        <f t="shared" si="57"/>
        <v>TUDS</v>
      </c>
    </row>
    <row r="930" spans="1:10" hidden="1">
      <c r="A930" s="79" t="s">
        <v>1384</v>
      </c>
      <c r="B930" s="1779" t="s">
        <v>1027</v>
      </c>
      <c r="C930" s="79" t="s">
        <v>3411</v>
      </c>
      <c r="D930" s="80" t="s">
        <v>2566</v>
      </c>
      <c r="E930" s="2275" t="str">
        <f t="shared" si="59"/>
        <v>TU</v>
      </c>
      <c r="F930" s="55">
        <v>50</v>
      </c>
      <c r="G930" s="55" t="s">
        <v>512</v>
      </c>
      <c r="J930" s="55" t="str">
        <f t="shared" si="57"/>
        <v>TUACB</v>
      </c>
    </row>
    <row r="931" spans="1:10">
      <c r="A931" s="79" t="s">
        <v>889</v>
      </c>
      <c r="B931" s="1779" t="s">
        <v>1027</v>
      </c>
      <c r="C931" s="79" t="s">
        <v>3412</v>
      </c>
      <c r="D931" s="80" t="s">
        <v>2566</v>
      </c>
      <c r="E931" s="2275" t="str">
        <f t="shared" si="59"/>
        <v>TU</v>
      </c>
      <c r="F931" s="55">
        <v>50</v>
      </c>
      <c r="G931" s="55" t="s">
        <v>512</v>
      </c>
      <c r="J931" s="55" t="str">
        <f t="shared" si="57"/>
        <v>TUACB3200</v>
      </c>
    </row>
    <row r="932" spans="1:10">
      <c r="A932" s="79" t="s">
        <v>628</v>
      </c>
      <c r="B932" s="1779" t="s">
        <v>1027</v>
      </c>
      <c r="C932" s="79" t="s">
        <v>3413</v>
      </c>
      <c r="D932" s="80" t="s">
        <v>2566</v>
      </c>
      <c r="E932" s="2275" t="str">
        <f t="shared" si="59"/>
        <v>TU</v>
      </c>
      <c r="F932" s="55">
        <v>50</v>
      </c>
      <c r="G932" s="55" t="s">
        <v>512</v>
      </c>
      <c r="J932" s="55" t="str">
        <f t="shared" si="57"/>
        <v>TUACB4000</v>
      </c>
    </row>
    <row r="933" spans="1:10" hidden="1">
      <c r="A933" s="79" t="s">
        <v>615</v>
      </c>
      <c r="B933" s="1779" t="s">
        <v>1762</v>
      </c>
      <c r="C933" s="79" t="s">
        <v>3414</v>
      </c>
      <c r="D933" s="80" t="s">
        <v>2566</v>
      </c>
      <c r="E933" s="2275" t="str">
        <f t="shared" si="59"/>
        <v>TU</v>
      </c>
      <c r="F933" s="55">
        <v>50</v>
      </c>
      <c r="G933" s="55" t="s">
        <v>512</v>
      </c>
      <c r="J933" s="55" t="str">
        <f t="shared" si="57"/>
        <v>TUAP3-N</v>
      </c>
    </row>
    <row r="934" spans="1:10" hidden="1">
      <c r="A934" s="79" t="s">
        <v>1026</v>
      </c>
      <c r="B934" s="1779" t="s">
        <v>1761</v>
      </c>
      <c r="C934" s="79" t="s">
        <v>3415</v>
      </c>
      <c r="D934" s="80" t="s">
        <v>2566</v>
      </c>
      <c r="E934" s="2275" t="str">
        <f t="shared" si="59"/>
        <v>TU</v>
      </c>
      <c r="F934" s="55">
        <v>50</v>
      </c>
      <c r="G934" s="55" t="s">
        <v>512</v>
      </c>
      <c r="J934" s="55" t="str">
        <f t="shared" si="57"/>
        <v>TUAP1</v>
      </c>
    </row>
    <row r="935" spans="1:10" hidden="1">
      <c r="A935" s="79" t="s">
        <v>840</v>
      </c>
      <c r="B935" s="84" t="s">
        <v>1675</v>
      </c>
      <c r="C935" s="79" t="s">
        <v>3416</v>
      </c>
      <c r="D935" s="80" t="s">
        <v>2566</v>
      </c>
      <c r="E935" s="2275" t="str">
        <f t="shared" si="59"/>
        <v>TU</v>
      </c>
      <c r="F935" s="55">
        <v>50</v>
      </c>
      <c r="G935" s="55" t="s">
        <v>512</v>
      </c>
      <c r="J935" s="55" t="str">
        <f t="shared" si="57"/>
        <v>TUN</v>
      </c>
    </row>
    <row r="936" spans="1:10" hidden="1">
      <c r="A936" s="79" t="s">
        <v>1921</v>
      </c>
      <c r="B936" s="84" t="s">
        <v>1675</v>
      </c>
      <c r="C936" s="79" t="s">
        <v>3417</v>
      </c>
      <c r="D936" s="80" t="s">
        <v>2566</v>
      </c>
      <c r="E936" s="2275" t="str">
        <f t="shared" si="59"/>
        <v>TU</v>
      </c>
      <c r="F936" s="55">
        <v>50</v>
      </c>
      <c r="G936" s="55" t="s">
        <v>512</v>
      </c>
      <c r="J936" s="55" t="str">
        <f t="shared" si="57"/>
        <v>TUDKDT</v>
      </c>
    </row>
    <row r="937" spans="1:10" hidden="1">
      <c r="A937" s="79" t="s">
        <v>1028</v>
      </c>
      <c r="B937" s="84" t="s">
        <v>1027</v>
      </c>
      <c r="C937" s="79" t="s">
        <v>3418</v>
      </c>
      <c r="D937" s="80" t="s">
        <v>2566</v>
      </c>
      <c r="E937" s="2275" t="str">
        <f t="shared" si="59"/>
        <v>TU</v>
      </c>
      <c r="F937" s="55">
        <v>50</v>
      </c>
      <c r="G937" s="55" t="s">
        <v>512</v>
      </c>
      <c r="J937" s="55" t="str">
        <f t="shared" si="57"/>
        <v>TUAP3</v>
      </c>
    </row>
    <row r="938" spans="1:10" hidden="1">
      <c r="A938" s="79" t="s">
        <v>1509</v>
      </c>
      <c r="B938" s="84" t="s">
        <v>1762</v>
      </c>
      <c r="C938" s="79" t="s">
        <v>3419</v>
      </c>
      <c r="D938" s="80" t="s">
        <v>2566</v>
      </c>
      <c r="E938" s="2275" t="str">
        <f t="shared" si="59"/>
        <v>TU</v>
      </c>
      <c r="F938" s="55">
        <v>50</v>
      </c>
      <c r="G938" s="55" t="s">
        <v>512</v>
      </c>
      <c r="J938" s="55" t="str">
        <f t="shared" si="57"/>
        <v>TUAP3L</v>
      </c>
    </row>
    <row r="939" spans="1:10" hidden="1">
      <c r="A939" s="79" t="s">
        <v>1234</v>
      </c>
      <c r="B939" s="84" t="s">
        <v>1027</v>
      </c>
      <c r="C939" s="79" t="s">
        <v>3420</v>
      </c>
      <c r="D939" s="80" t="s">
        <v>2714</v>
      </c>
      <c r="E939" s="2275" t="str">
        <f t="shared" si="59"/>
        <v>KH</v>
      </c>
      <c r="F939" s="55">
        <v>50</v>
      </c>
      <c r="G939" s="55" t="s">
        <v>512</v>
      </c>
      <c r="J939" s="55" t="str">
        <f t="shared" si="57"/>
        <v>KHUNG TU</v>
      </c>
    </row>
    <row r="940" spans="1:10" hidden="1">
      <c r="A940" s="79" t="s">
        <v>919</v>
      </c>
      <c r="B940" s="84" t="s">
        <v>1675</v>
      </c>
      <c r="C940" s="79" t="s">
        <v>3421</v>
      </c>
      <c r="D940" s="80" t="s">
        <v>2566</v>
      </c>
      <c r="E940" s="2275" t="str">
        <f t="shared" si="59"/>
        <v>TU</v>
      </c>
      <c r="F940" s="55">
        <v>50</v>
      </c>
      <c r="G940" s="55" t="s">
        <v>512</v>
      </c>
      <c r="J940" s="55" t="str">
        <f t="shared" si="57"/>
        <v>TUPP</v>
      </c>
    </row>
    <row r="941" spans="1:10" hidden="1">
      <c r="A941" s="79" t="s">
        <v>2182</v>
      </c>
      <c r="B941" s="80"/>
      <c r="C941" s="79" t="s">
        <v>3422</v>
      </c>
      <c r="D941" s="80" t="s">
        <v>2566</v>
      </c>
      <c r="E941" s="2275" t="str">
        <f t="shared" si="59"/>
        <v>AT</v>
      </c>
      <c r="F941" s="55">
        <v>50</v>
      </c>
      <c r="G941" s="55" t="s">
        <v>512</v>
      </c>
      <c r="J941" s="55" t="str">
        <f t="shared" si="57"/>
        <v>ATM30A</v>
      </c>
    </row>
    <row r="942" spans="1:10" hidden="1">
      <c r="A942" s="79" t="s">
        <v>891</v>
      </c>
      <c r="B942" s="80"/>
      <c r="C942" s="79" t="s">
        <v>3423</v>
      </c>
      <c r="D942" s="80" t="s">
        <v>2566</v>
      </c>
      <c r="E942" s="2275" t="str">
        <f t="shared" si="59"/>
        <v>AT</v>
      </c>
      <c r="F942" s="55">
        <v>50</v>
      </c>
      <c r="G942" s="55" t="s">
        <v>512</v>
      </c>
      <c r="J942" s="55" t="str">
        <f t="shared" si="57"/>
        <v>ATM40A</v>
      </c>
    </row>
    <row r="943" spans="1:10" hidden="1">
      <c r="A943" s="79" t="s">
        <v>1423</v>
      </c>
      <c r="B943" s="80"/>
      <c r="C943" s="79" t="s">
        <v>3424</v>
      </c>
      <c r="D943" s="80" t="s">
        <v>2566</v>
      </c>
      <c r="E943" s="2275" t="str">
        <f t="shared" si="59"/>
        <v>AT</v>
      </c>
      <c r="F943" s="55">
        <v>50</v>
      </c>
      <c r="G943" s="55" t="s">
        <v>512</v>
      </c>
      <c r="J943" s="55" t="str">
        <f t="shared" si="57"/>
        <v>ATM100A</v>
      </c>
    </row>
    <row r="944" spans="1:10" hidden="1">
      <c r="A944" s="79" t="s">
        <v>80</v>
      </c>
      <c r="B944" s="1810" t="s">
        <v>1518</v>
      </c>
      <c r="C944" s="79" t="s">
        <v>5014</v>
      </c>
      <c r="D944" s="80" t="s">
        <v>2566</v>
      </c>
      <c r="E944" s="2275" t="str">
        <f t="shared" si="59"/>
        <v>AT</v>
      </c>
      <c r="F944" s="55">
        <v>5</v>
      </c>
      <c r="G944" s="55" t="s">
        <v>512</v>
      </c>
      <c r="J944" s="55" t="str">
        <f t="shared" si="57"/>
        <v>ATM50</v>
      </c>
    </row>
    <row r="945" spans="1:10" hidden="1">
      <c r="A945" s="79" t="s">
        <v>1730</v>
      </c>
      <c r="B945" s="1810" t="s">
        <v>1518</v>
      </c>
      <c r="C945" s="79" t="s">
        <v>3425</v>
      </c>
      <c r="D945" s="80" t="s">
        <v>2566</v>
      </c>
      <c r="E945" s="2275" t="str">
        <f t="shared" si="59"/>
        <v>AT</v>
      </c>
      <c r="F945" s="55">
        <v>5</v>
      </c>
      <c r="G945" s="55" t="s">
        <v>512</v>
      </c>
      <c r="J945" s="55" t="str">
        <f t="shared" si="57"/>
        <v>ATM80</v>
      </c>
    </row>
    <row r="946" spans="1:10" hidden="1">
      <c r="A946" s="79" t="s">
        <v>81</v>
      </c>
      <c r="B946" s="1810" t="s">
        <v>1518</v>
      </c>
      <c r="C946" s="79" t="s">
        <v>3426</v>
      </c>
      <c r="D946" s="80" t="s">
        <v>2566</v>
      </c>
      <c r="E946" s="2275" t="str">
        <f t="shared" si="59"/>
        <v>AT</v>
      </c>
      <c r="F946" s="55">
        <v>5</v>
      </c>
      <c r="G946" s="55" t="s">
        <v>512</v>
      </c>
      <c r="J946" s="55" t="str">
        <f t="shared" si="57"/>
        <v>ATM75</v>
      </c>
    </row>
    <row r="947" spans="1:10" hidden="1">
      <c r="A947" s="79" t="s">
        <v>795</v>
      </c>
      <c r="B947" s="1810" t="s">
        <v>1518</v>
      </c>
      <c r="C947" s="79" t="s">
        <v>3427</v>
      </c>
      <c r="D947" s="80" t="s">
        <v>2566</v>
      </c>
      <c r="E947" s="2275" t="str">
        <f t="shared" si="59"/>
        <v>AT</v>
      </c>
      <c r="F947" s="55">
        <v>5</v>
      </c>
      <c r="G947" s="55" t="s">
        <v>512</v>
      </c>
      <c r="J947" s="55" t="str">
        <f t="shared" si="57"/>
        <v>ATM100</v>
      </c>
    </row>
    <row r="948" spans="1:10" hidden="1">
      <c r="A948" s="79" t="s">
        <v>1424</v>
      </c>
      <c r="B948" s="1810" t="s">
        <v>1518</v>
      </c>
      <c r="C948" s="79" t="s">
        <v>4576</v>
      </c>
      <c r="D948" s="80" t="s">
        <v>2566</v>
      </c>
      <c r="E948" s="2275" t="str">
        <f t="shared" si="59"/>
        <v>AT</v>
      </c>
      <c r="F948" s="55">
        <v>5</v>
      </c>
      <c r="G948" s="55" t="s">
        <v>512</v>
      </c>
      <c r="J948" s="55" t="str">
        <f t="shared" si="57"/>
        <v>ATM125</v>
      </c>
    </row>
    <row r="949" spans="1:10" hidden="1">
      <c r="A949" s="79" t="s">
        <v>1854</v>
      </c>
      <c r="B949" s="1810" t="s">
        <v>1518</v>
      </c>
      <c r="C949" s="79" t="s">
        <v>3428</v>
      </c>
      <c r="D949" s="80" t="s">
        <v>2566</v>
      </c>
      <c r="E949" s="2275" t="str">
        <f t="shared" si="59"/>
        <v>AT</v>
      </c>
      <c r="F949" s="55">
        <v>5</v>
      </c>
      <c r="G949" s="55" t="s">
        <v>512</v>
      </c>
      <c r="J949" s="55" t="str">
        <f t="shared" si="57"/>
        <v>ATM150</v>
      </c>
    </row>
    <row r="950" spans="1:10" hidden="1">
      <c r="A950" s="79" t="s">
        <v>1432</v>
      </c>
      <c r="B950" s="1810" t="s">
        <v>1518</v>
      </c>
      <c r="C950" s="79" t="s">
        <v>3429</v>
      </c>
      <c r="D950" s="80" t="s">
        <v>2566</v>
      </c>
      <c r="E950" s="2275" t="str">
        <f t="shared" si="59"/>
        <v>AT</v>
      </c>
      <c r="F950" s="55">
        <v>5</v>
      </c>
      <c r="G950" s="55" t="s">
        <v>512</v>
      </c>
      <c r="J950" s="55" t="str">
        <f t="shared" si="57"/>
        <v>ATM200</v>
      </c>
    </row>
    <row r="951" spans="1:10" hidden="1">
      <c r="A951" s="79" t="s">
        <v>1565</v>
      </c>
      <c r="B951" s="1810" t="s">
        <v>1518</v>
      </c>
      <c r="C951" s="79" t="s">
        <v>4489</v>
      </c>
      <c r="D951" s="80" t="s">
        <v>2566</v>
      </c>
      <c r="E951" s="2275" t="str">
        <f t="shared" si="59"/>
        <v>AT</v>
      </c>
      <c r="F951" s="55">
        <v>5</v>
      </c>
      <c r="G951" s="55" t="s">
        <v>512</v>
      </c>
      <c r="J951" s="55" t="str">
        <f t="shared" si="57"/>
        <v>ATM250</v>
      </c>
    </row>
    <row r="952" spans="1:10" hidden="1">
      <c r="A952" s="79" t="s">
        <v>988</v>
      </c>
      <c r="B952" s="1810" t="s">
        <v>1889</v>
      </c>
      <c r="C952" s="79" t="s">
        <v>4543</v>
      </c>
      <c r="D952" s="80" t="s">
        <v>2566</v>
      </c>
      <c r="E952" s="2275" t="str">
        <f t="shared" si="59"/>
        <v>AT</v>
      </c>
      <c r="F952" s="55">
        <v>5</v>
      </c>
      <c r="G952" s="55" t="s">
        <v>512</v>
      </c>
      <c r="J952" s="55" t="str">
        <f t="shared" si="57"/>
        <v>ATM400</v>
      </c>
    </row>
    <row r="953" spans="1:10" hidden="1">
      <c r="A953" s="79" t="s">
        <v>305</v>
      </c>
      <c r="B953" s="1810" t="s">
        <v>543</v>
      </c>
      <c r="C953" s="79" t="s">
        <v>4804</v>
      </c>
      <c r="D953" s="80" t="s">
        <v>2566</v>
      </c>
      <c r="E953" s="2275" t="str">
        <f t="shared" si="59"/>
        <v>AT</v>
      </c>
      <c r="F953" s="55">
        <v>5</v>
      </c>
      <c r="G953" s="55" t="s">
        <v>512</v>
      </c>
      <c r="J953" s="55" t="str">
        <f t="shared" si="57"/>
        <v>ATM500</v>
      </c>
    </row>
    <row r="954" spans="1:10" hidden="1">
      <c r="A954" s="79" t="s">
        <v>542</v>
      </c>
      <c r="B954" s="1810" t="s">
        <v>543</v>
      </c>
      <c r="C954" s="79" t="s">
        <v>3430</v>
      </c>
      <c r="D954" s="80" t="s">
        <v>2566</v>
      </c>
      <c r="E954" s="2275" t="str">
        <f t="shared" si="59"/>
        <v>AT</v>
      </c>
      <c r="F954" s="55">
        <v>5</v>
      </c>
      <c r="G954" s="55" t="s">
        <v>512</v>
      </c>
      <c r="J954" s="55" t="str">
        <f t="shared" si="57"/>
        <v>ATM600</v>
      </c>
    </row>
    <row r="955" spans="1:10" hidden="1">
      <c r="A955" s="79" t="s">
        <v>962</v>
      </c>
      <c r="B955" s="1810" t="s">
        <v>543</v>
      </c>
      <c r="C955" s="79" t="s">
        <v>3431</v>
      </c>
      <c r="D955" s="80" t="s">
        <v>2566</v>
      </c>
      <c r="E955" s="2275" t="str">
        <f t="shared" si="59"/>
        <v>AT</v>
      </c>
      <c r="F955" s="55">
        <v>5</v>
      </c>
      <c r="G955" s="55" t="s">
        <v>512</v>
      </c>
      <c r="J955" s="55" t="str">
        <f t="shared" si="57"/>
        <v>ATM630</v>
      </c>
    </row>
    <row r="956" spans="1:10" hidden="1">
      <c r="A956" s="79" t="s">
        <v>655</v>
      </c>
      <c r="B956" s="1810" t="s">
        <v>543</v>
      </c>
      <c r="C956" s="79" t="s">
        <v>3432</v>
      </c>
      <c r="D956" s="80" t="s">
        <v>2566</v>
      </c>
      <c r="E956" s="2275" t="str">
        <f t="shared" si="59"/>
        <v>AT</v>
      </c>
      <c r="F956" s="55">
        <v>5</v>
      </c>
      <c r="G956" s="55" t="s">
        <v>512</v>
      </c>
      <c r="J956" s="55" t="str">
        <f t="shared" si="57"/>
        <v>ATM800</v>
      </c>
    </row>
    <row r="957" spans="1:10" hidden="1">
      <c r="A957" s="79" t="s">
        <v>656</v>
      </c>
      <c r="B957" s="1810" t="s">
        <v>827</v>
      </c>
      <c r="C957" s="79" t="s">
        <v>3433</v>
      </c>
      <c r="D957" s="80" t="s">
        <v>2566</v>
      </c>
      <c r="E957" s="2275" t="str">
        <f t="shared" si="59"/>
        <v>AT</v>
      </c>
      <c r="F957" s="55">
        <v>5</v>
      </c>
      <c r="G957" s="55" t="s">
        <v>512</v>
      </c>
      <c r="J957" s="55" t="str">
        <f t="shared" si="57"/>
        <v>ATM1000</v>
      </c>
    </row>
    <row r="958" spans="1:10" hidden="1">
      <c r="A958" s="79" t="s">
        <v>1381</v>
      </c>
      <c r="B958" s="1810" t="s">
        <v>827</v>
      </c>
      <c r="C958" s="79" t="s">
        <v>3434</v>
      </c>
      <c r="D958" s="80" t="s">
        <v>2566</v>
      </c>
      <c r="E958" s="2275" t="str">
        <f t="shared" si="59"/>
        <v>AT</v>
      </c>
      <c r="F958" s="55">
        <v>5</v>
      </c>
      <c r="G958" s="55" t="s">
        <v>512</v>
      </c>
      <c r="J958" s="55" t="str">
        <f t="shared" si="57"/>
        <v>ATM1250</v>
      </c>
    </row>
    <row r="959" spans="1:10" hidden="1">
      <c r="A959" s="79" t="s">
        <v>1382</v>
      </c>
      <c r="B959" s="1810" t="s">
        <v>827</v>
      </c>
      <c r="C959" s="79" t="s">
        <v>3435</v>
      </c>
      <c r="D959" s="80" t="s">
        <v>2566</v>
      </c>
      <c r="E959" s="2275" t="str">
        <f t="shared" si="59"/>
        <v>AT</v>
      </c>
      <c r="F959" s="55">
        <v>5</v>
      </c>
      <c r="G959" s="55" t="s">
        <v>512</v>
      </c>
      <c r="J959" s="55" t="str">
        <f t="shared" si="57"/>
        <v>ATM1600</v>
      </c>
    </row>
    <row r="960" spans="1:10" hidden="1">
      <c r="A960" s="79" t="s">
        <v>641</v>
      </c>
      <c r="B960" s="1810" t="s">
        <v>827</v>
      </c>
      <c r="C960" s="79" t="s">
        <v>3436</v>
      </c>
      <c r="D960" s="80" t="s">
        <v>2566</v>
      </c>
      <c r="E960" s="2275" t="str">
        <f t="shared" si="59"/>
        <v>AC</v>
      </c>
      <c r="F960" s="55">
        <v>50</v>
      </c>
      <c r="G960" s="55" t="s">
        <v>512</v>
      </c>
      <c r="J960" s="55" t="str">
        <f t="shared" si="57"/>
        <v>ACB1600</v>
      </c>
    </row>
    <row r="961" spans="1:10" hidden="1">
      <c r="A961" s="79" t="s">
        <v>440</v>
      </c>
      <c r="B961" s="1810" t="s">
        <v>827</v>
      </c>
      <c r="C961" s="79" t="s">
        <v>3437</v>
      </c>
      <c r="D961" s="80" t="s">
        <v>2566</v>
      </c>
      <c r="E961" s="2275" t="str">
        <f t="shared" si="59"/>
        <v>AC</v>
      </c>
      <c r="F961" s="55">
        <v>50</v>
      </c>
      <c r="G961" s="55" t="s">
        <v>512</v>
      </c>
      <c r="J961" s="55" t="str">
        <f t="shared" si="57"/>
        <v>ACB2000</v>
      </c>
    </row>
    <row r="962" spans="1:10" hidden="1">
      <c r="A962" s="79" t="s">
        <v>1137</v>
      </c>
      <c r="B962" s="1810" t="s">
        <v>827</v>
      </c>
      <c r="C962" s="79" t="s">
        <v>3438</v>
      </c>
      <c r="D962" s="80" t="s">
        <v>2566</v>
      </c>
      <c r="E962" s="2275" t="str">
        <f t="shared" si="59"/>
        <v>AC</v>
      </c>
      <c r="F962" s="55">
        <v>50</v>
      </c>
      <c r="G962" s="55" t="s">
        <v>512</v>
      </c>
      <c r="J962" s="55" t="str">
        <f t="shared" si="57"/>
        <v>ACB2500</v>
      </c>
    </row>
    <row r="963" spans="1:10" hidden="1">
      <c r="A963" s="79" t="s">
        <v>2193</v>
      </c>
      <c r="B963" s="1810" t="s">
        <v>827</v>
      </c>
      <c r="C963" s="79" t="s">
        <v>3439</v>
      </c>
      <c r="D963" s="80" t="s">
        <v>2566</v>
      </c>
      <c r="E963" s="2275" t="str">
        <f t="shared" si="59"/>
        <v>AC</v>
      </c>
      <c r="F963" s="55">
        <v>50</v>
      </c>
      <c r="G963" s="55" t="s">
        <v>512</v>
      </c>
      <c r="J963" s="55" t="str">
        <f t="shared" si="57"/>
        <v>ACB3200</v>
      </c>
    </row>
    <row r="964" spans="1:10" hidden="1">
      <c r="A964" s="79" t="s">
        <v>826</v>
      </c>
      <c r="B964" s="1810" t="s">
        <v>827</v>
      </c>
      <c r="C964" s="79" t="s">
        <v>3440</v>
      </c>
      <c r="D964" s="80" t="s">
        <v>2566</v>
      </c>
      <c r="E964" s="2275" t="str">
        <f t="shared" si="59"/>
        <v>AC</v>
      </c>
      <c r="F964" s="55">
        <v>50</v>
      </c>
      <c r="G964" s="55" t="s">
        <v>512</v>
      </c>
      <c r="J964" s="55" t="str">
        <f t="shared" si="57"/>
        <v>ACB4000</v>
      </c>
    </row>
    <row r="965" spans="1:10" hidden="1">
      <c r="A965" s="79" t="s">
        <v>1459</v>
      </c>
      <c r="B965" s="1810" t="s">
        <v>827</v>
      </c>
      <c r="C965" s="79" t="s">
        <v>3441</v>
      </c>
      <c r="D965" s="80" t="s">
        <v>2566</v>
      </c>
      <c r="E965" s="2275" t="str">
        <f t="shared" si="59"/>
        <v>AC</v>
      </c>
      <c r="F965" s="55">
        <v>50</v>
      </c>
      <c r="G965" s="55" t="s">
        <v>512</v>
      </c>
      <c r="J965" s="55" t="str">
        <f t="shared" si="57"/>
        <v>ACB4000-130</v>
      </c>
    </row>
    <row r="966" spans="1:10" hidden="1">
      <c r="A966" s="79" t="s">
        <v>1840</v>
      </c>
      <c r="B966" s="1810" t="s">
        <v>827</v>
      </c>
      <c r="C966" s="79" t="s">
        <v>3442</v>
      </c>
      <c r="D966" s="80" t="s">
        <v>2566</v>
      </c>
      <c r="E966" s="2275" t="str">
        <f t="shared" si="59"/>
        <v>AC</v>
      </c>
      <c r="F966" s="55">
        <v>50</v>
      </c>
      <c r="G966" s="55" t="s">
        <v>512</v>
      </c>
      <c r="J966" s="55" t="str">
        <f t="shared" si="57"/>
        <v>ACB6300</v>
      </c>
    </row>
    <row r="967" spans="1:10" hidden="1">
      <c r="A967" s="79" t="s">
        <v>1566</v>
      </c>
      <c r="B967" s="1810"/>
      <c r="C967" s="79" t="s">
        <v>3443</v>
      </c>
      <c r="D967" s="80" t="s">
        <v>2566</v>
      </c>
      <c r="E967" s="2275" t="str">
        <f t="shared" si="59"/>
        <v>AP</v>
      </c>
      <c r="F967" s="55">
        <v>50</v>
      </c>
      <c r="G967" s="55" t="s">
        <v>512</v>
      </c>
      <c r="J967" s="55" t="str">
        <f t="shared" si="57"/>
        <v>AP250</v>
      </c>
    </row>
    <row r="968" spans="1:10" hidden="1">
      <c r="A968" s="79" t="s">
        <v>1671</v>
      </c>
      <c r="B968" s="1810"/>
      <c r="C968" s="79" t="s">
        <v>3444</v>
      </c>
      <c r="D968" s="80" t="s">
        <v>2566</v>
      </c>
      <c r="E968" s="2275" t="str">
        <f t="shared" si="59"/>
        <v>AP</v>
      </c>
      <c r="F968" s="55">
        <v>50</v>
      </c>
      <c r="G968" s="55" t="s">
        <v>512</v>
      </c>
      <c r="J968" s="55" t="str">
        <f t="shared" si="57"/>
        <v>AP150</v>
      </c>
    </row>
    <row r="969" spans="1:10" hidden="1">
      <c r="A969" s="79" t="s">
        <v>890</v>
      </c>
      <c r="B969" s="84"/>
      <c r="C969" s="79" t="s">
        <v>3445</v>
      </c>
      <c r="D969" s="80" t="s">
        <v>2611</v>
      </c>
      <c r="E969" s="2275" t="str">
        <f t="shared" si="59"/>
        <v>CH</v>
      </c>
      <c r="F969" s="55">
        <v>50</v>
      </c>
      <c r="G969" s="55" t="s">
        <v>512</v>
      </c>
      <c r="J969" s="55" t="str">
        <f t="shared" si="57"/>
        <v>CHI3K</v>
      </c>
    </row>
    <row r="970" spans="1:10" hidden="1">
      <c r="A970" s="79" t="s">
        <v>26</v>
      </c>
      <c r="B970" s="84"/>
      <c r="C970" s="79" t="s">
        <v>3446</v>
      </c>
      <c r="D970" s="80" t="s">
        <v>2611</v>
      </c>
      <c r="E970" s="2275" t="str">
        <f t="shared" si="59"/>
        <v>CH</v>
      </c>
      <c r="F970" s="55">
        <v>50</v>
      </c>
      <c r="G970" s="55" t="s">
        <v>512</v>
      </c>
      <c r="J970" s="55" t="str">
        <f t="shared" ref="J970:J1033" si="60">A970</f>
        <v>CHI6K</v>
      </c>
    </row>
    <row r="971" spans="1:10" hidden="1">
      <c r="A971" s="79" t="s">
        <v>1029</v>
      </c>
      <c r="B971" s="84"/>
      <c r="C971" s="79" t="s">
        <v>3447</v>
      </c>
      <c r="D971" s="80" t="s">
        <v>2611</v>
      </c>
      <c r="E971" s="2275" t="str">
        <f t="shared" si="59"/>
        <v>CH</v>
      </c>
      <c r="F971" s="55">
        <v>50</v>
      </c>
      <c r="G971" s="55" t="s">
        <v>512</v>
      </c>
      <c r="J971" s="55" t="str">
        <f t="shared" si="60"/>
        <v>CHI8K</v>
      </c>
    </row>
    <row r="972" spans="1:10" hidden="1">
      <c r="A972" s="79" t="s">
        <v>1148</v>
      </c>
      <c r="B972" s="84"/>
      <c r="C972" s="79" t="s">
        <v>3448</v>
      </c>
      <c r="D972" s="80" t="s">
        <v>2611</v>
      </c>
      <c r="E972" s="2275" t="str">
        <f t="shared" si="59"/>
        <v>CH</v>
      </c>
      <c r="F972" s="55">
        <v>50</v>
      </c>
      <c r="G972" s="55" t="s">
        <v>512</v>
      </c>
      <c r="J972" s="55" t="str">
        <f t="shared" si="60"/>
        <v>CHI10K</v>
      </c>
    </row>
    <row r="973" spans="1:10" hidden="1">
      <c r="A973" s="79" t="s">
        <v>2073</v>
      </c>
      <c r="B973" s="84"/>
      <c r="C973" s="79" t="s">
        <v>3449</v>
      </c>
      <c r="D973" s="80" t="s">
        <v>2611</v>
      </c>
      <c r="E973" s="2275" t="str">
        <f t="shared" si="59"/>
        <v>CH</v>
      </c>
      <c r="F973" s="55">
        <v>50</v>
      </c>
      <c r="G973" s="55" t="s">
        <v>512</v>
      </c>
      <c r="J973" s="55" t="str">
        <f t="shared" si="60"/>
        <v>CHI12K</v>
      </c>
    </row>
    <row r="974" spans="1:10" hidden="1">
      <c r="A974" s="79" t="s">
        <v>2074</v>
      </c>
      <c r="B974" s="84"/>
      <c r="C974" s="79" t="s">
        <v>3450</v>
      </c>
      <c r="D974" s="80" t="s">
        <v>2611</v>
      </c>
      <c r="E974" s="2275" t="str">
        <f t="shared" si="59"/>
        <v>CH</v>
      </c>
      <c r="F974" s="55">
        <v>50</v>
      </c>
      <c r="G974" s="55" t="s">
        <v>512</v>
      </c>
      <c r="J974" s="55" t="str">
        <f t="shared" si="60"/>
        <v>CHI15K</v>
      </c>
    </row>
    <row r="975" spans="1:10" hidden="1">
      <c r="A975" s="79" t="s">
        <v>1163</v>
      </c>
      <c r="B975" s="84"/>
      <c r="C975" s="79" t="s">
        <v>3451</v>
      </c>
      <c r="D975" s="80" t="s">
        <v>2611</v>
      </c>
      <c r="E975" s="2275" t="str">
        <f t="shared" si="59"/>
        <v>CH</v>
      </c>
      <c r="F975" s="55">
        <v>50</v>
      </c>
      <c r="G975" s="55" t="s">
        <v>512</v>
      </c>
      <c r="J975" s="55" t="str">
        <f t="shared" si="60"/>
        <v>CHI20K</v>
      </c>
    </row>
    <row r="976" spans="1:10" hidden="1">
      <c r="A976" s="79" t="s">
        <v>2072</v>
      </c>
      <c r="B976" s="84"/>
      <c r="C976" s="79" t="s">
        <v>3452</v>
      </c>
      <c r="D976" s="80" t="s">
        <v>2611</v>
      </c>
      <c r="E976" s="2275" t="str">
        <f t="shared" si="59"/>
        <v>CH</v>
      </c>
      <c r="F976" s="55">
        <v>50</v>
      </c>
      <c r="G976" s="55" t="s">
        <v>512</v>
      </c>
      <c r="J976" s="55" t="str">
        <f t="shared" si="60"/>
        <v>CHI25K</v>
      </c>
    </row>
    <row r="977" spans="1:10" hidden="1">
      <c r="A977" s="79" t="s">
        <v>2075</v>
      </c>
      <c r="B977" s="84"/>
      <c r="C977" s="79" t="s">
        <v>3453</v>
      </c>
      <c r="D977" s="80" t="s">
        <v>2611</v>
      </c>
      <c r="E977" s="2275" t="str">
        <f t="shared" si="59"/>
        <v>CH</v>
      </c>
      <c r="F977" s="55">
        <v>50</v>
      </c>
      <c r="G977" s="55" t="s">
        <v>512</v>
      </c>
      <c r="J977" s="55" t="str">
        <f t="shared" si="60"/>
        <v>CHI30K</v>
      </c>
    </row>
    <row r="978" spans="1:10" hidden="1">
      <c r="A978" s="79" t="s">
        <v>2076</v>
      </c>
      <c r="B978" s="84"/>
      <c r="C978" s="79" t="s">
        <v>3454</v>
      </c>
      <c r="D978" s="80" t="s">
        <v>2611</v>
      </c>
      <c r="E978" s="2275" t="str">
        <f t="shared" si="59"/>
        <v>CH</v>
      </c>
      <c r="F978" s="55">
        <v>50</v>
      </c>
      <c r="G978" s="55" t="s">
        <v>512</v>
      </c>
      <c r="J978" s="55" t="str">
        <f t="shared" si="60"/>
        <v>CHI40K</v>
      </c>
    </row>
    <row r="979" spans="1:10" hidden="1">
      <c r="A979" s="79" t="s">
        <v>541</v>
      </c>
      <c r="B979" s="84"/>
      <c r="C979" s="79" t="s">
        <v>3455</v>
      </c>
      <c r="D979" s="80" t="s">
        <v>2611</v>
      </c>
      <c r="E979" s="2275" t="str">
        <f t="shared" si="59"/>
        <v>CH</v>
      </c>
      <c r="F979" s="55">
        <v>50</v>
      </c>
      <c r="G979" s="55" t="s">
        <v>512</v>
      </c>
      <c r="J979" s="55" t="str">
        <f t="shared" si="60"/>
        <v>CHI50K</v>
      </c>
    </row>
    <row r="980" spans="1:10" hidden="1">
      <c r="A980" s="79" t="s">
        <v>695</v>
      </c>
      <c r="B980" s="84"/>
      <c r="C980" s="79" t="s">
        <v>3456</v>
      </c>
      <c r="D980" s="80" t="s">
        <v>2611</v>
      </c>
      <c r="E980" s="2275" t="str">
        <f t="shared" si="59"/>
        <v>CH</v>
      </c>
      <c r="F980" s="55">
        <v>50</v>
      </c>
      <c r="G980" s="55" t="s">
        <v>512</v>
      </c>
      <c r="J980" s="55" t="str">
        <f t="shared" si="60"/>
        <v>CHI65K</v>
      </c>
    </row>
    <row r="981" spans="1:10" hidden="1">
      <c r="A981" s="79" t="s">
        <v>555</v>
      </c>
      <c r="B981" s="84"/>
      <c r="C981" s="79" t="s">
        <v>3457</v>
      </c>
      <c r="D981" s="80" t="s">
        <v>2611</v>
      </c>
      <c r="E981" s="2275" t="str">
        <f t="shared" si="59"/>
        <v>CH</v>
      </c>
      <c r="F981" s="55">
        <v>50</v>
      </c>
      <c r="G981" s="55" t="s">
        <v>512</v>
      </c>
      <c r="J981" s="55" t="str">
        <f t="shared" si="60"/>
        <v>CHI80K</v>
      </c>
    </row>
    <row r="982" spans="1:10" hidden="1">
      <c r="A982" s="79" t="s">
        <v>561</v>
      </c>
      <c r="B982" s="84"/>
      <c r="C982" s="79" t="s">
        <v>3458</v>
      </c>
      <c r="D982" s="80" t="s">
        <v>2611</v>
      </c>
      <c r="E982" s="2275" t="str">
        <f t="shared" si="59"/>
        <v>CH</v>
      </c>
      <c r="F982" s="55">
        <v>50</v>
      </c>
      <c r="G982" s="55" t="s">
        <v>512</v>
      </c>
      <c r="J982" s="55" t="str">
        <f t="shared" si="60"/>
        <v>CHI100K</v>
      </c>
    </row>
    <row r="983" spans="1:10" hidden="1">
      <c r="A983" s="79" t="s">
        <v>562</v>
      </c>
      <c r="B983" s="84"/>
      <c r="C983" s="79" t="s">
        <v>3459</v>
      </c>
      <c r="D983" s="80" t="s">
        <v>2611</v>
      </c>
      <c r="E983" s="2275" t="str">
        <f t="shared" si="59"/>
        <v>CH</v>
      </c>
      <c r="F983" s="55">
        <v>50</v>
      </c>
      <c r="G983" s="55" t="s">
        <v>512</v>
      </c>
      <c r="J983" s="55" t="str">
        <f t="shared" si="60"/>
        <v>CHI140K</v>
      </c>
    </row>
    <row r="984" spans="1:10" hidden="1">
      <c r="A984" s="79" t="s">
        <v>1589</v>
      </c>
      <c r="B984" s="1810"/>
      <c r="C984" s="79" t="s">
        <v>3460</v>
      </c>
      <c r="D984" s="80" t="s">
        <v>2566</v>
      </c>
      <c r="E984" s="2275" t="str">
        <f t="shared" si="59"/>
        <v>DK</v>
      </c>
      <c r="F984" s="55">
        <v>2000</v>
      </c>
      <c r="G984" s="55" t="s">
        <v>512</v>
      </c>
      <c r="J984" s="55" t="str">
        <f t="shared" si="60"/>
        <v>DK1p100A</v>
      </c>
    </row>
    <row r="985" spans="1:10" hidden="1">
      <c r="A985" s="79" t="s">
        <v>2201</v>
      </c>
      <c r="B985" s="1810"/>
      <c r="C985" s="79" t="s">
        <v>3461</v>
      </c>
      <c r="D985" s="80" t="s">
        <v>2566</v>
      </c>
      <c r="E985" s="2275" t="str">
        <f t="shared" si="59"/>
        <v>DK</v>
      </c>
      <c r="F985" s="55">
        <v>2000</v>
      </c>
      <c r="G985" s="55" t="s">
        <v>512</v>
      </c>
      <c r="J985" s="55" t="str">
        <f t="shared" si="60"/>
        <v>DK1p80A</v>
      </c>
    </row>
    <row r="986" spans="1:10" hidden="1">
      <c r="A986" s="79" t="s">
        <v>287</v>
      </c>
      <c r="B986" s="1810"/>
      <c r="C986" s="79" t="s">
        <v>3462</v>
      </c>
      <c r="D986" s="80" t="s">
        <v>2566</v>
      </c>
      <c r="E986" s="2275" t="str">
        <f t="shared" si="59"/>
        <v>DK</v>
      </c>
      <c r="F986" s="55">
        <v>2000</v>
      </c>
      <c r="G986" s="55" t="s">
        <v>512</v>
      </c>
      <c r="J986" s="55" t="str">
        <f t="shared" si="60"/>
        <v>DK1p5A</v>
      </c>
    </row>
    <row r="987" spans="1:10" hidden="1">
      <c r="A987" s="79" t="s">
        <v>1396</v>
      </c>
      <c r="B987" s="1810"/>
      <c r="C987" s="79" t="s">
        <v>3463</v>
      </c>
      <c r="D987" s="80" t="s">
        <v>2566</v>
      </c>
      <c r="E987" s="2275" t="str">
        <f t="shared" si="59"/>
        <v>DK</v>
      </c>
      <c r="F987" s="55">
        <v>2000</v>
      </c>
      <c r="G987" s="55" t="s">
        <v>512</v>
      </c>
      <c r="J987" s="55" t="str">
        <f t="shared" si="60"/>
        <v>DK3p50(100)A</v>
      </c>
    </row>
    <row r="988" spans="1:10" hidden="1">
      <c r="A988" s="79" t="s">
        <v>288</v>
      </c>
      <c r="B988" s="1810" t="s">
        <v>58</v>
      </c>
      <c r="C988" s="79" t="s">
        <v>3464</v>
      </c>
      <c r="D988" s="80" t="s">
        <v>2566</v>
      </c>
      <c r="E988" s="2275" t="str">
        <f t="shared" si="59"/>
        <v>DK</v>
      </c>
      <c r="F988" s="55">
        <v>2000</v>
      </c>
      <c r="G988" s="55" t="s">
        <v>512</v>
      </c>
      <c r="J988" s="55" t="str">
        <f t="shared" si="60"/>
        <v>DK3p5A</v>
      </c>
    </row>
    <row r="989" spans="1:10" hidden="1">
      <c r="A989" s="79" t="s">
        <v>4545</v>
      </c>
      <c r="B989" s="1810" t="s">
        <v>58</v>
      </c>
      <c r="C989" s="79" t="s">
        <v>4546</v>
      </c>
      <c r="D989" s="80" t="s">
        <v>2566</v>
      </c>
      <c r="E989" s="2275" t="str">
        <f t="shared" ref="E989" si="61">LEFT(A989,2)</f>
        <v>DK</v>
      </c>
      <c r="F989" s="55">
        <v>2000</v>
      </c>
      <c r="G989" s="55" t="s">
        <v>512</v>
      </c>
      <c r="J989" s="55" t="str">
        <f t="shared" si="60"/>
        <v>DK380-5A</v>
      </c>
    </row>
    <row r="990" spans="1:10" hidden="1">
      <c r="A990" s="79" t="s">
        <v>1843</v>
      </c>
      <c r="B990" s="1810"/>
      <c r="C990" s="79" t="s">
        <v>3465</v>
      </c>
      <c r="D990" s="80" t="s">
        <v>2566</v>
      </c>
      <c r="E990" s="2275" t="str">
        <f t="shared" si="59"/>
        <v>DK</v>
      </c>
      <c r="F990" s="55">
        <v>2000</v>
      </c>
      <c r="G990" s="55" t="s">
        <v>512</v>
      </c>
      <c r="J990" s="55" t="str">
        <f t="shared" si="60"/>
        <v>DK3DT</v>
      </c>
    </row>
    <row r="991" spans="1:10" hidden="1">
      <c r="A991" s="79" t="s">
        <v>945</v>
      </c>
      <c r="B991" s="1810" t="s">
        <v>58</v>
      </c>
      <c r="C991" s="79" t="s">
        <v>3466</v>
      </c>
      <c r="D991" s="80" t="s">
        <v>2566</v>
      </c>
      <c r="E991" s="2275" t="str">
        <f t="shared" si="59"/>
        <v>DK</v>
      </c>
      <c r="F991" s="55">
        <v>2000</v>
      </c>
      <c r="G991" s="55" t="s">
        <v>512</v>
      </c>
      <c r="J991" s="55" t="str">
        <f t="shared" si="60"/>
        <v>DK3P</v>
      </c>
    </row>
    <row r="992" spans="1:10" hidden="1">
      <c r="A992" s="79" t="s">
        <v>289</v>
      </c>
      <c r="B992" s="1810" t="s">
        <v>1764</v>
      </c>
      <c r="C992" s="79" t="s">
        <v>4593</v>
      </c>
      <c r="D992" s="80" t="s">
        <v>2448</v>
      </c>
      <c r="E992" s="2275" t="str">
        <f t="shared" si="59"/>
        <v>BA</v>
      </c>
      <c r="F992" s="55">
        <v>50</v>
      </c>
      <c r="G992" s="55" t="s">
        <v>512</v>
      </c>
      <c r="J992" s="55" t="str">
        <f t="shared" si="60"/>
        <v>BANG</v>
      </c>
    </row>
    <row r="993" spans="1:10" hidden="1">
      <c r="A993" s="79" t="s">
        <v>1590</v>
      </c>
      <c r="B993" s="84"/>
      <c r="C993" s="1788" t="s">
        <v>3467</v>
      </c>
      <c r="D993" s="80" t="s">
        <v>3468</v>
      </c>
      <c r="E993" s="2275" t="str">
        <f t="shared" si="59"/>
        <v>GT</v>
      </c>
      <c r="F993" s="55">
        <v>50</v>
      </c>
      <c r="G993" s="55" t="s">
        <v>512</v>
      </c>
      <c r="J993" s="55" t="str">
        <f t="shared" si="60"/>
        <v>GTD</v>
      </c>
    </row>
    <row r="994" spans="1:10" hidden="1">
      <c r="A994" s="79" t="s">
        <v>3469</v>
      </c>
      <c r="B994" s="84"/>
      <c r="C994" s="1788" t="s">
        <v>3470</v>
      </c>
      <c r="D994" s="80" t="s">
        <v>3468</v>
      </c>
      <c r="E994" s="2275" t="str">
        <f t="shared" ref="E994:E1058" si="62">LEFT(A994,2)</f>
        <v>GT</v>
      </c>
      <c r="F994" s="55">
        <v>50</v>
      </c>
      <c r="G994" s="55" t="s">
        <v>512</v>
      </c>
      <c r="J994" s="55" t="str">
        <f t="shared" si="60"/>
        <v>GTDĐ</v>
      </c>
    </row>
    <row r="995" spans="1:10" hidden="1">
      <c r="A995" s="79" t="s">
        <v>1258</v>
      </c>
      <c r="B995" s="1809" t="s">
        <v>1259</v>
      </c>
      <c r="C995" s="1788" t="s">
        <v>3471</v>
      </c>
      <c r="D995" s="80" t="s">
        <v>2566</v>
      </c>
      <c r="E995" s="2275" t="str">
        <f t="shared" si="62"/>
        <v>SX</v>
      </c>
      <c r="F995" s="55">
        <v>50</v>
      </c>
      <c r="G995" s="55" t="s">
        <v>512</v>
      </c>
      <c r="J995" s="55" t="str">
        <f t="shared" si="60"/>
        <v>SXTg</v>
      </c>
    </row>
    <row r="996" spans="1:10">
      <c r="A996" s="79" t="s">
        <v>1732</v>
      </c>
      <c r="B996" s="84"/>
      <c r="C996" s="1788" t="s">
        <v>4435</v>
      </c>
      <c r="D996" s="80" t="s">
        <v>2448</v>
      </c>
      <c r="E996" s="2275" t="str">
        <f t="shared" si="62"/>
        <v>GS</v>
      </c>
      <c r="F996" s="55">
        <v>50</v>
      </c>
      <c r="G996" s="55" t="s">
        <v>512</v>
      </c>
      <c r="J996" s="55" t="str">
        <f t="shared" si="60"/>
        <v>GSXTg</v>
      </c>
    </row>
    <row r="997" spans="1:10">
      <c r="A997" s="79" t="s">
        <v>1634</v>
      </c>
      <c r="B997" s="84"/>
      <c r="C997" s="1788" t="s">
        <v>3472</v>
      </c>
      <c r="D997" s="80" t="s">
        <v>2448</v>
      </c>
      <c r="E997" s="2275" t="str">
        <f t="shared" si="62"/>
        <v>GC</v>
      </c>
      <c r="F997" s="55">
        <v>50</v>
      </c>
      <c r="G997" s="55" t="s">
        <v>512</v>
      </c>
      <c r="J997" s="55" t="str">
        <f t="shared" si="60"/>
        <v>GCAP</v>
      </c>
    </row>
    <row r="998" spans="1:10" hidden="1">
      <c r="A998" s="79" t="s">
        <v>2237</v>
      </c>
      <c r="B998" s="1810" t="s">
        <v>2238</v>
      </c>
      <c r="C998" s="1788" t="s">
        <v>3473</v>
      </c>
      <c r="D998" s="80" t="s">
        <v>2448</v>
      </c>
      <c r="E998" s="2275" t="str">
        <f t="shared" si="62"/>
        <v>SD</v>
      </c>
      <c r="F998" s="55">
        <v>50</v>
      </c>
      <c r="G998" s="55" t="s">
        <v>512</v>
      </c>
      <c r="J998" s="55" t="str">
        <f t="shared" si="60"/>
        <v>SDTC</v>
      </c>
    </row>
    <row r="999" spans="1:10" hidden="1">
      <c r="A999" s="79" t="s">
        <v>1981</v>
      </c>
      <c r="B999" s="84" t="s">
        <v>1982</v>
      </c>
      <c r="C999" s="1788" t="s">
        <v>3474</v>
      </c>
      <c r="D999" s="80" t="s">
        <v>1829</v>
      </c>
      <c r="E999" s="2275" t="str">
        <f t="shared" si="62"/>
        <v>TC</v>
      </c>
      <c r="F999" s="55">
        <v>50</v>
      </c>
      <c r="G999" s="55" t="s">
        <v>512</v>
      </c>
      <c r="J999" s="55" t="str">
        <f t="shared" si="60"/>
        <v>TC450</v>
      </c>
    </row>
    <row r="1000" spans="1:10" hidden="1">
      <c r="A1000" s="79" t="s">
        <v>123</v>
      </c>
      <c r="B1000" s="84" t="s">
        <v>1982</v>
      </c>
      <c r="C1000" s="1788" t="s">
        <v>3475</v>
      </c>
      <c r="D1000" s="80" t="s">
        <v>1829</v>
      </c>
      <c r="E1000" s="2275" t="str">
        <f t="shared" si="62"/>
        <v>TC</v>
      </c>
      <c r="F1000" s="55">
        <v>50</v>
      </c>
      <c r="G1000" s="55" t="s">
        <v>512</v>
      </c>
      <c r="J1000" s="55" t="str">
        <f t="shared" si="60"/>
        <v>TC430</v>
      </c>
    </row>
    <row r="1001" spans="1:10" hidden="1">
      <c r="A1001" s="79" t="s">
        <v>124</v>
      </c>
      <c r="B1001" s="84" t="s">
        <v>1781</v>
      </c>
      <c r="C1001" s="1788" t="s">
        <v>3476</v>
      </c>
      <c r="D1001" s="80" t="s">
        <v>1829</v>
      </c>
      <c r="E1001" s="2275" t="str">
        <f t="shared" si="62"/>
        <v>TC</v>
      </c>
      <c r="F1001" s="55">
        <v>50</v>
      </c>
      <c r="G1001" s="55" t="s">
        <v>512</v>
      </c>
      <c r="J1001" s="55" t="str">
        <f t="shared" si="60"/>
        <v>TC420</v>
      </c>
    </row>
    <row r="1002" spans="1:10">
      <c r="A1002" s="79" t="s">
        <v>1130</v>
      </c>
      <c r="B1002" s="84"/>
      <c r="C1002" s="1788" t="s">
        <v>3477</v>
      </c>
      <c r="D1002" s="80" t="s">
        <v>2448</v>
      </c>
      <c r="E1002" s="2275" t="str">
        <f t="shared" si="62"/>
        <v>Gi</v>
      </c>
      <c r="F1002" s="55">
        <v>50</v>
      </c>
      <c r="G1002" s="55" t="s">
        <v>512</v>
      </c>
      <c r="J1002" s="55" t="str">
        <f t="shared" si="60"/>
        <v>GiacapTT-2m</v>
      </c>
    </row>
    <row r="1003" spans="1:10">
      <c r="A1003" s="79" t="s">
        <v>1235</v>
      </c>
      <c r="B1003" s="84"/>
      <c r="C1003" s="1788" t="s">
        <v>3477</v>
      </c>
      <c r="D1003" s="80" t="s">
        <v>2448</v>
      </c>
      <c r="E1003" s="2275" t="str">
        <f t="shared" si="62"/>
        <v>Gi</v>
      </c>
      <c r="F1003" s="55">
        <v>50</v>
      </c>
      <c r="G1003" s="55" t="s">
        <v>512</v>
      </c>
      <c r="J1003" s="55" t="str">
        <f t="shared" si="60"/>
        <v>GiacapTT-6m</v>
      </c>
    </row>
    <row r="1004" spans="1:10">
      <c r="A1004" s="79" t="s">
        <v>852</v>
      </c>
      <c r="B1004" s="84"/>
      <c r="C1004" s="1788" t="s">
        <v>3477</v>
      </c>
      <c r="D1004" s="80" t="s">
        <v>2448</v>
      </c>
      <c r="E1004" s="2275" t="str">
        <f t="shared" si="62"/>
        <v>Gi</v>
      </c>
      <c r="F1004" s="55">
        <v>50</v>
      </c>
      <c r="G1004" s="55" t="s">
        <v>512</v>
      </c>
      <c r="J1004" s="55" t="str">
        <f t="shared" si="60"/>
        <v>GiacapTT-8m</v>
      </c>
    </row>
    <row r="1005" spans="1:10">
      <c r="A1005" s="79" t="s">
        <v>560</v>
      </c>
      <c r="B1005" s="84"/>
      <c r="C1005" s="1788" t="s">
        <v>3477</v>
      </c>
      <c r="D1005" s="80" t="s">
        <v>2448</v>
      </c>
      <c r="E1005" s="2275" t="str">
        <f t="shared" si="62"/>
        <v>Gi</v>
      </c>
      <c r="F1005" s="55">
        <v>50</v>
      </c>
      <c r="G1005" s="55" t="s">
        <v>512</v>
      </c>
      <c r="J1005" s="55" t="str">
        <f t="shared" si="60"/>
        <v>GiacapTT-15m</v>
      </c>
    </row>
    <row r="1006" spans="1:10">
      <c r="A1006" s="79" t="s">
        <v>2145</v>
      </c>
      <c r="B1006" s="84"/>
      <c r="C1006" s="1788" t="s">
        <v>3478</v>
      </c>
      <c r="D1006" s="80" t="s">
        <v>2448</v>
      </c>
      <c r="E1006" s="2275" t="str">
        <f t="shared" si="62"/>
        <v>Gi</v>
      </c>
      <c r="F1006" s="55">
        <v>50</v>
      </c>
      <c r="G1006" s="55" t="s">
        <v>512</v>
      </c>
      <c r="J1006" s="55" t="str">
        <f t="shared" si="60"/>
        <v>GiacapTHT-10m</v>
      </c>
    </row>
    <row r="1007" spans="1:10">
      <c r="A1007" s="79" t="s">
        <v>909</v>
      </c>
      <c r="B1007" s="84"/>
      <c r="C1007" s="1788" t="s">
        <v>3479</v>
      </c>
      <c r="D1007" s="80" t="s">
        <v>2448</v>
      </c>
      <c r="E1007" s="2275" t="str">
        <f t="shared" si="62"/>
        <v>Gi</v>
      </c>
      <c r="F1007" s="55">
        <v>50</v>
      </c>
      <c r="G1007" s="55" t="s">
        <v>512</v>
      </c>
      <c r="J1007" s="55" t="str">
        <f t="shared" si="60"/>
        <v>GiacapHT-1m</v>
      </c>
    </row>
    <row r="1008" spans="1:10">
      <c r="A1008" s="79" t="s">
        <v>1456</v>
      </c>
      <c r="B1008" s="1809"/>
      <c r="C1008" s="1788" t="s">
        <v>3479</v>
      </c>
      <c r="D1008" s="80" t="s">
        <v>2448</v>
      </c>
      <c r="E1008" s="2275" t="str">
        <f t="shared" si="62"/>
        <v>Gi</v>
      </c>
      <c r="F1008" s="55">
        <v>50</v>
      </c>
      <c r="G1008" s="55" t="s">
        <v>512</v>
      </c>
      <c r="J1008" s="55" t="str">
        <f t="shared" si="60"/>
        <v>GiacapHT-2m</v>
      </c>
    </row>
    <row r="1009" spans="1:10">
      <c r="A1009" s="79" t="s">
        <v>2240</v>
      </c>
      <c r="B1009" s="1809"/>
      <c r="C1009" s="1788" t="s">
        <v>3479</v>
      </c>
      <c r="D1009" s="80" t="s">
        <v>2448</v>
      </c>
      <c r="E1009" s="2275" t="str">
        <f t="shared" si="62"/>
        <v>Gi</v>
      </c>
      <c r="F1009" s="55">
        <v>50</v>
      </c>
      <c r="G1009" s="55" t="s">
        <v>512</v>
      </c>
      <c r="J1009" s="55" t="str">
        <f t="shared" si="60"/>
        <v>GiacapHT-3m</v>
      </c>
    </row>
    <row r="1010" spans="1:10">
      <c r="A1010" s="79" t="s">
        <v>248</v>
      </c>
      <c r="B1010" s="1809"/>
      <c r="C1010" s="1788" t="s">
        <v>3479</v>
      </c>
      <c r="D1010" s="80" t="s">
        <v>2448</v>
      </c>
      <c r="E1010" s="2275" t="str">
        <f t="shared" si="62"/>
        <v>Gi</v>
      </c>
      <c r="F1010" s="55">
        <v>50</v>
      </c>
      <c r="G1010" s="55" t="s">
        <v>512</v>
      </c>
      <c r="J1010" s="55" t="str">
        <f t="shared" si="60"/>
        <v>GiacapHT-4m</v>
      </c>
    </row>
    <row r="1011" spans="1:10">
      <c r="A1011" s="79" t="s">
        <v>1824</v>
      </c>
      <c r="B1011" s="1809"/>
      <c r="C1011" s="1788" t="s">
        <v>3479</v>
      </c>
      <c r="D1011" s="80" t="s">
        <v>2714</v>
      </c>
      <c r="E1011" s="2275" t="str">
        <f t="shared" si="62"/>
        <v>Gi</v>
      </c>
      <c r="F1011" s="55">
        <v>50</v>
      </c>
      <c r="G1011" s="55" t="s">
        <v>512</v>
      </c>
      <c r="J1011" s="55" t="str">
        <f t="shared" si="60"/>
        <v>GiacapHT</v>
      </c>
    </row>
    <row r="1012" spans="1:10">
      <c r="A1012" s="79" t="s">
        <v>164</v>
      </c>
      <c r="B1012" s="1809"/>
      <c r="C1012" s="1788" t="s">
        <v>3479</v>
      </c>
      <c r="D1012" s="80" t="s">
        <v>2448</v>
      </c>
      <c r="E1012" s="2275" t="str">
        <f t="shared" si="62"/>
        <v>Gi</v>
      </c>
      <c r="F1012" s="55">
        <v>50</v>
      </c>
      <c r="G1012" s="55" t="s">
        <v>512</v>
      </c>
      <c r="J1012" s="55" t="str">
        <f t="shared" si="60"/>
        <v>GiacapHT-30m</v>
      </c>
    </row>
    <row r="1013" spans="1:10">
      <c r="A1013" s="79" t="s">
        <v>1591</v>
      </c>
      <c r="B1013" s="1779" t="s">
        <v>277</v>
      </c>
      <c r="C1013" s="1788" t="s">
        <v>4436</v>
      </c>
      <c r="D1013" s="80" t="s">
        <v>3480</v>
      </c>
      <c r="E1013" s="2275" t="str">
        <f t="shared" si="62"/>
        <v>GT</v>
      </c>
      <c r="F1013" s="55">
        <v>50</v>
      </c>
      <c r="G1013" s="55" t="s">
        <v>512</v>
      </c>
      <c r="J1013" s="55" t="str">
        <f t="shared" si="60"/>
        <v>GTMBA15</v>
      </c>
    </row>
    <row r="1014" spans="1:10">
      <c r="A1014" s="79" t="s">
        <v>1002</v>
      </c>
      <c r="B1014" s="1779" t="s">
        <v>277</v>
      </c>
      <c r="C1014" s="1788" t="s">
        <v>4437</v>
      </c>
      <c r="D1014" s="80" t="s">
        <v>2566</v>
      </c>
      <c r="E1014" s="2275" t="str">
        <f t="shared" si="62"/>
        <v>GT</v>
      </c>
      <c r="F1014" s="55">
        <v>50</v>
      </c>
      <c r="G1014" s="55" t="s">
        <v>512</v>
      </c>
      <c r="J1014" s="55" t="str">
        <f t="shared" si="60"/>
        <v>GTMBA25</v>
      </c>
    </row>
    <row r="1015" spans="1:10">
      <c r="A1015" s="79" t="s">
        <v>1592</v>
      </c>
      <c r="B1015" s="1779" t="s">
        <v>277</v>
      </c>
      <c r="C1015" s="1788" t="s">
        <v>4438</v>
      </c>
      <c r="D1015" s="80" t="s">
        <v>2566</v>
      </c>
      <c r="E1015" s="2275" t="str">
        <f t="shared" si="62"/>
        <v>GT</v>
      </c>
      <c r="F1015" s="55">
        <v>50</v>
      </c>
      <c r="G1015" s="55" t="s">
        <v>512</v>
      </c>
      <c r="J1015" s="55" t="str">
        <f t="shared" si="60"/>
        <v>GTMBA37,5</v>
      </c>
    </row>
    <row r="1016" spans="1:10">
      <c r="A1016" s="79" t="s">
        <v>1043</v>
      </c>
      <c r="B1016" s="1779" t="s">
        <v>277</v>
      </c>
      <c r="C1016" s="1788" t="s">
        <v>4439</v>
      </c>
      <c r="D1016" s="80" t="s">
        <v>2566</v>
      </c>
      <c r="E1016" s="2275" t="str">
        <f t="shared" ref="E1016" si="63">LEFT(A1016,2)</f>
        <v>GT</v>
      </c>
      <c r="F1016" s="55">
        <v>50</v>
      </c>
      <c r="G1016" s="55" t="s">
        <v>512</v>
      </c>
      <c r="J1016" s="55" t="str">
        <f t="shared" si="60"/>
        <v>GTMBA</v>
      </c>
    </row>
    <row r="1017" spans="1:10">
      <c r="A1017" s="79" t="s">
        <v>4814</v>
      </c>
      <c r="B1017" s="1779" t="s">
        <v>277</v>
      </c>
      <c r="C1017" s="1788" t="s">
        <v>4815</v>
      </c>
      <c r="D1017" s="80" t="s">
        <v>2451</v>
      </c>
      <c r="E1017" s="2275" t="str">
        <f t="shared" si="62"/>
        <v>La</v>
      </c>
      <c r="F1017" s="55">
        <v>2000</v>
      </c>
      <c r="G1017" s="55" t="s">
        <v>512</v>
      </c>
      <c r="J1017" s="55" t="str">
        <f t="shared" si="60"/>
        <v>LapGTMBA</v>
      </c>
    </row>
    <row r="1018" spans="1:10" hidden="1">
      <c r="A1018" s="79" t="s">
        <v>1175</v>
      </c>
      <c r="B1018" s="84" t="s">
        <v>1300</v>
      </c>
      <c r="C1018" s="79" t="s">
        <v>3481</v>
      </c>
      <c r="D1018" s="80" t="s">
        <v>2566</v>
      </c>
      <c r="E1018" s="2275" t="str">
        <f t="shared" si="62"/>
        <v>CO</v>
      </c>
      <c r="F1018" s="55">
        <v>50</v>
      </c>
      <c r="G1018" s="55" t="s">
        <v>512</v>
      </c>
      <c r="J1018" s="55" t="str">
        <f t="shared" si="60"/>
        <v>COSe16</v>
      </c>
    </row>
    <row r="1019" spans="1:10" hidden="1">
      <c r="A1019" s="79" t="s">
        <v>548</v>
      </c>
      <c r="B1019" s="84" t="s">
        <v>1300</v>
      </c>
      <c r="C1019" s="79" t="s">
        <v>3482</v>
      </c>
      <c r="D1019" s="80" t="s">
        <v>2566</v>
      </c>
      <c r="E1019" s="2275" t="str">
        <f t="shared" si="62"/>
        <v>CO</v>
      </c>
      <c r="F1019" s="55">
        <v>50</v>
      </c>
      <c r="G1019" s="55" t="s">
        <v>512</v>
      </c>
      <c r="J1019" s="55" t="str">
        <f t="shared" si="60"/>
        <v>COSe25</v>
      </c>
    </row>
    <row r="1020" spans="1:10" hidden="1">
      <c r="A1020" s="79" t="s">
        <v>1303</v>
      </c>
      <c r="B1020" s="84" t="s">
        <v>1302</v>
      </c>
      <c r="C1020" s="79" t="s">
        <v>3483</v>
      </c>
      <c r="D1020" s="80" t="s">
        <v>2566</v>
      </c>
      <c r="E1020" s="2275" t="str">
        <f t="shared" si="62"/>
        <v>CO</v>
      </c>
      <c r="F1020" s="55">
        <v>50</v>
      </c>
      <c r="G1020" s="55" t="s">
        <v>512</v>
      </c>
      <c r="J1020" s="55" t="str">
        <f t="shared" si="60"/>
        <v>COSe50</v>
      </c>
    </row>
    <row r="1021" spans="1:10" hidden="1">
      <c r="A1021" s="79" t="s">
        <v>1994</v>
      </c>
      <c r="B1021" s="84" t="s">
        <v>1304</v>
      </c>
      <c r="C1021" s="79" t="s">
        <v>3484</v>
      </c>
      <c r="D1021" s="80" t="s">
        <v>2566</v>
      </c>
      <c r="E1021" s="2275" t="str">
        <f t="shared" si="62"/>
        <v>CO</v>
      </c>
      <c r="F1021" s="55">
        <v>50</v>
      </c>
      <c r="G1021" s="55" t="s">
        <v>512</v>
      </c>
      <c r="J1021" s="55" t="str">
        <f t="shared" si="60"/>
        <v>COSe70</v>
      </c>
    </row>
    <row r="1022" spans="1:10" hidden="1">
      <c r="A1022" s="79" t="s">
        <v>1305</v>
      </c>
      <c r="B1022" s="84" t="s">
        <v>1306</v>
      </c>
      <c r="C1022" s="79" t="s">
        <v>3485</v>
      </c>
      <c r="D1022" s="80" t="s">
        <v>2566</v>
      </c>
      <c r="E1022" s="2275" t="str">
        <f t="shared" si="62"/>
        <v>CO</v>
      </c>
      <c r="F1022" s="55">
        <v>50</v>
      </c>
      <c r="G1022" s="55" t="s">
        <v>512</v>
      </c>
      <c r="J1022" s="55" t="str">
        <f t="shared" si="60"/>
        <v>COSe95</v>
      </c>
    </row>
    <row r="1023" spans="1:10" hidden="1">
      <c r="A1023" s="79" t="s">
        <v>2151</v>
      </c>
      <c r="B1023" s="84" t="s">
        <v>1891</v>
      </c>
      <c r="C1023" s="79" t="s">
        <v>3486</v>
      </c>
      <c r="D1023" s="80" t="s">
        <v>2566</v>
      </c>
      <c r="E1023" s="2275" t="str">
        <f t="shared" si="62"/>
        <v>CO</v>
      </c>
      <c r="F1023" s="55">
        <v>50</v>
      </c>
      <c r="G1023" s="55" t="s">
        <v>512</v>
      </c>
      <c r="J1023" s="55" t="str">
        <f t="shared" si="60"/>
        <v>COSe120</v>
      </c>
    </row>
    <row r="1024" spans="1:10" hidden="1">
      <c r="A1024" s="79" t="s">
        <v>2152</v>
      </c>
      <c r="B1024" s="84" t="s">
        <v>1361</v>
      </c>
      <c r="C1024" s="79" t="s">
        <v>3487</v>
      </c>
      <c r="D1024" s="80" t="s">
        <v>2566</v>
      </c>
      <c r="E1024" s="2275" t="str">
        <f t="shared" si="62"/>
        <v>CO</v>
      </c>
      <c r="F1024" s="55">
        <v>50</v>
      </c>
      <c r="G1024" s="55" t="s">
        <v>512</v>
      </c>
      <c r="J1024" s="55" t="str">
        <f t="shared" si="60"/>
        <v>COSe150</v>
      </c>
    </row>
    <row r="1025" spans="1:10" hidden="1">
      <c r="A1025" s="79" t="s">
        <v>2153</v>
      </c>
      <c r="B1025" s="84" t="s">
        <v>1892</v>
      </c>
      <c r="C1025" s="79" t="s">
        <v>3488</v>
      </c>
      <c r="D1025" s="80" t="s">
        <v>2566</v>
      </c>
      <c r="E1025" s="2275" t="str">
        <f t="shared" si="62"/>
        <v>CO</v>
      </c>
      <c r="F1025" s="55">
        <v>50</v>
      </c>
      <c r="G1025" s="55" t="s">
        <v>512</v>
      </c>
      <c r="J1025" s="55" t="str">
        <f t="shared" si="60"/>
        <v>COSe185</v>
      </c>
    </row>
    <row r="1026" spans="1:10" hidden="1">
      <c r="A1026" s="79" t="s">
        <v>609</v>
      </c>
      <c r="B1026" s="84" t="s">
        <v>2165</v>
      </c>
      <c r="C1026" s="79" t="s">
        <v>3489</v>
      </c>
      <c r="D1026" s="80" t="s">
        <v>2566</v>
      </c>
      <c r="E1026" s="2275" t="str">
        <f t="shared" si="62"/>
        <v>CO</v>
      </c>
      <c r="F1026" s="55">
        <v>50</v>
      </c>
      <c r="G1026" s="55" t="s">
        <v>512</v>
      </c>
      <c r="J1026" s="55" t="str">
        <f t="shared" si="60"/>
        <v>COSe200</v>
      </c>
    </row>
    <row r="1027" spans="1:10" hidden="1">
      <c r="A1027" s="79" t="s">
        <v>1848</v>
      </c>
      <c r="B1027" s="84" t="s">
        <v>2165</v>
      </c>
      <c r="C1027" s="79" t="s">
        <v>3490</v>
      </c>
      <c r="D1027" s="80" t="s">
        <v>2566</v>
      </c>
      <c r="E1027" s="2275" t="str">
        <f t="shared" si="62"/>
        <v>CO</v>
      </c>
      <c r="F1027" s="55">
        <v>50</v>
      </c>
      <c r="G1027" s="55" t="s">
        <v>512</v>
      </c>
      <c r="J1027" s="55" t="str">
        <f t="shared" si="60"/>
        <v>COSe240</v>
      </c>
    </row>
    <row r="1028" spans="1:10" hidden="1">
      <c r="A1028" s="79" t="s">
        <v>784</v>
      </c>
      <c r="B1028" s="84" t="s">
        <v>2165</v>
      </c>
      <c r="C1028" s="79" t="s">
        <v>3491</v>
      </c>
      <c r="D1028" s="80" t="s">
        <v>2566</v>
      </c>
      <c r="E1028" s="2275" t="str">
        <f t="shared" si="62"/>
        <v>CO</v>
      </c>
      <c r="F1028" s="55">
        <v>50</v>
      </c>
      <c r="G1028" s="55" t="s">
        <v>512</v>
      </c>
      <c r="J1028" s="55" t="str">
        <f t="shared" si="60"/>
        <v>COSe250</v>
      </c>
    </row>
    <row r="1029" spans="1:10" hidden="1">
      <c r="A1029" s="79" t="s">
        <v>250</v>
      </c>
      <c r="B1029" s="84" t="s">
        <v>2165</v>
      </c>
      <c r="C1029" s="79" t="s">
        <v>3492</v>
      </c>
      <c r="D1029" s="80" t="s">
        <v>2566</v>
      </c>
      <c r="E1029" s="2275" t="str">
        <f t="shared" si="62"/>
        <v>CO</v>
      </c>
      <c r="F1029" s="55">
        <v>50</v>
      </c>
      <c r="G1029" s="55" t="s">
        <v>512</v>
      </c>
      <c r="J1029" s="55" t="str">
        <f t="shared" si="60"/>
        <v>COSe300</v>
      </c>
    </row>
    <row r="1030" spans="1:10" hidden="1">
      <c r="A1030" s="79" t="s">
        <v>4444</v>
      </c>
      <c r="B1030" s="84" t="s">
        <v>2165</v>
      </c>
      <c r="C1030" s="79" t="s">
        <v>3493</v>
      </c>
      <c r="D1030" s="80" t="s">
        <v>2566</v>
      </c>
      <c r="E1030" s="2275" t="str">
        <f t="shared" si="62"/>
        <v>CO</v>
      </c>
      <c r="F1030" s="55">
        <v>50</v>
      </c>
      <c r="G1030" s="55" t="s">
        <v>512</v>
      </c>
      <c r="J1030" s="55" t="str">
        <f t="shared" si="60"/>
        <v>COSe400</v>
      </c>
    </row>
    <row r="1031" spans="1:10" hidden="1">
      <c r="A1031" s="79" t="s">
        <v>1871</v>
      </c>
      <c r="B1031" s="84" t="s">
        <v>1300</v>
      </c>
      <c r="C1031" s="1811" t="s">
        <v>3494</v>
      </c>
      <c r="D1031" s="80" t="s">
        <v>2566</v>
      </c>
      <c r="E1031" s="2275" t="str">
        <f t="shared" si="62"/>
        <v>CO</v>
      </c>
      <c r="F1031" s="55">
        <v>50</v>
      </c>
      <c r="G1031" s="55" t="s">
        <v>512</v>
      </c>
      <c r="J1031" s="55" t="str">
        <f t="shared" si="60"/>
        <v>COS2,5</v>
      </c>
    </row>
    <row r="1032" spans="1:10" hidden="1">
      <c r="A1032" s="79" t="s">
        <v>2148</v>
      </c>
      <c r="B1032" s="84" t="s">
        <v>1300</v>
      </c>
      <c r="C1032" s="79" t="s">
        <v>3495</v>
      </c>
      <c r="D1032" s="80" t="s">
        <v>2566</v>
      </c>
      <c r="E1032" s="2275" t="str">
        <f t="shared" si="62"/>
        <v>CO</v>
      </c>
      <c r="F1032" s="55">
        <v>50</v>
      </c>
      <c r="G1032" s="55" t="s">
        <v>512</v>
      </c>
      <c r="J1032" s="55" t="str">
        <f t="shared" si="60"/>
        <v>COS5</v>
      </c>
    </row>
    <row r="1033" spans="1:10" hidden="1">
      <c r="A1033" s="79" t="s">
        <v>1849</v>
      </c>
      <c r="B1033" s="84" t="s">
        <v>1300</v>
      </c>
      <c r="C1033" s="79" t="s">
        <v>3496</v>
      </c>
      <c r="D1033" s="80" t="s">
        <v>2566</v>
      </c>
      <c r="E1033" s="2275" t="str">
        <f t="shared" si="62"/>
        <v>CO</v>
      </c>
      <c r="F1033" s="55">
        <v>50</v>
      </c>
      <c r="G1033" s="55" t="s">
        <v>512</v>
      </c>
      <c r="J1033" s="55" t="str">
        <f t="shared" si="60"/>
        <v>COS11</v>
      </c>
    </row>
    <row r="1034" spans="1:10" hidden="1">
      <c r="A1034" s="79" t="s">
        <v>537</v>
      </c>
      <c r="B1034" s="84" t="s">
        <v>1300</v>
      </c>
      <c r="C1034" s="79" t="s">
        <v>3497</v>
      </c>
      <c r="D1034" s="80" t="s">
        <v>2566</v>
      </c>
      <c r="E1034" s="2275" t="str">
        <f t="shared" si="62"/>
        <v>CO</v>
      </c>
      <c r="F1034" s="55">
        <v>50</v>
      </c>
      <c r="G1034" s="55" t="s">
        <v>512</v>
      </c>
      <c r="J1034" s="55" t="str">
        <f t="shared" ref="J1034:J1097" si="64">A1034</f>
        <v>COS16</v>
      </c>
    </row>
    <row r="1035" spans="1:10" hidden="1">
      <c r="A1035" s="79" t="s">
        <v>683</v>
      </c>
      <c r="B1035" s="84" t="s">
        <v>1300</v>
      </c>
      <c r="C1035" s="79" t="s">
        <v>3498</v>
      </c>
      <c r="D1035" s="80" t="s">
        <v>2566</v>
      </c>
      <c r="E1035" s="2275" t="str">
        <f t="shared" si="62"/>
        <v>CO</v>
      </c>
      <c r="F1035" s="55">
        <v>50</v>
      </c>
      <c r="G1035" s="55" t="s">
        <v>512</v>
      </c>
      <c r="J1035" s="55" t="str">
        <f t="shared" si="64"/>
        <v>COS22</v>
      </c>
    </row>
    <row r="1036" spans="1:10" hidden="1">
      <c r="A1036" s="79" t="s">
        <v>104</v>
      </c>
      <c r="B1036" s="84" t="s">
        <v>1300</v>
      </c>
      <c r="C1036" s="79" t="s">
        <v>3499</v>
      </c>
      <c r="D1036" s="80" t="s">
        <v>2566</v>
      </c>
      <c r="E1036" s="2275" t="str">
        <f t="shared" si="62"/>
        <v>CO</v>
      </c>
      <c r="F1036" s="55">
        <v>50</v>
      </c>
      <c r="G1036" s="55" t="s">
        <v>512</v>
      </c>
      <c r="J1036" s="55" t="str">
        <f t="shared" si="64"/>
        <v>COS25</v>
      </c>
    </row>
    <row r="1037" spans="1:10" hidden="1">
      <c r="A1037" s="79" t="s">
        <v>1539</v>
      </c>
      <c r="B1037" s="84" t="s">
        <v>1302</v>
      </c>
      <c r="C1037" s="79" t="s">
        <v>3500</v>
      </c>
      <c r="D1037" s="80" t="s">
        <v>2566</v>
      </c>
      <c r="E1037" s="2275" t="str">
        <f t="shared" si="62"/>
        <v>CO</v>
      </c>
      <c r="F1037" s="55">
        <v>50</v>
      </c>
      <c r="G1037" s="55" t="s">
        <v>512</v>
      </c>
      <c r="J1037" s="55" t="str">
        <f t="shared" si="64"/>
        <v>COS35</v>
      </c>
    </row>
    <row r="1038" spans="1:10" hidden="1">
      <c r="A1038" s="79" t="s">
        <v>1301</v>
      </c>
      <c r="B1038" s="84" t="s">
        <v>1302</v>
      </c>
      <c r="C1038" s="79" t="s">
        <v>3501</v>
      </c>
      <c r="D1038" s="80" t="s">
        <v>2566</v>
      </c>
      <c r="E1038" s="2275" t="str">
        <f t="shared" si="62"/>
        <v>CO</v>
      </c>
      <c r="F1038" s="55">
        <v>50</v>
      </c>
      <c r="G1038" s="55" t="s">
        <v>512</v>
      </c>
      <c r="J1038" s="55" t="str">
        <f t="shared" si="64"/>
        <v>COS38</v>
      </c>
    </row>
    <row r="1039" spans="1:10" hidden="1">
      <c r="A1039" s="79" t="s">
        <v>1307</v>
      </c>
      <c r="B1039" s="84" t="s">
        <v>1302</v>
      </c>
      <c r="C1039" s="79" t="s">
        <v>3502</v>
      </c>
      <c r="D1039" s="80" t="s">
        <v>2566</v>
      </c>
      <c r="E1039" s="2275" t="str">
        <f t="shared" si="62"/>
        <v>CO</v>
      </c>
      <c r="F1039" s="55">
        <v>50</v>
      </c>
      <c r="G1039" s="55" t="s">
        <v>512</v>
      </c>
      <c r="J1039" s="55" t="str">
        <f t="shared" si="64"/>
        <v>COS50</v>
      </c>
    </row>
    <row r="1040" spans="1:10" hidden="1">
      <c r="A1040" s="79" t="s">
        <v>1308</v>
      </c>
      <c r="B1040" s="84" t="s">
        <v>1304</v>
      </c>
      <c r="C1040" s="79" t="s">
        <v>3503</v>
      </c>
      <c r="D1040" s="80" t="s">
        <v>2566</v>
      </c>
      <c r="E1040" s="2275" t="str">
        <f t="shared" si="62"/>
        <v>CO</v>
      </c>
      <c r="F1040" s="55">
        <v>50</v>
      </c>
      <c r="G1040" s="55" t="s">
        <v>512</v>
      </c>
      <c r="J1040" s="55" t="str">
        <f t="shared" si="64"/>
        <v>COS70</v>
      </c>
    </row>
    <row r="1041" spans="1:10" hidden="1">
      <c r="A1041" s="79" t="s">
        <v>1309</v>
      </c>
      <c r="B1041" s="84" t="s">
        <v>1306</v>
      </c>
      <c r="C1041" s="79" t="s">
        <v>3504</v>
      </c>
      <c r="D1041" s="80" t="s">
        <v>2566</v>
      </c>
      <c r="E1041" s="2275" t="str">
        <f t="shared" si="62"/>
        <v>CO</v>
      </c>
      <c r="F1041" s="55">
        <v>50</v>
      </c>
      <c r="G1041" s="55" t="s">
        <v>512</v>
      </c>
      <c r="J1041" s="55" t="str">
        <f t="shared" si="64"/>
        <v>COS95</v>
      </c>
    </row>
    <row r="1042" spans="1:10" hidden="1">
      <c r="A1042" s="79" t="s">
        <v>1310</v>
      </c>
      <c r="B1042" s="84" t="s">
        <v>1891</v>
      </c>
      <c r="C1042" s="79" t="s">
        <v>3505</v>
      </c>
      <c r="D1042" s="80" t="s">
        <v>2566</v>
      </c>
      <c r="E1042" s="2275" t="str">
        <f t="shared" si="62"/>
        <v>CO</v>
      </c>
      <c r="F1042" s="55">
        <v>50</v>
      </c>
      <c r="G1042" s="55" t="s">
        <v>512</v>
      </c>
      <c r="J1042" s="55" t="str">
        <f t="shared" si="64"/>
        <v>COS120</v>
      </c>
    </row>
    <row r="1043" spans="1:10" hidden="1">
      <c r="A1043" s="79" t="s">
        <v>2163</v>
      </c>
      <c r="B1043" s="84" t="s">
        <v>1361</v>
      </c>
      <c r="C1043" s="79" t="s">
        <v>3506</v>
      </c>
      <c r="D1043" s="80" t="s">
        <v>2566</v>
      </c>
      <c r="E1043" s="2275" t="str">
        <f t="shared" si="62"/>
        <v>CO</v>
      </c>
      <c r="F1043" s="55">
        <v>50</v>
      </c>
      <c r="G1043" s="55" t="s">
        <v>512</v>
      </c>
      <c r="J1043" s="55" t="str">
        <f t="shared" si="64"/>
        <v>COS150</v>
      </c>
    </row>
    <row r="1044" spans="1:10" hidden="1">
      <c r="A1044" s="79" t="s">
        <v>151</v>
      </c>
      <c r="B1044" s="84" t="s">
        <v>1892</v>
      </c>
      <c r="C1044" s="79" t="s">
        <v>3507</v>
      </c>
      <c r="D1044" s="80" t="s">
        <v>2566</v>
      </c>
      <c r="E1044" s="2275" t="str">
        <f t="shared" si="62"/>
        <v>CO</v>
      </c>
      <c r="F1044" s="55">
        <v>50</v>
      </c>
      <c r="G1044" s="55" t="s">
        <v>512</v>
      </c>
      <c r="J1044" s="55" t="str">
        <f t="shared" si="64"/>
        <v>COS185</v>
      </c>
    </row>
    <row r="1045" spans="1:10" hidden="1">
      <c r="A1045" s="79" t="s">
        <v>447</v>
      </c>
      <c r="B1045" s="84" t="s">
        <v>2165</v>
      </c>
      <c r="C1045" s="79" t="s">
        <v>3508</v>
      </c>
      <c r="D1045" s="80" t="s">
        <v>2566</v>
      </c>
      <c r="E1045" s="2275" t="str">
        <f t="shared" si="62"/>
        <v>CO</v>
      </c>
      <c r="F1045" s="55">
        <v>50</v>
      </c>
      <c r="G1045" s="55" t="s">
        <v>512</v>
      </c>
      <c r="J1045" s="55" t="str">
        <f t="shared" si="64"/>
        <v>COS200</v>
      </c>
    </row>
    <row r="1046" spans="1:10" hidden="1">
      <c r="A1046" s="79" t="s">
        <v>2164</v>
      </c>
      <c r="B1046" s="84" t="s">
        <v>2165</v>
      </c>
      <c r="C1046" s="79" t="s">
        <v>3509</v>
      </c>
      <c r="D1046" s="80" t="s">
        <v>2566</v>
      </c>
      <c r="E1046" s="2275" t="str">
        <f t="shared" si="62"/>
        <v>CO</v>
      </c>
      <c r="F1046" s="55">
        <v>50</v>
      </c>
      <c r="G1046" s="55" t="s">
        <v>512</v>
      </c>
      <c r="J1046" s="55" t="str">
        <f t="shared" si="64"/>
        <v>COS240</v>
      </c>
    </row>
    <row r="1047" spans="1:10" hidden="1">
      <c r="A1047" s="79" t="s">
        <v>448</v>
      </c>
      <c r="B1047" s="84" t="s">
        <v>1780</v>
      </c>
      <c r="C1047" s="79" t="s">
        <v>3510</v>
      </c>
      <c r="D1047" s="80" t="s">
        <v>2566</v>
      </c>
      <c r="E1047" s="2275" t="str">
        <f t="shared" si="62"/>
        <v>CO</v>
      </c>
      <c r="F1047" s="55">
        <v>50</v>
      </c>
      <c r="G1047" s="55" t="s">
        <v>512</v>
      </c>
      <c r="J1047" s="55" t="str">
        <f t="shared" si="64"/>
        <v>COS250</v>
      </c>
    </row>
    <row r="1048" spans="1:10" hidden="1">
      <c r="A1048" s="79" t="s">
        <v>449</v>
      </c>
      <c r="B1048" s="84" t="s">
        <v>1780</v>
      </c>
      <c r="C1048" s="79" t="s">
        <v>3511</v>
      </c>
      <c r="D1048" s="80" t="s">
        <v>2566</v>
      </c>
      <c r="E1048" s="2275" t="str">
        <f t="shared" si="62"/>
        <v>CO</v>
      </c>
      <c r="F1048" s="55">
        <v>50</v>
      </c>
      <c r="G1048" s="55" t="s">
        <v>512</v>
      </c>
      <c r="J1048" s="55" t="str">
        <f t="shared" si="64"/>
        <v>COS300</v>
      </c>
    </row>
    <row r="1049" spans="1:10" hidden="1">
      <c r="A1049" s="79" t="s">
        <v>1236</v>
      </c>
      <c r="B1049" s="84"/>
      <c r="C1049" s="1812" t="s">
        <v>3512</v>
      </c>
      <c r="D1049" s="80" t="s">
        <v>2566</v>
      </c>
      <c r="E1049" s="2275" t="str">
        <f t="shared" si="62"/>
        <v>CH</v>
      </c>
      <c r="F1049" s="55">
        <v>50</v>
      </c>
      <c r="G1049" s="55" t="s">
        <v>512</v>
      </c>
      <c r="J1049" s="55" t="str">
        <f t="shared" si="64"/>
        <v>CHCOS11</v>
      </c>
    </row>
    <row r="1050" spans="1:10" hidden="1">
      <c r="A1050" s="79" t="s">
        <v>74</v>
      </c>
      <c r="B1050" s="84"/>
      <c r="C1050" s="1812" t="s">
        <v>3513</v>
      </c>
      <c r="D1050" s="80" t="s">
        <v>2566</v>
      </c>
      <c r="E1050" s="2275" t="str">
        <f t="shared" si="62"/>
        <v>CH</v>
      </c>
      <c r="F1050" s="55">
        <v>50</v>
      </c>
      <c r="G1050" s="55" t="s">
        <v>512</v>
      </c>
      <c r="J1050" s="55" t="str">
        <f t="shared" si="64"/>
        <v>CHCOS16</v>
      </c>
    </row>
    <row r="1051" spans="1:10" hidden="1">
      <c r="A1051" s="79" t="s">
        <v>1922</v>
      </c>
      <c r="B1051" s="84"/>
      <c r="C1051" s="1812" t="s">
        <v>3514</v>
      </c>
      <c r="D1051" s="80" t="s">
        <v>2566</v>
      </c>
      <c r="E1051" s="2275" t="str">
        <f t="shared" si="62"/>
        <v>CH</v>
      </c>
      <c r="F1051" s="55">
        <v>50</v>
      </c>
      <c r="G1051" s="55" t="s">
        <v>512</v>
      </c>
      <c r="J1051" s="55" t="str">
        <f t="shared" si="64"/>
        <v>CHCOS25</v>
      </c>
    </row>
    <row r="1052" spans="1:10" hidden="1">
      <c r="A1052" s="79" t="s">
        <v>418</v>
      </c>
      <c r="B1052" s="84"/>
      <c r="C1052" s="1812" t="s">
        <v>3515</v>
      </c>
      <c r="D1052" s="80" t="s">
        <v>2566</v>
      </c>
      <c r="E1052" s="2275" t="str">
        <f t="shared" si="62"/>
        <v>CH</v>
      </c>
      <c r="F1052" s="55">
        <v>50</v>
      </c>
      <c r="G1052" s="55" t="s">
        <v>512</v>
      </c>
      <c r="J1052" s="55" t="str">
        <f t="shared" si="64"/>
        <v>CHCOS35</v>
      </c>
    </row>
    <row r="1053" spans="1:10" hidden="1">
      <c r="A1053" s="79" t="s">
        <v>2159</v>
      </c>
      <c r="B1053" s="84"/>
      <c r="C1053" s="1812" t="s">
        <v>3516</v>
      </c>
      <c r="D1053" s="80" t="s">
        <v>2566</v>
      </c>
      <c r="E1053" s="2275" t="str">
        <f t="shared" si="62"/>
        <v>CH</v>
      </c>
      <c r="F1053" s="55">
        <v>50</v>
      </c>
      <c r="G1053" s="55" t="s">
        <v>512</v>
      </c>
      <c r="J1053" s="55" t="str">
        <f t="shared" si="64"/>
        <v>CHCOS50</v>
      </c>
    </row>
    <row r="1054" spans="1:10" hidden="1">
      <c r="A1054" s="79" t="s">
        <v>611</v>
      </c>
      <c r="B1054" s="84"/>
      <c r="C1054" s="1812" t="s">
        <v>3517</v>
      </c>
      <c r="D1054" s="80" t="s">
        <v>2566</v>
      </c>
      <c r="E1054" s="2275" t="str">
        <f t="shared" si="62"/>
        <v>CH</v>
      </c>
      <c r="F1054" s="55">
        <v>50</v>
      </c>
      <c r="G1054" s="55" t="s">
        <v>512</v>
      </c>
      <c r="J1054" s="55" t="str">
        <f t="shared" si="64"/>
        <v>CHCOS70</v>
      </c>
    </row>
    <row r="1055" spans="1:10" hidden="1">
      <c r="A1055" s="79" t="s">
        <v>94</v>
      </c>
      <c r="B1055" s="84"/>
      <c r="C1055" s="1812" t="s">
        <v>3518</v>
      </c>
      <c r="D1055" s="80" t="s">
        <v>2566</v>
      </c>
      <c r="E1055" s="2275" t="str">
        <f t="shared" si="62"/>
        <v>CH</v>
      </c>
      <c r="F1055" s="55">
        <v>50</v>
      </c>
      <c r="G1055" s="55" t="s">
        <v>512</v>
      </c>
      <c r="J1055" s="55" t="str">
        <f t="shared" si="64"/>
        <v>CHCOS95</v>
      </c>
    </row>
    <row r="1056" spans="1:10" hidden="1">
      <c r="A1056" s="79" t="s">
        <v>93</v>
      </c>
      <c r="B1056" s="84"/>
      <c r="C1056" s="1812" t="s">
        <v>3519</v>
      </c>
      <c r="D1056" s="80" t="s">
        <v>2566</v>
      </c>
      <c r="E1056" s="2275" t="str">
        <f t="shared" si="62"/>
        <v>CH</v>
      </c>
      <c r="F1056" s="55">
        <v>50</v>
      </c>
      <c r="G1056" s="55" t="s">
        <v>512</v>
      </c>
      <c r="J1056" s="55" t="str">
        <f t="shared" si="64"/>
        <v>CHCOS120</v>
      </c>
    </row>
    <row r="1057" spans="1:10" hidden="1">
      <c r="A1057" s="79" t="s">
        <v>91</v>
      </c>
      <c r="B1057" s="84"/>
      <c r="C1057" s="1812" t="s">
        <v>3520</v>
      </c>
      <c r="D1057" s="80" t="s">
        <v>2566</v>
      </c>
      <c r="E1057" s="2275" t="str">
        <f t="shared" si="62"/>
        <v>CH</v>
      </c>
      <c r="F1057" s="55">
        <v>50</v>
      </c>
      <c r="G1057" s="55" t="s">
        <v>512</v>
      </c>
      <c r="J1057" s="55" t="str">
        <f t="shared" si="64"/>
        <v>CHCOS150</v>
      </c>
    </row>
    <row r="1058" spans="1:10" hidden="1">
      <c r="A1058" s="79" t="s">
        <v>150</v>
      </c>
      <c r="B1058" s="84"/>
      <c r="C1058" s="1812" t="s">
        <v>3521</v>
      </c>
      <c r="D1058" s="80" t="s">
        <v>2566</v>
      </c>
      <c r="E1058" s="2275" t="str">
        <f t="shared" si="62"/>
        <v>CH</v>
      </c>
      <c r="F1058" s="55">
        <v>50</v>
      </c>
      <c r="G1058" s="55" t="s">
        <v>512</v>
      </c>
      <c r="J1058" s="55" t="str">
        <f t="shared" si="64"/>
        <v>CHCOS185</v>
      </c>
    </row>
    <row r="1059" spans="1:10" hidden="1">
      <c r="A1059" s="79" t="s">
        <v>610</v>
      </c>
      <c r="B1059" s="84"/>
      <c r="C1059" s="1812" t="s">
        <v>3522</v>
      </c>
      <c r="D1059" s="80" t="s">
        <v>2566</v>
      </c>
      <c r="E1059" s="2275" t="str">
        <f t="shared" ref="E1059:E1125" si="65">LEFT(A1059,2)</f>
        <v>CH</v>
      </c>
      <c r="F1059" s="55">
        <v>50</v>
      </c>
      <c r="G1059" s="55" t="s">
        <v>512</v>
      </c>
      <c r="J1059" s="55" t="str">
        <f t="shared" si="64"/>
        <v>CHCOS200</v>
      </c>
    </row>
    <row r="1060" spans="1:10" hidden="1">
      <c r="A1060" s="79" t="s">
        <v>90</v>
      </c>
      <c r="B1060" s="84"/>
      <c r="C1060" s="1812" t="s">
        <v>3523</v>
      </c>
      <c r="D1060" s="80" t="s">
        <v>2566</v>
      </c>
      <c r="E1060" s="2275" t="str">
        <f t="shared" si="65"/>
        <v>CH</v>
      </c>
      <c r="F1060" s="55">
        <v>50</v>
      </c>
      <c r="G1060" s="55" t="s">
        <v>512</v>
      </c>
      <c r="J1060" s="55" t="str">
        <f t="shared" si="64"/>
        <v>CHCOS240</v>
      </c>
    </row>
    <row r="1061" spans="1:10" hidden="1">
      <c r="A1061" s="79" t="s">
        <v>1074</v>
      </c>
      <c r="B1061" s="84"/>
      <c r="C1061" s="1812" t="s">
        <v>3524</v>
      </c>
      <c r="D1061" s="80" t="s">
        <v>2566</v>
      </c>
      <c r="E1061" s="2275" t="str">
        <f t="shared" si="65"/>
        <v>CH</v>
      </c>
      <c r="F1061" s="55">
        <v>50</v>
      </c>
      <c r="G1061" s="55" t="s">
        <v>512</v>
      </c>
      <c r="J1061" s="55" t="str">
        <f t="shared" si="64"/>
        <v>CHCOS250</v>
      </c>
    </row>
    <row r="1062" spans="1:10" hidden="1">
      <c r="A1062" s="79" t="s">
        <v>977</v>
      </c>
      <c r="B1062" s="84"/>
      <c r="C1062" s="1812" t="s">
        <v>3525</v>
      </c>
      <c r="D1062" s="80" t="s">
        <v>2566</v>
      </c>
      <c r="E1062" s="2275" t="str">
        <f t="shared" si="65"/>
        <v>CH</v>
      </c>
      <c r="F1062" s="55">
        <v>50</v>
      </c>
      <c r="G1062" s="55" t="s">
        <v>512</v>
      </c>
      <c r="J1062" s="55" t="str">
        <f t="shared" si="64"/>
        <v>CHCOS300</v>
      </c>
    </row>
    <row r="1063" spans="1:10" hidden="1">
      <c r="A1063" s="79" t="s">
        <v>381</v>
      </c>
      <c r="B1063" s="84"/>
      <c r="C1063" s="1812" t="s">
        <v>3526</v>
      </c>
      <c r="D1063" s="80" t="s">
        <v>2448</v>
      </c>
      <c r="E1063" s="2275" t="str">
        <f t="shared" si="65"/>
        <v>CH</v>
      </c>
      <c r="F1063" s="55">
        <v>50</v>
      </c>
      <c r="G1063" s="55" t="s">
        <v>512</v>
      </c>
      <c r="J1063" s="55" t="str">
        <f t="shared" si="64"/>
        <v>CHFCO</v>
      </c>
    </row>
    <row r="1064" spans="1:10" hidden="1">
      <c r="A1064" s="79" t="s">
        <v>379</v>
      </c>
      <c r="B1064" s="84"/>
      <c r="C1064" s="1812" t="s">
        <v>3527</v>
      </c>
      <c r="D1064" s="80" t="s">
        <v>2566</v>
      </c>
      <c r="E1064" s="2275" t="str">
        <f t="shared" si="65"/>
        <v>CH</v>
      </c>
      <c r="F1064" s="55">
        <v>50</v>
      </c>
      <c r="G1064" s="55" t="s">
        <v>512</v>
      </c>
      <c r="J1064" s="55" t="str">
        <f t="shared" si="64"/>
        <v>CHLA</v>
      </c>
    </row>
    <row r="1065" spans="1:10" hidden="1">
      <c r="A1065" s="79" t="s">
        <v>380</v>
      </c>
      <c r="B1065" s="84"/>
      <c r="C1065" s="1812" t="s">
        <v>3528</v>
      </c>
      <c r="D1065" s="80" t="s">
        <v>2566</v>
      </c>
      <c r="E1065" s="2275" t="str">
        <f t="shared" ref="E1065" si="66">LEFT(A1065,2)</f>
        <v>CH</v>
      </c>
      <c r="F1065" s="55">
        <v>50</v>
      </c>
      <c r="G1065" s="55" t="s">
        <v>512</v>
      </c>
      <c r="J1065" s="55" t="str">
        <f t="shared" si="64"/>
        <v>CHMBA</v>
      </c>
    </row>
    <row r="1066" spans="1:10" hidden="1">
      <c r="A1066" s="79" t="s">
        <v>4495</v>
      </c>
      <c r="B1066" s="84"/>
      <c r="C1066" s="1812" t="s">
        <v>4496</v>
      </c>
      <c r="D1066" s="80" t="s">
        <v>2448</v>
      </c>
      <c r="E1066" s="2275" t="str">
        <f t="shared" si="65"/>
        <v>CH</v>
      </c>
      <c r="F1066" s="55">
        <v>50</v>
      </c>
      <c r="G1066" s="55" t="s">
        <v>512</v>
      </c>
      <c r="J1066" s="55" t="str">
        <f t="shared" si="64"/>
        <v>CHQ-H</v>
      </c>
    </row>
    <row r="1067" spans="1:10" hidden="1">
      <c r="A1067" s="79" t="s">
        <v>197</v>
      </c>
      <c r="B1067" s="1810"/>
      <c r="C1067" s="1788" t="s">
        <v>3529</v>
      </c>
      <c r="D1067" s="80" t="s">
        <v>1829</v>
      </c>
      <c r="E1067" s="2275" t="str">
        <f t="shared" si="65"/>
        <v>DK</v>
      </c>
      <c r="F1067" s="55">
        <v>50</v>
      </c>
      <c r="G1067" s="55" t="s">
        <v>512</v>
      </c>
      <c r="J1067" s="55" t="str">
        <f t="shared" si="64"/>
        <v>DK2x11</v>
      </c>
    </row>
    <row r="1068" spans="1:10" hidden="1">
      <c r="A1068" s="79" t="s">
        <v>198</v>
      </c>
      <c r="B1068" s="1810"/>
      <c r="C1068" s="1788" t="s">
        <v>3530</v>
      </c>
      <c r="D1068" s="80" t="s">
        <v>1829</v>
      </c>
      <c r="E1068" s="2275" t="str">
        <f t="shared" si="65"/>
        <v>DV</v>
      </c>
      <c r="F1068" s="55">
        <v>50</v>
      </c>
      <c r="G1068" s="55" t="s">
        <v>512</v>
      </c>
      <c r="J1068" s="55" t="str">
        <f t="shared" si="64"/>
        <v>DVV7x1.5</v>
      </c>
    </row>
    <row r="1069" spans="1:10" hidden="1">
      <c r="A1069" s="79" t="s">
        <v>1688</v>
      </c>
      <c r="B1069" s="1810"/>
      <c r="C1069" s="1788" t="s">
        <v>3531</v>
      </c>
      <c r="D1069" s="80" t="s">
        <v>1829</v>
      </c>
      <c r="E1069" s="2275" t="str">
        <f t="shared" si="65"/>
        <v>Du</v>
      </c>
      <c r="F1069" s="55">
        <v>50</v>
      </c>
      <c r="G1069" s="55" t="s">
        <v>512</v>
      </c>
      <c r="J1069" s="55" t="str">
        <f t="shared" si="64"/>
        <v>Duplex 211</v>
      </c>
    </row>
    <row r="1070" spans="1:10" hidden="1">
      <c r="A1070" s="79" t="s">
        <v>3</v>
      </c>
      <c r="B1070" s="1810"/>
      <c r="C1070" s="1788" t="s">
        <v>3532</v>
      </c>
      <c r="D1070" s="80" t="s">
        <v>1829</v>
      </c>
      <c r="E1070" s="2275" t="str">
        <f t="shared" si="65"/>
        <v>Du</v>
      </c>
      <c r="F1070" s="55">
        <v>50</v>
      </c>
      <c r="G1070" s="55" t="s">
        <v>512</v>
      </c>
      <c r="J1070" s="55" t="str">
        <f t="shared" si="64"/>
        <v>Duplex 216</v>
      </c>
    </row>
    <row r="1071" spans="1:10" hidden="1">
      <c r="A1071" s="79" t="s">
        <v>929</v>
      </c>
      <c r="B1071" s="1810"/>
      <c r="C1071" s="1788" t="s">
        <v>3533</v>
      </c>
      <c r="D1071" s="80" t="s">
        <v>1829</v>
      </c>
      <c r="E1071" s="2275" t="str">
        <f t="shared" si="65"/>
        <v>Du</v>
      </c>
      <c r="F1071" s="55">
        <v>50</v>
      </c>
      <c r="G1071" s="55" t="s">
        <v>512</v>
      </c>
      <c r="J1071" s="55" t="str">
        <f t="shared" si="64"/>
        <v>Duplex 311</v>
      </c>
    </row>
    <row r="1072" spans="1:10" hidden="1">
      <c r="A1072" s="79" t="s">
        <v>930</v>
      </c>
      <c r="B1072" s="1810"/>
      <c r="C1072" s="1788" t="s">
        <v>3534</v>
      </c>
      <c r="D1072" s="80" t="s">
        <v>1829</v>
      </c>
      <c r="E1072" s="2275" t="str">
        <f t="shared" si="65"/>
        <v>Du</v>
      </c>
      <c r="F1072" s="55">
        <v>50</v>
      </c>
      <c r="G1072" s="55" t="s">
        <v>512</v>
      </c>
      <c r="J1072" s="55" t="str">
        <f t="shared" si="64"/>
        <v>Duplex 316</v>
      </c>
    </row>
    <row r="1073" spans="1:10" hidden="1">
      <c r="A1073" s="79" t="s">
        <v>1689</v>
      </c>
      <c r="B1073" s="1810"/>
      <c r="C1073" s="1788" t="s">
        <v>3535</v>
      </c>
      <c r="D1073" s="80" t="s">
        <v>1829</v>
      </c>
      <c r="E1073" s="2275" t="str">
        <f t="shared" si="65"/>
        <v>Du</v>
      </c>
      <c r="F1073" s="55">
        <v>50</v>
      </c>
      <c r="G1073" s="55" t="s">
        <v>512</v>
      </c>
      <c r="J1073" s="55" t="str">
        <f t="shared" si="64"/>
        <v>Duplex 411</v>
      </c>
    </row>
    <row r="1074" spans="1:10" hidden="1">
      <c r="A1074" s="79" t="s">
        <v>4</v>
      </c>
      <c r="B1074" s="1810"/>
      <c r="C1074" s="1788" t="s">
        <v>3536</v>
      </c>
      <c r="D1074" s="80" t="s">
        <v>1829</v>
      </c>
      <c r="E1074" s="2275" t="str">
        <f t="shared" si="65"/>
        <v>Du</v>
      </c>
      <c r="F1074" s="55">
        <v>50</v>
      </c>
      <c r="G1074" s="55" t="s">
        <v>512</v>
      </c>
      <c r="J1074" s="55" t="str">
        <f t="shared" si="64"/>
        <v>Duplex 416</v>
      </c>
    </row>
    <row r="1075" spans="1:10" hidden="1">
      <c r="A1075" s="79" t="s">
        <v>1062</v>
      </c>
      <c r="B1075" s="80" t="s">
        <v>108</v>
      </c>
      <c r="C1075" s="1788" t="s">
        <v>3537</v>
      </c>
      <c r="D1075" s="80" t="s">
        <v>2448</v>
      </c>
      <c r="E1075" s="2275" t="str">
        <f t="shared" si="65"/>
        <v>DE</v>
      </c>
      <c r="F1075" s="55">
        <v>50</v>
      </c>
      <c r="G1075" s="55" t="s">
        <v>512</v>
      </c>
      <c r="J1075" s="55" t="str">
        <f t="shared" si="64"/>
        <v>DENHQ</v>
      </c>
    </row>
    <row r="1076" spans="1:10" hidden="1">
      <c r="A1076" s="79" t="s">
        <v>1515</v>
      </c>
      <c r="B1076" s="1810"/>
      <c r="C1076" s="1788" t="s">
        <v>3538</v>
      </c>
      <c r="D1076" s="80" t="s">
        <v>2541</v>
      </c>
      <c r="E1076" s="2275" t="str">
        <f t="shared" si="65"/>
        <v>D1</v>
      </c>
      <c r="F1076" s="55">
        <v>50</v>
      </c>
      <c r="G1076" s="55" t="s">
        <v>512</v>
      </c>
      <c r="J1076" s="55" t="str">
        <f t="shared" si="64"/>
        <v>D16/10</v>
      </c>
    </row>
    <row r="1077" spans="1:10" hidden="1">
      <c r="A1077" s="79" t="s">
        <v>469</v>
      </c>
      <c r="B1077" s="1782"/>
      <c r="C1077" s="1788" t="s">
        <v>3539</v>
      </c>
      <c r="D1077" s="80" t="s">
        <v>2541</v>
      </c>
      <c r="E1077" s="2275" t="str">
        <f t="shared" si="65"/>
        <v>D2</v>
      </c>
      <c r="F1077" s="55">
        <v>50</v>
      </c>
      <c r="G1077" s="55" t="s">
        <v>512</v>
      </c>
      <c r="J1077" s="55" t="str">
        <f t="shared" si="64"/>
        <v>D20/10</v>
      </c>
    </row>
    <row r="1078" spans="1:10" hidden="1">
      <c r="A1078" s="79" t="s">
        <v>1516</v>
      </c>
      <c r="B1078" s="1810"/>
      <c r="C1078" s="1788" t="s">
        <v>3540</v>
      </c>
      <c r="D1078" s="80" t="s">
        <v>2541</v>
      </c>
      <c r="E1078" s="2275" t="str">
        <f t="shared" si="65"/>
        <v>D3</v>
      </c>
      <c r="F1078" s="55">
        <v>50</v>
      </c>
      <c r="G1078" s="55" t="s">
        <v>512</v>
      </c>
      <c r="J1078" s="55" t="str">
        <f t="shared" si="64"/>
        <v>D30/10</v>
      </c>
    </row>
    <row r="1079" spans="1:10" hidden="1">
      <c r="A1079" s="79" t="s">
        <v>1354</v>
      </c>
      <c r="B1079" s="1810"/>
      <c r="C1079" s="1788" t="s">
        <v>3541</v>
      </c>
      <c r="D1079" s="80" t="s">
        <v>3542</v>
      </c>
      <c r="E1079" s="2275" t="str">
        <f t="shared" si="65"/>
        <v>DR</v>
      </c>
      <c r="F1079" s="55">
        <v>50</v>
      </c>
      <c r="G1079" s="55" t="s">
        <v>512</v>
      </c>
      <c r="J1079" s="55" t="str">
        <f t="shared" si="64"/>
        <v>DRC</v>
      </c>
    </row>
    <row r="1080" spans="1:10" hidden="1">
      <c r="A1080" s="79" t="s">
        <v>1517</v>
      </c>
      <c r="B1080" s="84" t="s">
        <v>1518</v>
      </c>
      <c r="C1080" s="1788" t="s">
        <v>3543</v>
      </c>
      <c r="D1080" s="80" t="s">
        <v>2566</v>
      </c>
      <c r="E1080" s="2275" t="str">
        <f t="shared" si="65"/>
        <v>CD</v>
      </c>
      <c r="F1080" s="55">
        <v>50</v>
      </c>
      <c r="G1080" s="55" t="s">
        <v>512</v>
      </c>
      <c r="J1080" s="55" t="str">
        <f t="shared" si="64"/>
        <v>CDAO15</v>
      </c>
    </row>
    <row r="1081" spans="1:10" hidden="1">
      <c r="A1081" s="79" t="s">
        <v>1519</v>
      </c>
      <c r="B1081" s="84" t="s">
        <v>1518</v>
      </c>
      <c r="C1081" s="1788" t="s">
        <v>3544</v>
      </c>
      <c r="D1081" s="80" t="s">
        <v>2566</v>
      </c>
      <c r="E1081" s="2275" t="str">
        <f t="shared" si="65"/>
        <v>CD</v>
      </c>
      <c r="F1081" s="55">
        <v>50</v>
      </c>
      <c r="G1081" s="55" t="s">
        <v>512</v>
      </c>
      <c r="J1081" s="55" t="str">
        <f t="shared" si="64"/>
        <v>CDAO30</v>
      </c>
    </row>
    <row r="1082" spans="1:10" hidden="1">
      <c r="A1082" s="79" t="s">
        <v>261</v>
      </c>
      <c r="B1082" s="84" t="s">
        <v>1518</v>
      </c>
      <c r="C1082" s="1788" t="s">
        <v>3545</v>
      </c>
      <c r="D1082" s="80" t="s">
        <v>2566</v>
      </c>
      <c r="E1082" s="2275" t="str">
        <f t="shared" si="65"/>
        <v>CD</v>
      </c>
      <c r="F1082" s="55">
        <v>50</v>
      </c>
      <c r="G1082" s="55" t="s">
        <v>512</v>
      </c>
      <c r="J1082" s="55" t="str">
        <f t="shared" si="64"/>
        <v>CDAO60</v>
      </c>
    </row>
    <row r="1083" spans="1:10" hidden="1">
      <c r="A1083" s="79" t="s">
        <v>262</v>
      </c>
      <c r="B1083" s="84" t="s">
        <v>1518</v>
      </c>
      <c r="C1083" s="1788" t="s">
        <v>3546</v>
      </c>
      <c r="D1083" s="80" t="s">
        <v>2566</v>
      </c>
      <c r="E1083" s="2275" t="str">
        <f t="shared" si="65"/>
        <v>CD</v>
      </c>
      <c r="F1083" s="55">
        <v>50</v>
      </c>
      <c r="G1083" s="55" t="s">
        <v>512</v>
      </c>
      <c r="J1083" s="55" t="str">
        <f t="shared" si="64"/>
        <v>CDAO100</v>
      </c>
    </row>
    <row r="1084" spans="1:10" hidden="1">
      <c r="A1084" s="79" t="s">
        <v>714</v>
      </c>
      <c r="B1084" s="84" t="s">
        <v>1518</v>
      </c>
      <c r="C1084" s="1788" t="s">
        <v>3547</v>
      </c>
      <c r="D1084" s="80" t="s">
        <v>2566</v>
      </c>
      <c r="E1084" s="2275" t="str">
        <f t="shared" si="65"/>
        <v>CD</v>
      </c>
      <c r="F1084" s="55">
        <v>50</v>
      </c>
      <c r="G1084" s="55" t="s">
        <v>512</v>
      </c>
      <c r="J1084" s="55" t="str">
        <f t="shared" si="64"/>
        <v>CDAO150</v>
      </c>
    </row>
    <row r="1085" spans="1:10" hidden="1">
      <c r="A1085" s="79" t="s">
        <v>1100</v>
      </c>
      <c r="B1085" s="84" t="s">
        <v>1518</v>
      </c>
      <c r="C1085" s="1788" t="s">
        <v>3548</v>
      </c>
      <c r="D1085" s="80" t="s">
        <v>2566</v>
      </c>
      <c r="E1085" s="2275" t="str">
        <f t="shared" si="65"/>
        <v>CD</v>
      </c>
      <c r="F1085" s="55">
        <v>50</v>
      </c>
      <c r="G1085" s="55" t="s">
        <v>512</v>
      </c>
      <c r="J1085" s="55" t="str">
        <f t="shared" si="64"/>
        <v>CDAO200</v>
      </c>
    </row>
    <row r="1086" spans="1:10" hidden="1">
      <c r="A1086" s="79" t="s">
        <v>297</v>
      </c>
      <c r="B1086" s="84" t="s">
        <v>1518</v>
      </c>
      <c r="C1086" s="1788" t="s">
        <v>3549</v>
      </c>
      <c r="D1086" s="80" t="s">
        <v>2566</v>
      </c>
      <c r="E1086" s="2275" t="str">
        <f t="shared" si="65"/>
        <v>CD</v>
      </c>
      <c r="F1086" s="55">
        <v>50</v>
      </c>
      <c r="G1086" s="55" t="s">
        <v>512</v>
      </c>
      <c r="J1086" s="55" t="str">
        <f t="shared" si="64"/>
        <v>CDAO250</v>
      </c>
    </row>
    <row r="1087" spans="1:10" hidden="1">
      <c r="A1087" s="79" t="s">
        <v>1061</v>
      </c>
      <c r="B1087" s="84" t="s">
        <v>1518</v>
      </c>
      <c r="C1087" s="1788" t="s">
        <v>3550</v>
      </c>
      <c r="D1087" s="80" t="s">
        <v>2566</v>
      </c>
      <c r="E1087" s="2275" t="str">
        <f t="shared" si="65"/>
        <v>CD</v>
      </c>
      <c r="F1087" s="55">
        <v>50</v>
      </c>
      <c r="G1087" s="55" t="s">
        <v>512</v>
      </c>
      <c r="J1087" s="55" t="str">
        <f t="shared" si="64"/>
        <v>CDAO300</v>
      </c>
    </row>
    <row r="1088" spans="1:10" hidden="1">
      <c r="A1088" s="79" t="s">
        <v>1707</v>
      </c>
      <c r="B1088" s="1810"/>
      <c r="C1088" s="1788" t="s">
        <v>3551</v>
      </c>
      <c r="D1088" s="80" t="s">
        <v>1829</v>
      </c>
      <c r="E1088" s="2275" t="str">
        <f t="shared" si="65"/>
        <v>PV</v>
      </c>
      <c r="F1088" s="55">
        <v>50</v>
      </c>
      <c r="G1088" s="55" t="s">
        <v>512</v>
      </c>
      <c r="J1088" s="55" t="str">
        <f t="shared" si="64"/>
        <v>PVC200</v>
      </c>
    </row>
    <row r="1089" spans="1:10" hidden="1">
      <c r="A1089" s="79" t="s">
        <v>1683</v>
      </c>
      <c r="B1089" s="1810"/>
      <c r="C1089" s="1788" t="s">
        <v>3552</v>
      </c>
      <c r="D1089" s="80" t="s">
        <v>1829</v>
      </c>
      <c r="E1089" s="2275" t="str">
        <f t="shared" si="65"/>
        <v>PV</v>
      </c>
      <c r="F1089" s="55">
        <v>50</v>
      </c>
      <c r="G1089" s="55" t="s">
        <v>512</v>
      </c>
      <c r="J1089" s="55" t="str">
        <f t="shared" si="64"/>
        <v>PVC168</v>
      </c>
    </row>
    <row r="1090" spans="1:10" hidden="1">
      <c r="A1090" s="79" t="s">
        <v>1523</v>
      </c>
      <c r="B1090" s="1810"/>
      <c r="C1090" s="1788" t="s">
        <v>3553</v>
      </c>
      <c r="D1090" s="80" t="s">
        <v>1829</v>
      </c>
      <c r="E1090" s="2275" t="str">
        <f t="shared" si="65"/>
        <v>PV</v>
      </c>
      <c r="F1090" s="55">
        <v>50</v>
      </c>
      <c r="G1090" s="55" t="s">
        <v>512</v>
      </c>
      <c r="J1090" s="55" t="str">
        <f t="shared" si="64"/>
        <v>PVC140</v>
      </c>
    </row>
    <row r="1091" spans="1:10" hidden="1">
      <c r="A1091" s="79" t="s">
        <v>1044</v>
      </c>
      <c r="B1091" s="1810"/>
      <c r="C1091" s="1788" t="s">
        <v>3554</v>
      </c>
      <c r="D1091" s="80" t="s">
        <v>1829</v>
      </c>
      <c r="E1091" s="2275" t="str">
        <f t="shared" si="65"/>
        <v>PV</v>
      </c>
      <c r="F1091" s="55">
        <v>50</v>
      </c>
      <c r="G1091" s="55" t="s">
        <v>512</v>
      </c>
      <c r="J1091" s="55" t="str">
        <f t="shared" si="64"/>
        <v>PVC114</v>
      </c>
    </row>
    <row r="1092" spans="1:10" hidden="1">
      <c r="A1092" s="79" t="s">
        <v>282</v>
      </c>
      <c r="B1092" s="1810" t="s">
        <v>1757</v>
      </c>
      <c r="C1092" s="1788" t="s">
        <v>3555</v>
      </c>
      <c r="D1092" s="80" t="s">
        <v>1829</v>
      </c>
      <c r="E1092" s="2275" t="str">
        <f t="shared" si="65"/>
        <v>PV</v>
      </c>
      <c r="F1092" s="55">
        <v>50</v>
      </c>
      <c r="G1092" s="55" t="s">
        <v>512</v>
      </c>
      <c r="J1092" s="55" t="str">
        <f t="shared" si="64"/>
        <v>PVC90</v>
      </c>
    </row>
    <row r="1093" spans="1:10" hidden="1">
      <c r="A1093" s="79" t="s">
        <v>2015</v>
      </c>
      <c r="B1093" s="1810" t="s">
        <v>1783</v>
      </c>
      <c r="C1093" s="1788" t="s">
        <v>3556</v>
      </c>
      <c r="D1093" s="80" t="s">
        <v>1829</v>
      </c>
      <c r="E1093" s="2275" t="str">
        <f t="shared" si="65"/>
        <v>PV</v>
      </c>
      <c r="F1093" s="55">
        <v>50</v>
      </c>
      <c r="G1093" s="55" t="s">
        <v>512</v>
      </c>
      <c r="J1093" s="55" t="str">
        <f t="shared" si="64"/>
        <v>PVC60</v>
      </c>
    </row>
    <row r="1094" spans="1:10" hidden="1">
      <c r="A1094" s="79" t="s">
        <v>897</v>
      </c>
      <c r="B1094" s="1810" t="s">
        <v>1782</v>
      </c>
      <c r="C1094" s="1788" t="s">
        <v>3557</v>
      </c>
      <c r="D1094" s="80" t="s">
        <v>1829</v>
      </c>
      <c r="E1094" s="2275" t="str">
        <f t="shared" si="65"/>
        <v>PV</v>
      </c>
      <c r="F1094" s="55">
        <v>50</v>
      </c>
      <c r="G1094" s="55" t="s">
        <v>512</v>
      </c>
      <c r="J1094" s="55" t="str">
        <f t="shared" si="64"/>
        <v>PVC49</v>
      </c>
    </row>
    <row r="1095" spans="1:10" hidden="1">
      <c r="A1095" s="79" t="s">
        <v>2149</v>
      </c>
      <c r="B1095" s="1810" t="s">
        <v>1782</v>
      </c>
      <c r="C1095" s="1788" t="s">
        <v>3558</v>
      </c>
      <c r="D1095" s="80" t="s">
        <v>1829</v>
      </c>
      <c r="E1095" s="2275" t="str">
        <f t="shared" si="65"/>
        <v>PV</v>
      </c>
      <c r="F1095" s="55">
        <v>50</v>
      </c>
      <c r="G1095" s="55" t="s">
        <v>512</v>
      </c>
      <c r="J1095" s="55" t="str">
        <f t="shared" si="64"/>
        <v>PVC42</v>
      </c>
    </row>
    <row r="1096" spans="1:10" hidden="1">
      <c r="A1096" s="79" t="s">
        <v>576</v>
      </c>
      <c r="B1096" s="1810" t="s">
        <v>1782</v>
      </c>
      <c r="C1096" s="1788" t="s">
        <v>3559</v>
      </c>
      <c r="D1096" s="80" t="s">
        <v>1829</v>
      </c>
      <c r="E1096" s="2275" t="str">
        <f t="shared" si="65"/>
        <v>PV</v>
      </c>
      <c r="F1096" s="55">
        <v>50</v>
      </c>
      <c r="G1096" s="55" t="s">
        <v>512</v>
      </c>
      <c r="J1096" s="55" t="str">
        <f t="shared" si="64"/>
        <v>PVC21</v>
      </c>
    </row>
    <row r="1097" spans="1:10" hidden="1">
      <c r="A1097" s="79" t="s">
        <v>1053</v>
      </c>
      <c r="B1097" s="1810"/>
      <c r="C1097" s="1788" t="s">
        <v>3560</v>
      </c>
      <c r="D1097" s="80" t="s">
        <v>2541</v>
      </c>
      <c r="E1097" s="2275" t="str">
        <f t="shared" si="65"/>
        <v>OD</v>
      </c>
      <c r="F1097" s="55">
        <v>50</v>
      </c>
      <c r="G1097" s="55" t="s">
        <v>512</v>
      </c>
      <c r="J1097" s="55" t="str">
        <f t="shared" si="64"/>
        <v>ODH42</v>
      </c>
    </row>
    <row r="1098" spans="1:10" hidden="1">
      <c r="A1098" s="79" t="s">
        <v>238</v>
      </c>
      <c r="B1098" s="1810" t="s">
        <v>575</v>
      </c>
      <c r="C1098" s="1788" t="s">
        <v>3561</v>
      </c>
      <c r="D1098" s="80" t="s">
        <v>1829</v>
      </c>
      <c r="E1098" s="2275"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5" t="str">
        <f t="shared" si="65"/>
        <v>ON</v>
      </c>
      <c r="F1099" s="55">
        <v>50</v>
      </c>
      <c r="G1099" s="55" t="s">
        <v>512</v>
      </c>
      <c r="J1099" s="55" t="str">
        <f t="shared" si="67"/>
        <v>ONGDH42</v>
      </c>
    </row>
    <row r="1100" spans="1:10" hidden="1">
      <c r="A1100" s="79" t="s">
        <v>1746</v>
      </c>
      <c r="B1100" s="1810" t="s">
        <v>575</v>
      </c>
      <c r="C1100" s="1788" t="s">
        <v>3563</v>
      </c>
      <c r="D1100" s="80" t="s">
        <v>1829</v>
      </c>
      <c r="E1100" s="2275" t="str">
        <f t="shared" si="65"/>
        <v>ON</v>
      </c>
      <c r="F1100" s="55">
        <v>50</v>
      </c>
      <c r="G1100" s="55" t="s">
        <v>512</v>
      </c>
      <c r="J1100" s="55" t="str">
        <f t="shared" si="67"/>
        <v>ONGDH114</v>
      </c>
    </row>
    <row r="1101" spans="1:10" hidden="1">
      <c r="A1101" s="79" t="s">
        <v>577</v>
      </c>
      <c r="B1101" s="84"/>
      <c r="C1101" s="1788" t="s">
        <v>578</v>
      </c>
      <c r="D1101" s="80" t="s">
        <v>2566</v>
      </c>
      <c r="E1101" s="2275" t="str">
        <f t="shared" si="65"/>
        <v>CU</v>
      </c>
      <c r="F1101" s="55">
        <v>50</v>
      </c>
      <c r="G1101" s="55" t="s">
        <v>512</v>
      </c>
      <c r="J1101" s="55" t="str">
        <f t="shared" si="67"/>
        <v>CUT21</v>
      </c>
    </row>
    <row r="1102" spans="1:10" hidden="1">
      <c r="A1102" s="79" t="s">
        <v>245</v>
      </c>
      <c r="B1102" s="84"/>
      <c r="C1102" s="1788" t="s">
        <v>3564</v>
      </c>
      <c r="D1102" s="80" t="s">
        <v>2566</v>
      </c>
      <c r="E1102" s="2275" t="str">
        <f t="shared" si="65"/>
        <v>CU</v>
      </c>
      <c r="F1102" s="55">
        <v>50</v>
      </c>
      <c r="G1102" s="55" t="s">
        <v>512</v>
      </c>
      <c r="J1102" s="55" t="str">
        <f t="shared" si="67"/>
        <v>CUT4245</v>
      </c>
    </row>
    <row r="1103" spans="1:10" hidden="1">
      <c r="A1103" s="79" t="s">
        <v>1621</v>
      </c>
      <c r="B1103" s="84"/>
      <c r="C1103" s="1788" t="s">
        <v>3565</v>
      </c>
      <c r="D1103" s="80" t="s">
        <v>2566</v>
      </c>
      <c r="E1103" s="2275" t="str">
        <f t="shared" si="65"/>
        <v>CU</v>
      </c>
      <c r="F1103" s="55">
        <v>50</v>
      </c>
      <c r="G1103" s="55" t="s">
        <v>512</v>
      </c>
      <c r="J1103" s="55" t="str">
        <f t="shared" si="67"/>
        <v>CUT42</v>
      </c>
    </row>
    <row r="1104" spans="1:10" hidden="1">
      <c r="A1104" s="79" t="s">
        <v>1052</v>
      </c>
      <c r="B1104" s="84"/>
      <c r="C1104" s="1788" t="s">
        <v>3566</v>
      </c>
      <c r="D1104" s="80" t="s">
        <v>2566</v>
      </c>
      <c r="E1104" s="2275" t="str">
        <f t="shared" si="65"/>
        <v>CU</v>
      </c>
      <c r="F1104" s="55">
        <v>50</v>
      </c>
      <c r="G1104" s="55" t="s">
        <v>512</v>
      </c>
      <c r="J1104" s="55" t="str">
        <f t="shared" si="67"/>
        <v>CUT42T</v>
      </c>
    </row>
    <row r="1105" spans="1:10" hidden="1">
      <c r="A1105" s="79" t="s">
        <v>1107</v>
      </c>
      <c r="B1105" s="84"/>
      <c r="C1105" s="1788" t="s">
        <v>3567</v>
      </c>
      <c r="D1105" s="80" t="s">
        <v>2566</v>
      </c>
      <c r="E1105" s="2275" t="str">
        <f t="shared" si="65"/>
        <v>CU</v>
      </c>
      <c r="F1105" s="55">
        <v>50</v>
      </c>
      <c r="G1105" s="55" t="s">
        <v>512</v>
      </c>
      <c r="J1105" s="55" t="str">
        <f t="shared" si="67"/>
        <v>CUT60</v>
      </c>
    </row>
    <row r="1106" spans="1:10" hidden="1">
      <c r="A1106" s="79" t="s">
        <v>942</v>
      </c>
      <c r="B1106" s="84"/>
      <c r="C1106" s="1788" t="s">
        <v>3568</v>
      </c>
      <c r="D1106" s="80" t="s">
        <v>2566</v>
      </c>
      <c r="E1106" s="2275" t="str">
        <f t="shared" si="65"/>
        <v>CU</v>
      </c>
      <c r="F1106" s="55">
        <v>50</v>
      </c>
      <c r="G1106" s="55" t="s">
        <v>512</v>
      </c>
      <c r="J1106" s="55" t="str">
        <f t="shared" si="67"/>
        <v>CUT60135</v>
      </c>
    </row>
    <row r="1107" spans="1:10" hidden="1">
      <c r="A1107" s="79" t="s">
        <v>283</v>
      </c>
      <c r="B1107" s="84"/>
      <c r="C1107" s="1788" t="s">
        <v>3569</v>
      </c>
      <c r="D1107" s="80" t="s">
        <v>2566</v>
      </c>
      <c r="E1107" s="2275" t="str">
        <f t="shared" si="65"/>
        <v>CU</v>
      </c>
      <c r="F1107" s="55">
        <v>50</v>
      </c>
      <c r="G1107" s="55" t="s">
        <v>512</v>
      </c>
      <c r="J1107" s="55" t="str">
        <f t="shared" si="67"/>
        <v>CUT90</v>
      </c>
    </row>
    <row r="1108" spans="1:10" hidden="1">
      <c r="A1108" s="79" t="s">
        <v>1217</v>
      </c>
      <c r="B1108" s="84"/>
      <c r="C1108" s="1788" t="s">
        <v>3570</v>
      </c>
      <c r="D1108" s="80" t="s">
        <v>2566</v>
      </c>
      <c r="E1108" s="2275" t="str">
        <f t="shared" si="65"/>
        <v>CU</v>
      </c>
      <c r="F1108" s="55">
        <v>50</v>
      </c>
      <c r="G1108" s="55" t="s">
        <v>512</v>
      </c>
      <c r="J1108" s="55" t="str">
        <f t="shared" si="67"/>
        <v>CUT90135</v>
      </c>
    </row>
    <row r="1109" spans="1:10" hidden="1">
      <c r="A1109" s="79" t="s">
        <v>70</v>
      </c>
      <c r="B1109" s="84"/>
      <c r="C1109" s="1788" t="s">
        <v>3571</v>
      </c>
      <c r="D1109" s="80" t="s">
        <v>2566</v>
      </c>
      <c r="E1109" s="2275" t="str">
        <f t="shared" si="65"/>
        <v>CU</v>
      </c>
      <c r="F1109" s="55">
        <v>50</v>
      </c>
      <c r="G1109" s="55" t="s">
        <v>512</v>
      </c>
      <c r="J1109" s="55" t="str">
        <f t="shared" si="67"/>
        <v>CUT90T</v>
      </c>
    </row>
    <row r="1110" spans="1:10" hidden="1">
      <c r="A1110" s="79" t="s">
        <v>2125</v>
      </c>
      <c r="B1110" s="84"/>
      <c r="C1110" s="1788" t="s">
        <v>3572</v>
      </c>
      <c r="D1110" s="80" t="s">
        <v>2566</v>
      </c>
      <c r="E1110" s="2275" t="str">
        <f t="shared" ref="E1110" si="68">LEFT(A1110,2)</f>
        <v>CU</v>
      </c>
      <c r="F1110" s="55">
        <v>50</v>
      </c>
      <c r="G1110" s="55" t="s">
        <v>512</v>
      </c>
      <c r="J1110" s="55" t="str">
        <f t="shared" si="67"/>
        <v>CUT114T</v>
      </c>
    </row>
    <row r="1111" spans="1:10" hidden="1">
      <c r="A1111" s="79" t="s">
        <v>4816</v>
      </c>
      <c r="B1111" s="84"/>
      <c r="C1111" s="1788" t="s">
        <v>4817</v>
      </c>
      <c r="D1111" s="80" t="s">
        <v>2566</v>
      </c>
      <c r="E1111" s="2275" t="str">
        <f t="shared" si="65"/>
        <v>CU</v>
      </c>
      <c r="F1111" s="55">
        <v>50</v>
      </c>
      <c r="G1111" s="55" t="s">
        <v>512</v>
      </c>
      <c r="J1111" s="55" t="str">
        <f t="shared" si="67"/>
        <v>CUT114L</v>
      </c>
    </row>
    <row r="1112" spans="1:10" hidden="1">
      <c r="A1112" s="79" t="s">
        <v>1045</v>
      </c>
      <c r="B1112" s="84"/>
      <c r="C1112" s="1788" t="s">
        <v>3573</v>
      </c>
      <c r="D1112" s="80" t="s">
        <v>2566</v>
      </c>
      <c r="E1112" s="2275" t="str">
        <f t="shared" si="65"/>
        <v>CU</v>
      </c>
      <c r="F1112" s="55">
        <v>50</v>
      </c>
      <c r="G1112" s="55" t="s">
        <v>512</v>
      </c>
      <c r="J1112" s="55" t="str">
        <f t="shared" si="67"/>
        <v>CUT114</v>
      </c>
    </row>
    <row r="1113" spans="1:10" hidden="1">
      <c r="A1113" s="79" t="s">
        <v>450</v>
      </c>
      <c r="B1113" s="84"/>
      <c r="C1113" s="1788" t="s">
        <v>3574</v>
      </c>
      <c r="D1113" s="80" t="s">
        <v>2566</v>
      </c>
      <c r="E1113" s="2275" t="str">
        <f t="shared" si="65"/>
        <v>CU</v>
      </c>
      <c r="F1113" s="55">
        <v>50</v>
      </c>
      <c r="G1113" s="55" t="s">
        <v>512</v>
      </c>
      <c r="J1113" s="55" t="str">
        <f t="shared" si="67"/>
        <v>CUT140t</v>
      </c>
    </row>
    <row r="1114" spans="1:10" hidden="1">
      <c r="A1114" s="79" t="s">
        <v>473</v>
      </c>
      <c r="B1114" s="84"/>
      <c r="C1114" s="1788" t="s">
        <v>3575</v>
      </c>
      <c r="D1114" s="80" t="s">
        <v>2566</v>
      </c>
      <c r="E1114" s="2275" t="str">
        <f t="shared" si="65"/>
        <v>CU</v>
      </c>
      <c r="F1114" s="55">
        <v>50</v>
      </c>
      <c r="G1114" s="55" t="s">
        <v>512</v>
      </c>
      <c r="J1114" s="55" t="str">
        <f t="shared" si="67"/>
        <v>CUT140</v>
      </c>
    </row>
    <row r="1115" spans="1:10" hidden="1">
      <c r="A1115" s="79" t="s">
        <v>1276</v>
      </c>
      <c r="B1115" s="84"/>
      <c r="C1115" s="1788" t="s">
        <v>3576</v>
      </c>
      <c r="D1115" s="80" t="s">
        <v>2566</v>
      </c>
      <c r="E1115" s="2275" t="str">
        <f t="shared" si="65"/>
        <v>CU</v>
      </c>
      <c r="F1115" s="55">
        <v>50</v>
      </c>
      <c r="G1115" s="55" t="s">
        <v>512</v>
      </c>
      <c r="J1115" s="55" t="str">
        <f t="shared" si="67"/>
        <v>CUT168</v>
      </c>
    </row>
    <row r="1116" spans="1:10" hidden="1">
      <c r="A1116" s="79" t="s">
        <v>690</v>
      </c>
      <c r="B1116" s="1810"/>
      <c r="C1116" s="1788" t="s">
        <v>4484</v>
      </c>
      <c r="D1116" s="80" t="s">
        <v>2566</v>
      </c>
      <c r="E1116" s="2275" t="str">
        <f t="shared" ref="E1116" si="69">LEFT(A1116,2)</f>
        <v>NP</v>
      </c>
      <c r="F1116" s="55">
        <v>50</v>
      </c>
      <c r="G1116" s="55" t="s">
        <v>512</v>
      </c>
      <c r="J1116" s="55" t="str">
        <f t="shared" si="67"/>
        <v>NPVC114</v>
      </c>
    </row>
    <row r="1117" spans="1:10" hidden="1">
      <c r="A1117" s="79" t="s">
        <v>1412</v>
      </c>
      <c r="B1117" s="1810"/>
      <c r="C1117" s="1788" t="s">
        <v>3577</v>
      </c>
      <c r="D1117" s="80" t="s">
        <v>2566</v>
      </c>
      <c r="E1117" s="2275" t="str">
        <f t="shared" si="65"/>
        <v>NP</v>
      </c>
      <c r="F1117" s="55">
        <v>50</v>
      </c>
      <c r="G1117" s="55" t="s">
        <v>512</v>
      </c>
      <c r="J1117" s="55" t="str">
        <f t="shared" si="67"/>
        <v>NPVC140</v>
      </c>
    </row>
    <row r="1118" spans="1:10" hidden="1">
      <c r="A1118" s="79" t="s">
        <v>4376</v>
      </c>
      <c r="B1118" s="1810"/>
      <c r="C1118" s="1788" t="s">
        <v>4377</v>
      </c>
      <c r="D1118" s="80" t="s">
        <v>2566</v>
      </c>
      <c r="E1118" s="2275" t="str">
        <f t="shared" si="65"/>
        <v>NP</v>
      </c>
      <c r="F1118" s="55">
        <v>50</v>
      </c>
      <c r="G1118" s="55" t="s">
        <v>512</v>
      </c>
      <c r="J1118" s="55" t="str">
        <f t="shared" si="67"/>
        <v>NPVC114-90</v>
      </c>
    </row>
    <row r="1119" spans="1:10" hidden="1">
      <c r="A1119" s="79" t="s">
        <v>727</v>
      </c>
      <c r="B1119" s="1810"/>
      <c r="C1119" s="1788" t="s">
        <v>3578</v>
      </c>
      <c r="D1119" s="80" t="s">
        <v>2566</v>
      </c>
      <c r="E1119" s="2275" t="str">
        <f t="shared" si="65"/>
        <v>NP</v>
      </c>
      <c r="F1119" s="55">
        <v>50</v>
      </c>
      <c r="G1119" s="55" t="s">
        <v>512</v>
      </c>
      <c r="J1119" s="55" t="str">
        <f t="shared" si="67"/>
        <v>NPVC90</v>
      </c>
    </row>
    <row r="1120" spans="1:10" hidden="1">
      <c r="A1120" s="79" t="s">
        <v>1919</v>
      </c>
      <c r="B1120" s="1810"/>
      <c r="C1120" s="1788" t="s">
        <v>3579</v>
      </c>
      <c r="D1120" s="80" t="s">
        <v>2566</v>
      </c>
      <c r="E1120" s="2275" t="str">
        <f t="shared" si="65"/>
        <v>NP</v>
      </c>
      <c r="F1120" s="55">
        <v>50</v>
      </c>
      <c r="G1120" s="55" t="s">
        <v>512</v>
      </c>
      <c r="J1120" s="55" t="str">
        <f t="shared" si="67"/>
        <v>NPVC42</v>
      </c>
    </row>
    <row r="1121" spans="1:10" hidden="1">
      <c r="A1121" s="79" t="s">
        <v>2280</v>
      </c>
      <c r="B1121" s="1810"/>
      <c r="C1121" s="1788" t="s">
        <v>3580</v>
      </c>
      <c r="D1121" s="80" t="s">
        <v>2566</v>
      </c>
      <c r="E1121" s="2275" t="str">
        <f t="shared" si="65"/>
        <v>NP</v>
      </c>
      <c r="F1121" s="55">
        <v>50</v>
      </c>
      <c r="G1121" s="55" t="s">
        <v>512</v>
      </c>
      <c r="J1121" s="55" t="str">
        <f t="shared" si="67"/>
        <v>NPVC21</v>
      </c>
    </row>
    <row r="1122" spans="1:10" hidden="1">
      <c r="A1122" s="79" t="s">
        <v>2281</v>
      </c>
      <c r="B1122" s="1810"/>
      <c r="C1122" s="1788" t="s">
        <v>3581</v>
      </c>
      <c r="D1122" s="80" t="s">
        <v>2566</v>
      </c>
      <c r="E1122" s="2275" t="str">
        <f t="shared" si="65"/>
        <v>NT</v>
      </c>
      <c r="F1122" s="55">
        <v>50</v>
      </c>
      <c r="G1122" s="55" t="s">
        <v>512</v>
      </c>
      <c r="J1122" s="55" t="str">
        <f t="shared" si="67"/>
        <v>NT42</v>
      </c>
    </row>
    <row r="1123" spans="1:10" hidden="1">
      <c r="A1123" s="79" t="s">
        <v>622</v>
      </c>
      <c r="B1123" s="84"/>
      <c r="C1123" s="81" t="s">
        <v>3582</v>
      </c>
      <c r="D1123" s="80" t="s">
        <v>2566</v>
      </c>
      <c r="E1123" s="2275" t="str">
        <f t="shared" si="65"/>
        <v>BA</v>
      </c>
      <c r="F1123" s="55">
        <v>50</v>
      </c>
      <c r="G1123" s="55" t="s">
        <v>512</v>
      </c>
      <c r="J1123" s="55" t="str">
        <f t="shared" si="67"/>
        <v>BAKE6200</v>
      </c>
    </row>
    <row r="1124" spans="1:10" hidden="1">
      <c r="A1124" s="79" t="s">
        <v>882</v>
      </c>
      <c r="B1124" s="1810"/>
      <c r="C1124" s="1788" t="s">
        <v>3583</v>
      </c>
      <c r="D1124" s="80" t="s">
        <v>2566</v>
      </c>
      <c r="E1124" s="2275" t="str">
        <f t="shared" si="65"/>
        <v>BA</v>
      </c>
      <c r="F1124" s="55">
        <v>50</v>
      </c>
      <c r="G1124" s="55" t="s">
        <v>512</v>
      </c>
      <c r="J1124" s="55" t="str">
        <f t="shared" si="67"/>
        <v>BAKE</v>
      </c>
    </row>
    <row r="1125" spans="1:10" hidden="1">
      <c r="A1125" s="79" t="s">
        <v>1920</v>
      </c>
      <c r="B1125" s="1810"/>
      <c r="C1125" s="1788" t="s">
        <v>3584</v>
      </c>
      <c r="D1125" s="80" t="s">
        <v>2566</v>
      </c>
      <c r="E1125" s="2275" t="str">
        <f t="shared" si="65"/>
        <v>BA</v>
      </c>
      <c r="F1125" s="55">
        <v>50</v>
      </c>
      <c r="G1125" s="55" t="s">
        <v>512</v>
      </c>
      <c r="J1125" s="55" t="str">
        <f t="shared" si="67"/>
        <v>BAKEDKDT</v>
      </c>
    </row>
    <row r="1126" spans="1:10" hidden="1">
      <c r="A1126" s="79" t="s">
        <v>59</v>
      </c>
      <c r="B1126" s="1810"/>
      <c r="C1126" s="1788" t="s">
        <v>3585</v>
      </c>
      <c r="D1126" s="80" t="s">
        <v>2566</v>
      </c>
      <c r="E1126" s="2275" t="str">
        <f t="shared" ref="E1126:E1196" si="70">LEFT(A1126,2)</f>
        <v>BA</v>
      </c>
      <c r="F1126" s="55">
        <v>50</v>
      </c>
      <c r="G1126" s="55" t="s">
        <v>512</v>
      </c>
      <c r="J1126" s="55" t="str">
        <f t="shared" si="67"/>
        <v>BAKETu</v>
      </c>
    </row>
    <row r="1127" spans="1:10" hidden="1">
      <c r="A1127" s="79" t="s">
        <v>243</v>
      </c>
      <c r="B1127" s="1810"/>
      <c r="C1127" s="1788" t="s">
        <v>3586</v>
      </c>
      <c r="D1127" s="80" t="s">
        <v>2566</v>
      </c>
      <c r="E1127" s="2275" t="str">
        <f t="shared" si="70"/>
        <v>BA</v>
      </c>
      <c r="F1127" s="55">
        <v>50</v>
      </c>
      <c r="G1127" s="55" t="s">
        <v>512</v>
      </c>
      <c r="J1127" s="55" t="str">
        <f t="shared" si="67"/>
        <v>BANGG</v>
      </c>
    </row>
    <row r="1128" spans="1:10" hidden="1">
      <c r="A1128" s="79" t="s">
        <v>1602</v>
      </c>
      <c r="B1128" s="1810"/>
      <c r="C1128" s="1788" t="s">
        <v>3587</v>
      </c>
      <c r="D1128" s="80" t="s">
        <v>2566</v>
      </c>
      <c r="E1128" s="2275" t="str">
        <f t="shared" si="70"/>
        <v>BA</v>
      </c>
      <c r="F1128" s="55">
        <v>50</v>
      </c>
      <c r="G1128" s="55" t="s">
        <v>512</v>
      </c>
      <c r="J1128" s="55" t="str">
        <f t="shared" si="67"/>
        <v>BANGNHUA</v>
      </c>
    </row>
    <row r="1129" spans="1:10" hidden="1">
      <c r="A1129" s="79" t="s">
        <v>672</v>
      </c>
      <c r="B1129" s="1810"/>
      <c r="C1129" s="1788" t="s">
        <v>3588</v>
      </c>
      <c r="D1129" s="80" t="s">
        <v>3589</v>
      </c>
      <c r="E1129" s="2275" t="str">
        <f t="shared" si="70"/>
        <v>BA</v>
      </c>
      <c r="F1129" s="55">
        <v>50</v>
      </c>
      <c r="G1129" s="55" t="s">
        <v>512</v>
      </c>
      <c r="J1129" s="55" t="str">
        <f t="shared" si="67"/>
        <v>BANGKEO</v>
      </c>
    </row>
    <row r="1130" spans="1:10" hidden="1">
      <c r="A1130" s="79" t="s">
        <v>372</v>
      </c>
      <c r="B1130" s="1810"/>
      <c r="C1130" s="1788" t="s">
        <v>373</v>
      </c>
      <c r="D1130" s="80" t="s">
        <v>2566</v>
      </c>
      <c r="E1130" s="2275" t="str">
        <f t="shared" si="70"/>
        <v>BA</v>
      </c>
      <c r="F1130" s="55">
        <v>50</v>
      </c>
      <c r="G1130" s="55" t="s">
        <v>512</v>
      </c>
      <c r="J1130" s="55" t="str">
        <f t="shared" si="67"/>
        <v>BAKE16-200X200</v>
      </c>
    </row>
    <row r="1131" spans="1:10" hidden="1">
      <c r="A1131" s="79" t="s">
        <v>1181</v>
      </c>
      <c r="B1131" s="1813"/>
      <c r="C1131" s="1788" t="s">
        <v>3590</v>
      </c>
      <c r="D1131" s="80" t="s">
        <v>3591</v>
      </c>
      <c r="E1131" s="2275" t="str">
        <f t="shared" si="70"/>
        <v>KE</v>
      </c>
      <c r="F1131" s="55">
        <v>50</v>
      </c>
      <c r="G1131" s="55" t="s">
        <v>512</v>
      </c>
      <c r="J1131" s="55" t="str">
        <f t="shared" si="67"/>
        <v>KEOBIT</v>
      </c>
    </row>
    <row r="1132" spans="1:10" hidden="1">
      <c r="A1132" s="79" t="s">
        <v>1430</v>
      </c>
      <c r="B1132" s="1779"/>
      <c r="C1132" s="79" t="s">
        <v>3592</v>
      </c>
      <c r="D1132" s="80" t="s">
        <v>2256</v>
      </c>
      <c r="E1132" s="2275" t="str">
        <f t="shared" si="70"/>
        <v>KE</v>
      </c>
      <c r="F1132" s="55">
        <v>50</v>
      </c>
      <c r="G1132" s="55" t="s">
        <v>512</v>
      </c>
      <c r="J1132" s="55" t="str">
        <f t="shared" si="67"/>
        <v>KEM</v>
      </c>
    </row>
    <row r="1133" spans="1:10" hidden="1">
      <c r="A1133" s="79" t="s">
        <v>2043</v>
      </c>
      <c r="B1133" s="84"/>
      <c r="C1133" s="1788" t="s">
        <v>3593</v>
      </c>
      <c r="D1133" s="80" t="s">
        <v>3594</v>
      </c>
      <c r="E1133" s="2275" t="str">
        <f t="shared" si="70"/>
        <v>ke</v>
      </c>
      <c r="F1133" s="55">
        <v>50</v>
      </c>
      <c r="G1133" s="55" t="s">
        <v>512</v>
      </c>
      <c r="J1133" s="55" t="str">
        <f t="shared" si="67"/>
        <v>keodan</v>
      </c>
    </row>
    <row r="1134" spans="1:10" hidden="1">
      <c r="A1134" s="79" t="s">
        <v>728</v>
      </c>
      <c r="B1134" s="84"/>
      <c r="C1134" s="1788" t="s">
        <v>3595</v>
      </c>
      <c r="D1134" s="80" t="s">
        <v>388</v>
      </c>
      <c r="E1134" s="2275" t="str">
        <f t="shared" si="70"/>
        <v>KE</v>
      </c>
      <c r="F1134" s="55">
        <v>50</v>
      </c>
      <c r="G1134" s="55" t="s">
        <v>512</v>
      </c>
      <c r="J1134" s="55" t="str">
        <f t="shared" si="67"/>
        <v>KEO</v>
      </c>
    </row>
    <row r="1135" spans="1:10" hidden="1">
      <c r="A1135" s="79" t="s">
        <v>2128</v>
      </c>
      <c r="B1135" s="1813"/>
      <c r="C1135" s="1788" t="s">
        <v>3596</v>
      </c>
      <c r="D1135" s="80" t="s">
        <v>2566</v>
      </c>
      <c r="E1135" s="2275" t="str">
        <f t="shared" si="70"/>
        <v>KV</v>
      </c>
      <c r="F1135" s="55">
        <v>50</v>
      </c>
      <c r="G1135" s="55" t="s">
        <v>512</v>
      </c>
      <c r="J1135" s="55" t="str">
        <f t="shared" si="67"/>
        <v>KVRT42</v>
      </c>
    </row>
    <row r="1136" spans="1:10" hidden="1">
      <c r="A1136" s="79" t="s">
        <v>933</v>
      </c>
      <c r="B1136" s="1813"/>
      <c r="C1136" s="1788" t="s">
        <v>3597</v>
      </c>
      <c r="D1136" s="80" t="s">
        <v>2566</v>
      </c>
      <c r="E1136" s="2275" t="str">
        <f t="shared" si="70"/>
        <v>KV</v>
      </c>
      <c r="F1136" s="55">
        <v>50</v>
      </c>
      <c r="G1136" s="55" t="s">
        <v>512</v>
      </c>
      <c r="J1136" s="55" t="str">
        <f t="shared" si="67"/>
        <v>KVRT90</v>
      </c>
    </row>
    <row r="1137" spans="1:10" hidden="1">
      <c r="A1137" s="79" t="s">
        <v>1970</v>
      </c>
      <c r="B1137" s="1813"/>
      <c r="C1137" s="1788" t="s">
        <v>3598</v>
      </c>
      <c r="D1137" s="80" t="s">
        <v>2566</v>
      </c>
      <c r="E1137" s="2275" t="str">
        <f t="shared" si="70"/>
        <v>KV</v>
      </c>
      <c r="F1137" s="55">
        <v>50</v>
      </c>
      <c r="G1137" s="55" t="s">
        <v>512</v>
      </c>
      <c r="J1137" s="55" t="str">
        <f t="shared" si="67"/>
        <v>KVRT114</v>
      </c>
    </row>
    <row r="1138" spans="1:10" hidden="1">
      <c r="A1138" s="79" t="s">
        <v>1504</v>
      </c>
      <c r="B1138" s="1813"/>
      <c r="C1138" s="1788" t="s">
        <v>3599</v>
      </c>
      <c r="D1138" s="80" t="s">
        <v>2566</v>
      </c>
      <c r="E1138" s="2275" t="str">
        <f t="shared" si="70"/>
        <v>KV</v>
      </c>
      <c r="F1138" s="55">
        <v>50</v>
      </c>
      <c r="G1138" s="55" t="s">
        <v>512</v>
      </c>
      <c r="J1138" s="55" t="str">
        <f t="shared" si="67"/>
        <v>KVRT140</v>
      </c>
    </row>
    <row r="1139" spans="1:10" hidden="1">
      <c r="A1139" s="79" t="s">
        <v>961</v>
      </c>
      <c r="B1139" s="1813"/>
      <c r="C1139" s="1788" t="s">
        <v>3600</v>
      </c>
      <c r="D1139" s="80" t="s">
        <v>2566</v>
      </c>
      <c r="E1139" s="2275" t="str">
        <f t="shared" si="70"/>
        <v>KV</v>
      </c>
      <c r="F1139" s="55">
        <v>50</v>
      </c>
      <c r="G1139" s="55" t="s">
        <v>512</v>
      </c>
      <c r="J1139" s="55" t="str">
        <f t="shared" si="67"/>
        <v>KVRN42</v>
      </c>
    </row>
    <row r="1140" spans="1:10" hidden="1">
      <c r="A1140" s="79" t="s">
        <v>932</v>
      </c>
      <c r="B1140" s="1813"/>
      <c r="C1140" s="1788" t="s">
        <v>3601</v>
      </c>
      <c r="D1140" s="80" t="s">
        <v>2566</v>
      </c>
      <c r="E1140" s="2275" t="str">
        <f t="shared" si="70"/>
        <v>KV</v>
      </c>
      <c r="F1140" s="55">
        <v>50</v>
      </c>
      <c r="G1140" s="55" t="s">
        <v>512</v>
      </c>
      <c r="J1140" s="55" t="str">
        <f t="shared" si="67"/>
        <v>KVRN90</v>
      </c>
    </row>
    <row r="1141" spans="1:10" hidden="1">
      <c r="A1141" s="79" t="s">
        <v>1971</v>
      </c>
      <c r="B1141" s="1813"/>
      <c r="C1141" s="1788" t="s">
        <v>3602</v>
      </c>
      <c r="D1141" s="80" t="s">
        <v>2566</v>
      </c>
      <c r="E1141" s="2275" t="str">
        <f t="shared" si="70"/>
        <v>KV</v>
      </c>
      <c r="F1141" s="55">
        <v>50</v>
      </c>
      <c r="G1141" s="55" t="s">
        <v>512</v>
      </c>
      <c r="J1141" s="55" t="str">
        <f t="shared" si="67"/>
        <v>KVRN114</v>
      </c>
    </row>
    <row r="1142" spans="1:10" hidden="1">
      <c r="A1142" s="79" t="s">
        <v>1890</v>
      </c>
      <c r="B1142" s="1813"/>
      <c r="C1142" s="1788" t="s">
        <v>3603</v>
      </c>
      <c r="D1142" s="80" t="s">
        <v>2566</v>
      </c>
      <c r="E1142" s="2275" t="str">
        <f t="shared" si="70"/>
        <v>KV</v>
      </c>
      <c r="F1142" s="55">
        <v>50</v>
      </c>
      <c r="G1142" s="55" t="s">
        <v>512</v>
      </c>
      <c r="J1142" s="55" t="str">
        <f t="shared" si="67"/>
        <v>KVRN140</v>
      </c>
    </row>
    <row r="1143" spans="1:10" hidden="1">
      <c r="A1143" s="79" t="s">
        <v>1038</v>
      </c>
      <c r="B1143" s="1814" t="s">
        <v>1460</v>
      </c>
      <c r="C1143" s="1788" t="s">
        <v>4782</v>
      </c>
      <c r="D1143" s="80" t="s">
        <v>2566</v>
      </c>
      <c r="E1143" s="2275" t="str">
        <f t="shared" si="70"/>
        <v>OX</v>
      </c>
      <c r="F1143" s="55">
        <v>50</v>
      </c>
      <c r="G1143" s="55" t="s">
        <v>512</v>
      </c>
      <c r="J1143" s="55" t="str">
        <f t="shared" si="67"/>
        <v>OXC1/0</v>
      </c>
    </row>
    <row r="1144" spans="1:10" hidden="1">
      <c r="A1144" s="79" t="s">
        <v>1039</v>
      </c>
      <c r="B1144" s="1814" t="s">
        <v>1460</v>
      </c>
      <c r="C1144" s="1788" t="s">
        <v>4783</v>
      </c>
      <c r="D1144" s="80" t="s">
        <v>2566</v>
      </c>
      <c r="E1144" s="2275" t="str">
        <f t="shared" si="70"/>
        <v>OX</v>
      </c>
      <c r="F1144" s="55">
        <v>50</v>
      </c>
      <c r="G1144" s="55" t="s">
        <v>512</v>
      </c>
      <c r="J1144" s="55" t="str">
        <f t="shared" si="67"/>
        <v>OXC2/0</v>
      </c>
    </row>
    <row r="1145" spans="1:10" hidden="1">
      <c r="A1145" s="79" t="s">
        <v>2129</v>
      </c>
      <c r="B1145" s="1814" t="s">
        <v>1460</v>
      </c>
      <c r="C1145" s="1788" t="s">
        <v>4784</v>
      </c>
      <c r="D1145" s="80" t="s">
        <v>2566</v>
      </c>
      <c r="E1145" s="2275" t="str">
        <f t="shared" si="70"/>
        <v>OX</v>
      </c>
      <c r="F1145" s="55">
        <v>50</v>
      </c>
      <c r="G1145" s="55" t="s">
        <v>512</v>
      </c>
      <c r="J1145" s="55" t="str">
        <f t="shared" si="67"/>
        <v>OXCth</v>
      </c>
    </row>
    <row r="1146" spans="1:10" hidden="1">
      <c r="A1146" s="79" t="s">
        <v>1475</v>
      </c>
      <c r="B1146" s="1814" t="s">
        <v>1460</v>
      </c>
      <c r="C1146" s="1788" t="s">
        <v>4785</v>
      </c>
      <c r="D1146" s="80" t="s">
        <v>2566</v>
      </c>
      <c r="E1146" s="2275" t="str">
        <f t="shared" si="70"/>
        <v>OX</v>
      </c>
      <c r="F1146" s="55">
        <v>50</v>
      </c>
      <c r="G1146" s="55" t="s">
        <v>512</v>
      </c>
      <c r="J1146" s="55" t="str">
        <f t="shared" si="67"/>
        <v>OXC11</v>
      </c>
    </row>
    <row r="1147" spans="1:10" hidden="1">
      <c r="A1147" s="79" t="s">
        <v>2264</v>
      </c>
      <c r="B1147" s="1814" t="s">
        <v>1460</v>
      </c>
      <c r="C1147" s="1788" t="s">
        <v>4786</v>
      </c>
      <c r="D1147" s="80" t="s">
        <v>2566</v>
      </c>
      <c r="E1147" s="2275" t="str">
        <f t="shared" si="70"/>
        <v>OX</v>
      </c>
      <c r="F1147" s="55">
        <v>50</v>
      </c>
      <c r="G1147" s="55" t="s">
        <v>512</v>
      </c>
      <c r="J1147" s="55" t="str">
        <f t="shared" si="67"/>
        <v>OXC22</v>
      </c>
    </row>
    <row r="1148" spans="1:10" hidden="1">
      <c r="A1148" s="79" t="s">
        <v>1064</v>
      </c>
      <c r="B1148" s="1810" t="s">
        <v>1460</v>
      </c>
      <c r="C1148" s="79" t="s">
        <v>4787</v>
      </c>
      <c r="D1148" s="80" t="s">
        <v>2566</v>
      </c>
      <c r="E1148" s="2275" t="str">
        <f t="shared" si="70"/>
        <v>OX</v>
      </c>
      <c r="F1148" s="55">
        <v>50</v>
      </c>
      <c r="G1148" s="55" t="s">
        <v>512</v>
      </c>
      <c r="J1148" s="55" t="str">
        <f t="shared" si="67"/>
        <v>OXC25</v>
      </c>
    </row>
    <row r="1149" spans="1:10" hidden="1">
      <c r="A1149" s="79" t="s">
        <v>1065</v>
      </c>
      <c r="B1149" s="1814" t="s">
        <v>1460</v>
      </c>
      <c r="C1149" s="1788" t="s">
        <v>4788</v>
      </c>
      <c r="D1149" s="80" t="s">
        <v>2566</v>
      </c>
      <c r="E1149" s="2275" t="str">
        <f t="shared" si="70"/>
        <v>OX</v>
      </c>
      <c r="F1149" s="55">
        <v>50</v>
      </c>
      <c r="G1149" s="55" t="s">
        <v>512</v>
      </c>
      <c r="J1149" s="55" t="str">
        <f t="shared" si="67"/>
        <v>OXC38</v>
      </c>
    </row>
    <row r="1150" spans="1:10" hidden="1">
      <c r="A1150" s="79" t="s">
        <v>1474</v>
      </c>
      <c r="B1150" s="1814" t="s">
        <v>1460</v>
      </c>
      <c r="C1150" s="1788" t="s">
        <v>4789</v>
      </c>
      <c r="D1150" s="80" t="s">
        <v>2566</v>
      </c>
      <c r="E1150" s="2275" t="str">
        <f t="shared" si="70"/>
        <v>OX</v>
      </c>
      <c r="F1150" s="55">
        <v>50</v>
      </c>
      <c r="G1150" s="55" t="s">
        <v>512</v>
      </c>
      <c r="J1150" s="55" t="str">
        <f t="shared" si="67"/>
        <v>OXC50</v>
      </c>
    </row>
    <row r="1151" spans="1:10" hidden="1">
      <c r="A1151" s="79" t="s">
        <v>1625</v>
      </c>
      <c r="B1151" s="1814" t="s">
        <v>1460</v>
      </c>
      <c r="C1151" s="1788" t="s">
        <v>4790</v>
      </c>
      <c r="D1151" s="80" t="s">
        <v>2566</v>
      </c>
      <c r="E1151" s="2275" t="str">
        <f t="shared" si="70"/>
        <v>OX</v>
      </c>
      <c r="F1151" s="55">
        <v>50</v>
      </c>
      <c r="G1151" s="55" t="s">
        <v>512</v>
      </c>
      <c r="J1151" s="55" t="str">
        <f t="shared" si="67"/>
        <v>OXC70</v>
      </c>
    </row>
    <row r="1152" spans="1:10" hidden="1">
      <c r="A1152" s="79" t="s">
        <v>689</v>
      </c>
      <c r="B1152" s="1814" t="s">
        <v>1460</v>
      </c>
      <c r="C1152" s="1788" t="s">
        <v>4791</v>
      </c>
      <c r="D1152" s="80" t="s">
        <v>2566</v>
      </c>
      <c r="E1152" s="2275" t="str">
        <f t="shared" si="70"/>
        <v>OX</v>
      </c>
      <c r="F1152" s="55">
        <v>50</v>
      </c>
      <c r="G1152" s="55" t="s">
        <v>512</v>
      </c>
      <c r="J1152" s="55" t="str">
        <f t="shared" si="67"/>
        <v>OXC95</v>
      </c>
    </row>
    <row r="1153" spans="1:10" hidden="1">
      <c r="A1153" s="79" t="s">
        <v>625</v>
      </c>
      <c r="B1153" s="1814" t="s">
        <v>1460</v>
      </c>
      <c r="C1153" s="1788" t="s">
        <v>4792</v>
      </c>
      <c r="D1153" s="80" t="s">
        <v>2566</v>
      </c>
      <c r="E1153" s="2275" t="str">
        <f t="shared" si="70"/>
        <v>OX</v>
      </c>
      <c r="F1153" s="55">
        <v>50</v>
      </c>
      <c r="G1153" s="55" t="s">
        <v>512</v>
      </c>
      <c r="J1153" s="55" t="str">
        <f t="shared" si="67"/>
        <v>OXC120</v>
      </c>
    </row>
    <row r="1154" spans="1:10" hidden="1">
      <c r="A1154" s="79" t="s">
        <v>1098</v>
      </c>
      <c r="B1154" s="1810" t="s">
        <v>1460</v>
      </c>
      <c r="C1154" s="79" t="s">
        <v>4793</v>
      </c>
      <c r="D1154" s="80" t="s">
        <v>2566</v>
      </c>
      <c r="E1154" s="2275" t="str">
        <f t="shared" si="70"/>
        <v>OX</v>
      </c>
      <c r="F1154" s="55">
        <v>50</v>
      </c>
      <c r="G1154" s="55" t="s">
        <v>512</v>
      </c>
      <c r="J1154" s="55" t="str">
        <f t="shared" si="67"/>
        <v>OXC150</v>
      </c>
    </row>
    <row r="1155" spans="1:10" hidden="1">
      <c r="A1155" s="79" t="s">
        <v>2116</v>
      </c>
      <c r="B1155" s="1810" t="s">
        <v>1460</v>
      </c>
      <c r="C1155" s="79" t="s">
        <v>4794</v>
      </c>
      <c r="D1155" s="80" t="s">
        <v>2566</v>
      </c>
      <c r="E1155" s="2275" t="str">
        <f t="shared" si="70"/>
        <v>OX</v>
      </c>
      <c r="F1155" s="55">
        <v>50</v>
      </c>
      <c r="G1155" s="55" t="s">
        <v>512</v>
      </c>
      <c r="J1155" s="55" t="str">
        <f t="shared" si="67"/>
        <v>OXC185</v>
      </c>
    </row>
    <row r="1156" spans="1:10" hidden="1">
      <c r="A1156" s="79" t="s">
        <v>487</v>
      </c>
      <c r="B1156" s="1810" t="s">
        <v>1460</v>
      </c>
      <c r="C1156" s="79" t="s">
        <v>4795</v>
      </c>
      <c r="D1156" s="80" t="s">
        <v>2566</v>
      </c>
      <c r="E1156" s="2275" t="str">
        <f t="shared" si="70"/>
        <v>OX</v>
      </c>
      <c r="F1156" s="55">
        <v>50</v>
      </c>
      <c r="G1156" s="55" t="s">
        <v>512</v>
      </c>
      <c r="J1156" s="55" t="str">
        <f t="shared" si="67"/>
        <v>OXC240</v>
      </c>
    </row>
    <row r="1157" spans="1:10" hidden="1">
      <c r="A1157" s="79" t="s">
        <v>2085</v>
      </c>
      <c r="B1157" s="84"/>
      <c r="C1157" s="1788" t="s">
        <v>3605</v>
      </c>
      <c r="D1157" s="80" t="s">
        <v>2566</v>
      </c>
      <c r="E1157" s="2275" t="str">
        <f t="shared" si="70"/>
        <v>KH</v>
      </c>
      <c r="F1157" s="55">
        <v>50</v>
      </c>
      <c r="G1157" s="55" t="s">
        <v>512</v>
      </c>
      <c r="J1157" s="55" t="str">
        <f t="shared" si="67"/>
        <v>KHOA</v>
      </c>
    </row>
    <row r="1158" spans="1:10" hidden="1">
      <c r="A1158" s="79" t="s">
        <v>438</v>
      </c>
      <c r="B1158" s="80"/>
      <c r="C1158" s="1787" t="s">
        <v>3606</v>
      </c>
      <c r="D1158" s="80" t="s">
        <v>858</v>
      </c>
      <c r="E1158" s="2275" t="str">
        <f t="shared" si="70"/>
        <v>ox</v>
      </c>
      <c r="F1158" s="55">
        <v>50</v>
      </c>
      <c r="G1158" s="55" t="s">
        <v>512</v>
      </c>
      <c r="J1158" s="55" t="str">
        <f t="shared" si="67"/>
        <v>oxy</v>
      </c>
    </row>
    <row r="1159" spans="1:10" hidden="1">
      <c r="A1159" s="79" t="s">
        <v>872</v>
      </c>
      <c r="B1159" s="80" t="s">
        <v>215</v>
      </c>
      <c r="C1159" s="81" t="s">
        <v>3607</v>
      </c>
      <c r="D1159" s="80" t="s">
        <v>3608</v>
      </c>
      <c r="E1159" s="2275" t="str">
        <f t="shared" si="70"/>
        <v>LC</v>
      </c>
      <c r="F1159" s="55">
        <v>50</v>
      </c>
      <c r="J1159" s="55" t="str">
        <f t="shared" si="67"/>
        <v>LCbh9</v>
      </c>
    </row>
    <row r="1160" spans="1:10" hidden="1">
      <c r="A1160" s="79" t="s">
        <v>1644</v>
      </c>
      <c r="B1160" s="80" t="s">
        <v>2100</v>
      </c>
      <c r="C1160" s="81" t="s">
        <v>3609</v>
      </c>
      <c r="D1160" s="80" t="s">
        <v>3608</v>
      </c>
      <c r="E1160" s="2275" t="str">
        <f t="shared" si="70"/>
        <v>LB</v>
      </c>
      <c r="F1160" s="55">
        <v>50</v>
      </c>
      <c r="J1160" s="55" t="str">
        <f t="shared" si="67"/>
        <v>LBbh</v>
      </c>
    </row>
    <row r="1161" spans="1:10" hidden="1">
      <c r="A1161" s="79" t="s">
        <v>403</v>
      </c>
      <c r="B1161" s="80"/>
      <c r="C1161" s="81" t="s">
        <v>3610</v>
      </c>
      <c r="D1161" s="80" t="s">
        <v>3393</v>
      </c>
      <c r="E1161" s="2275" t="str">
        <f t="shared" si="70"/>
        <v>LT</v>
      </c>
      <c r="F1161" s="55">
        <v>50</v>
      </c>
      <c r="J1161" s="55" t="str">
        <f t="shared" si="67"/>
        <v>LTC</v>
      </c>
    </row>
    <row r="1162" spans="1:10" hidden="1">
      <c r="A1162" s="79" t="s">
        <v>1645</v>
      </c>
      <c r="B1162" s="1810" t="s">
        <v>1149</v>
      </c>
      <c r="C1162" s="81" t="s">
        <v>3611</v>
      </c>
      <c r="D1162" s="80" t="s">
        <v>1966</v>
      </c>
      <c r="E1162" s="2275" t="str">
        <f t="shared" si="70"/>
        <v>So</v>
      </c>
      <c r="F1162" s="55">
        <v>50</v>
      </c>
      <c r="J1162" s="55" t="str">
        <f t="shared" ref="J1162:J1225" si="71">A1162</f>
        <v>SonCBH</v>
      </c>
    </row>
    <row r="1163" spans="1:10" hidden="1">
      <c r="A1163" s="79" t="s">
        <v>311</v>
      </c>
      <c r="B1163" s="1810" t="s">
        <v>1149</v>
      </c>
      <c r="C1163" s="81" t="s">
        <v>3612</v>
      </c>
      <c r="D1163" s="80" t="s">
        <v>1966</v>
      </c>
      <c r="E1163" s="2275" t="str">
        <f t="shared" si="70"/>
        <v>So</v>
      </c>
      <c r="F1163" s="55">
        <v>50</v>
      </c>
      <c r="J1163" s="55" t="str">
        <f t="shared" si="71"/>
        <v>SonBBH</v>
      </c>
    </row>
    <row r="1164" spans="1:10" hidden="1">
      <c r="A1164" s="79" t="s">
        <v>1646</v>
      </c>
      <c r="B1164" s="1809" t="s">
        <v>1150</v>
      </c>
      <c r="C1164" s="81" t="s">
        <v>3613</v>
      </c>
      <c r="D1164" s="80" t="s">
        <v>3608</v>
      </c>
      <c r="E1164" s="2275" t="str">
        <f t="shared" si="70"/>
        <v>VC</v>
      </c>
      <c r="F1164" s="55">
        <v>2000</v>
      </c>
      <c r="J1164" s="55" t="str">
        <f t="shared" si="71"/>
        <v>VCT</v>
      </c>
    </row>
    <row r="1165" spans="1:10" hidden="1">
      <c r="A1165" s="79" t="s">
        <v>1138</v>
      </c>
      <c r="B1165" s="1809" t="s">
        <v>694</v>
      </c>
      <c r="C1165" s="81" t="s">
        <v>4490</v>
      </c>
      <c r="D1165" s="80" t="s">
        <v>2566</v>
      </c>
      <c r="E1165" s="2275" t="str">
        <f t="shared" si="70"/>
        <v>U1</v>
      </c>
      <c r="F1165" s="55">
        <v>50</v>
      </c>
      <c r="G1165" s="55" t="s">
        <v>512</v>
      </c>
      <c r="J1165" s="55" t="str">
        <f t="shared" si="71"/>
        <v>U16-280</v>
      </c>
    </row>
    <row r="1166" spans="1:10" hidden="1">
      <c r="A1166" s="79" t="s">
        <v>1413</v>
      </c>
      <c r="B1166" s="1809" t="s">
        <v>694</v>
      </c>
      <c r="C1166" s="81" t="s">
        <v>4491</v>
      </c>
      <c r="D1166" s="80" t="s">
        <v>2566</v>
      </c>
      <c r="E1166" s="2275" t="str">
        <f t="shared" si="70"/>
        <v>U2</v>
      </c>
      <c r="F1166" s="55">
        <v>50</v>
      </c>
      <c r="G1166" s="55" t="s">
        <v>512</v>
      </c>
      <c r="J1166" s="55" t="str">
        <f t="shared" si="71"/>
        <v>U20-280</v>
      </c>
    </row>
    <row r="1167" spans="1:10" hidden="1">
      <c r="A1167" s="79" t="s">
        <v>1140</v>
      </c>
      <c r="B1167" s="1809" t="s">
        <v>693</v>
      </c>
      <c r="C1167" s="81" t="s">
        <v>3614</v>
      </c>
      <c r="D1167" s="80" t="s">
        <v>2566</v>
      </c>
      <c r="E1167" s="2275" t="str">
        <f t="shared" si="70"/>
        <v>U1</v>
      </c>
      <c r="F1167" s="55">
        <v>50</v>
      </c>
      <c r="G1167" s="55" t="s">
        <v>512</v>
      </c>
      <c r="J1167" s="55" t="str">
        <f t="shared" si="71"/>
        <v>U1008</v>
      </c>
    </row>
    <row r="1168" spans="1:10" hidden="1">
      <c r="A1168" s="79" t="s">
        <v>1431</v>
      </c>
      <c r="B1168" s="1809" t="s">
        <v>2158</v>
      </c>
      <c r="C1168" s="81" t="s">
        <v>3615</v>
      </c>
      <c r="D1168" s="80" t="s">
        <v>2256</v>
      </c>
      <c r="E1168" s="2275" t="str">
        <f t="shared" si="70"/>
        <v>U8</v>
      </c>
      <c r="F1168" s="55">
        <v>50</v>
      </c>
      <c r="G1168" s="55" t="s">
        <v>512</v>
      </c>
      <c r="J1168" s="55" t="str">
        <f t="shared" si="71"/>
        <v>U8034</v>
      </c>
    </row>
    <row r="1169" spans="1:10" hidden="1">
      <c r="A1169" s="79" t="s">
        <v>1139</v>
      </c>
      <c r="B1169" s="1809" t="s">
        <v>693</v>
      </c>
      <c r="C1169" s="81" t="s">
        <v>3616</v>
      </c>
      <c r="D1169" s="80" t="s">
        <v>2566</v>
      </c>
      <c r="E1169" s="2275" t="str">
        <f t="shared" si="70"/>
        <v>U1</v>
      </c>
      <c r="F1169" s="55">
        <v>50</v>
      </c>
      <c r="G1169" s="55" t="s">
        <v>512</v>
      </c>
      <c r="J1169" s="55" t="str">
        <f t="shared" si="71"/>
        <v>U1004</v>
      </c>
    </row>
    <row r="1170" spans="1:10" hidden="1">
      <c r="A1170" s="2273" t="str">
        <f>"U100-"&amp;H1170</f>
        <v>U100-500</v>
      </c>
      <c r="B1170" s="2276"/>
      <c r="C1170" s="2277" t="str">
        <f>"Đà U100x46x4.5x"&amp;H1170</f>
        <v>Đà U100x46x4.5x500</v>
      </c>
      <c r="D1170" s="80" t="s">
        <v>2566</v>
      </c>
      <c r="E1170" s="2275" t="str">
        <f t="shared" ref="E1170:E1175" si="72">LEFT(A1170,2)</f>
        <v>U1</v>
      </c>
      <c r="F1170" s="55">
        <v>50</v>
      </c>
      <c r="G1170" s="55" t="s">
        <v>512</v>
      </c>
      <c r="H1170" s="55">
        <v>500</v>
      </c>
      <c r="J1170" s="55" t="str">
        <f t="shared" si="71"/>
        <v>U100-500</v>
      </c>
    </row>
    <row r="1171" spans="1:10" hidden="1">
      <c r="A1171" s="2273" t="str">
        <f>"U100-"&amp;H1171</f>
        <v>U100-700</v>
      </c>
      <c r="B1171" s="2276"/>
      <c r="C1171" s="2277" t="str">
        <f>"Đà U100x46x4.5x"&amp;H1171</f>
        <v>Đà U100x46x4.5x700</v>
      </c>
      <c r="D1171" s="80" t="s">
        <v>2566</v>
      </c>
      <c r="E1171" s="2275" t="str">
        <f t="shared" si="72"/>
        <v>U1</v>
      </c>
      <c r="F1171" s="55">
        <v>50</v>
      </c>
      <c r="G1171" s="55" t="s">
        <v>512</v>
      </c>
      <c r="H1171" s="55">
        <v>700</v>
      </c>
      <c r="J1171" s="55" t="str">
        <f t="shared" si="71"/>
        <v>U100-700</v>
      </c>
    </row>
    <row r="1172" spans="1:10" hidden="1">
      <c r="A1172" s="2273" t="str">
        <f t="shared" ref="A1172:A1175" si="73">"U160-"&amp;H1172</f>
        <v>U160-740</v>
      </c>
      <c r="B1172" s="2276"/>
      <c r="C1172" s="2277" t="str">
        <f t="shared" ref="C1172:C1175" si="74">"Đà U100x68x5x"&amp;H1172</f>
        <v>Đà U100x68x5x740</v>
      </c>
      <c r="D1172" s="80" t="s">
        <v>2566</v>
      </c>
      <c r="E1172" s="2275" t="str">
        <f t="shared" si="72"/>
        <v>U1</v>
      </c>
      <c r="F1172" s="55">
        <v>50</v>
      </c>
      <c r="G1172" s="55" t="s">
        <v>512</v>
      </c>
      <c r="H1172" s="55">
        <v>740</v>
      </c>
      <c r="J1172" s="55" t="str">
        <f t="shared" si="71"/>
        <v>U160-740</v>
      </c>
    </row>
    <row r="1173" spans="1:10" hidden="1">
      <c r="A1173" s="2273" t="str">
        <f t="shared" si="73"/>
        <v>U160-1100</v>
      </c>
      <c r="B1173" s="2276"/>
      <c r="C1173" s="2277" t="str">
        <f t="shared" si="74"/>
        <v>Đà U100x68x5x1100</v>
      </c>
      <c r="D1173" s="80" t="s">
        <v>2566</v>
      </c>
      <c r="E1173" s="2275" t="str">
        <f t="shared" si="72"/>
        <v>U1</v>
      </c>
      <c r="F1173" s="55">
        <v>50</v>
      </c>
      <c r="G1173" s="55" t="s">
        <v>512</v>
      </c>
      <c r="H1173" s="55">
        <v>1100</v>
      </c>
      <c r="J1173" s="55" t="str">
        <f t="shared" si="71"/>
        <v>U160-1100</v>
      </c>
    </row>
    <row r="1174" spans="1:10" hidden="1">
      <c r="A1174" s="2273" t="str">
        <f t="shared" si="73"/>
        <v>U160-1449</v>
      </c>
      <c r="B1174" s="2276"/>
      <c r="C1174" s="2277" t="str">
        <f t="shared" si="74"/>
        <v>Đà U100x68x5x1449</v>
      </c>
      <c r="D1174" s="80" t="s">
        <v>2566</v>
      </c>
      <c r="E1174" s="2275" t="str">
        <f t="shared" si="72"/>
        <v>U1</v>
      </c>
      <c r="F1174" s="55">
        <v>50</v>
      </c>
      <c r="G1174" s="55" t="s">
        <v>512</v>
      </c>
      <c r="H1174" s="55">
        <v>1449</v>
      </c>
      <c r="J1174" s="55" t="str">
        <f t="shared" si="71"/>
        <v>U160-1449</v>
      </c>
    </row>
    <row r="1175" spans="1:10" hidden="1">
      <c r="A1175" s="2273" t="str">
        <f t="shared" si="73"/>
        <v>U160-1700</v>
      </c>
      <c r="B1175" s="2276"/>
      <c r="C1175" s="2277" t="str">
        <f t="shared" si="74"/>
        <v>Đà U100x68x5x1700</v>
      </c>
      <c r="D1175" s="80" t="s">
        <v>2566</v>
      </c>
      <c r="E1175" s="2275" t="str">
        <f t="shared" si="72"/>
        <v>U1</v>
      </c>
      <c r="F1175" s="55">
        <v>50</v>
      </c>
      <c r="G1175" s="55" t="s">
        <v>512</v>
      </c>
      <c r="H1175" s="55">
        <v>1700</v>
      </c>
      <c r="J1175" s="55" t="str">
        <f t="shared" si="71"/>
        <v>U160-1700</v>
      </c>
    </row>
    <row r="1176" spans="1:10" hidden="1">
      <c r="A1176" s="2273" t="str">
        <f>"U160-"&amp;H1176</f>
        <v>U160-2100</v>
      </c>
      <c r="B1176" s="2276"/>
      <c r="C1176" s="2277" t="str">
        <f>"Đà U100x68x5x"&amp;H1176</f>
        <v>Đà U100x68x5x2100</v>
      </c>
      <c r="D1176" s="80" t="s">
        <v>2566</v>
      </c>
      <c r="E1176" s="2275"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5" t="str">
        <f t="shared" si="70"/>
        <v>XA</v>
      </c>
      <c r="F1177" s="55">
        <v>50</v>
      </c>
      <c r="G1177" s="55" t="s">
        <v>512</v>
      </c>
      <c r="J1177" s="55" t="str">
        <f t="shared" si="71"/>
        <v>XATUTI</v>
      </c>
    </row>
    <row r="1178" spans="1:10" hidden="1">
      <c r="A1178" s="79" t="s">
        <v>199</v>
      </c>
      <c r="B1178" s="80"/>
      <c r="C1178" s="81" t="s">
        <v>3618</v>
      </c>
      <c r="D1178" s="80" t="s">
        <v>2394</v>
      </c>
      <c r="E1178" s="2275" t="str">
        <f t="shared" si="70"/>
        <v>AK</v>
      </c>
      <c r="F1178" s="55">
        <v>50</v>
      </c>
      <c r="G1178" s="55" t="s">
        <v>512</v>
      </c>
      <c r="J1178" s="55" t="str">
        <f t="shared" si="71"/>
        <v>AK1</v>
      </c>
    </row>
    <row r="1179" spans="1:10" hidden="1">
      <c r="A1179" s="79" t="s">
        <v>200</v>
      </c>
      <c r="B1179" s="80"/>
      <c r="C1179" s="81" t="s">
        <v>3619</v>
      </c>
      <c r="D1179" s="80" t="s">
        <v>2394</v>
      </c>
      <c r="E1179" s="2275" t="str">
        <f t="shared" si="70"/>
        <v>VK</v>
      </c>
      <c r="F1179" s="55">
        <v>50</v>
      </c>
      <c r="G1179" s="55" t="s">
        <v>512</v>
      </c>
      <c r="J1179" s="55" t="str">
        <f t="shared" si="71"/>
        <v>VK1</v>
      </c>
    </row>
    <row r="1180" spans="1:10" hidden="1">
      <c r="A1180" s="79" t="s">
        <v>2098</v>
      </c>
      <c r="B1180" s="80"/>
      <c r="C1180" s="81" t="s">
        <v>3620</v>
      </c>
      <c r="D1180" s="80" t="s">
        <v>2394</v>
      </c>
      <c r="E1180" s="2275" t="str">
        <f t="shared" si="70"/>
        <v>AV</v>
      </c>
      <c r="F1180" s="55">
        <v>50</v>
      </c>
      <c r="G1180" s="55" t="s">
        <v>512</v>
      </c>
      <c r="J1180" s="55" t="str">
        <f t="shared" si="71"/>
        <v>AVK1</v>
      </c>
    </row>
    <row r="1181" spans="1:10" hidden="1">
      <c r="A1181" s="79" t="s">
        <v>2189</v>
      </c>
      <c r="B1181" s="80"/>
      <c r="C1181" s="81" t="s">
        <v>3621</v>
      </c>
      <c r="D1181" s="80" t="s">
        <v>2394</v>
      </c>
      <c r="E1181" s="2275" t="str">
        <f t="shared" si="70"/>
        <v>AV</v>
      </c>
      <c r="F1181" s="55">
        <v>50</v>
      </c>
      <c r="G1181" s="55" t="s">
        <v>512</v>
      </c>
      <c r="J1181" s="55" t="str">
        <f t="shared" si="71"/>
        <v>AVK3</v>
      </c>
    </row>
    <row r="1182" spans="1:10" hidden="1">
      <c r="A1182" s="79" t="s">
        <v>1569</v>
      </c>
      <c r="B1182" s="80"/>
      <c r="C1182" s="1787" t="s">
        <v>3622</v>
      </c>
      <c r="D1182" s="80" t="s">
        <v>858</v>
      </c>
      <c r="E1182" s="2275" t="str">
        <f t="shared" si="70"/>
        <v>ax</v>
      </c>
      <c r="F1182" s="55">
        <v>50</v>
      </c>
      <c r="G1182" s="55" t="s">
        <v>512</v>
      </c>
      <c r="J1182" s="55" t="str">
        <f t="shared" si="71"/>
        <v>axetylen</v>
      </c>
    </row>
    <row r="1183" spans="1:10" hidden="1">
      <c r="A1183" s="1815" t="s">
        <v>901</v>
      </c>
      <c r="B1183" s="1810"/>
      <c r="C1183" s="79" t="s">
        <v>3623</v>
      </c>
      <c r="D1183" s="80" t="s">
        <v>2566</v>
      </c>
      <c r="E1183" s="2275" t="str">
        <f t="shared" si="70"/>
        <v>GI</v>
      </c>
      <c r="F1183" s="55">
        <v>50</v>
      </c>
      <c r="G1183" s="55" t="s">
        <v>512</v>
      </c>
      <c r="J1183" s="55" t="str">
        <f t="shared" si="71"/>
        <v>GIP11-11</v>
      </c>
    </row>
    <row r="1184" spans="1:10" hidden="1">
      <c r="A1184" s="1815" t="s">
        <v>2222</v>
      </c>
      <c r="B1184" s="1810"/>
      <c r="C1184" s="79" t="s">
        <v>3624</v>
      </c>
      <c r="D1184" s="80" t="s">
        <v>2566</v>
      </c>
      <c r="E1184" s="2275" t="str">
        <f t="shared" si="70"/>
        <v>GI</v>
      </c>
      <c r="F1184" s="55">
        <v>50</v>
      </c>
      <c r="G1184" s="55" t="s">
        <v>512</v>
      </c>
      <c r="J1184" s="55" t="str">
        <f t="shared" si="71"/>
        <v>GIP22-11</v>
      </c>
    </row>
    <row r="1185" spans="1:10" hidden="1">
      <c r="A1185" s="1815" t="s">
        <v>2221</v>
      </c>
      <c r="B1185" s="1810"/>
      <c r="C1185" s="79" t="s">
        <v>3625</v>
      </c>
      <c r="D1185" s="80" t="s">
        <v>2566</v>
      </c>
      <c r="E1185" s="2275" t="str">
        <f t="shared" si="70"/>
        <v>GI</v>
      </c>
      <c r="F1185" s="55">
        <v>50</v>
      </c>
      <c r="G1185" s="55" t="s">
        <v>512</v>
      </c>
      <c r="J1185" s="55" t="str">
        <f t="shared" si="71"/>
        <v>GIP22-22</v>
      </c>
    </row>
    <row r="1186" spans="1:10" hidden="1">
      <c r="A1186" s="1815" t="s">
        <v>1068</v>
      </c>
      <c r="B1186" s="1810"/>
      <c r="C1186" s="79" t="s">
        <v>3626</v>
      </c>
      <c r="D1186" s="80" t="s">
        <v>2566</v>
      </c>
      <c r="E1186" s="2275" t="str">
        <f t="shared" si="70"/>
        <v>GI</v>
      </c>
      <c r="F1186" s="55">
        <v>50</v>
      </c>
      <c r="G1186" s="55" t="s">
        <v>512</v>
      </c>
      <c r="J1186" s="55" t="str">
        <f t="shared" si="71"/>
        <v>GIP35-35</v>
      </c>
    </row>
    <row r="1187" spans="1:10" hidden="1">
      <c r="A1187" s="1815" t="s">
        <v>1444</v>
      </c>
      <c r="B1187" s="1810"/>
      <c r="C1187" s="79" t="s">
        <v>3627</v>
      </c>
      <c r="D1187" s="80" t="s">
        <v>2566</v>
      </c>
      <c r="E1187" s="2275" t="str">
        <f t="shared" si="70"/>
        <v>GI</v>
      </c>
      <c r="F1187" s="55">
        <v>50</v>
      </c>
      <c r="G1187" s="55" t="s">
        <v>512</v>
      </c>
      <c r="J1187" s="55" t="str">
        <f t="shared" si="71"/>
        <v>GIP50-25</v>
      </c>
    </row>
    <row r="1188" spans="1:10" hidden="1">
      <c r="A1188" s="1815" t="s">
        <v>2220</v>
      </c>
      <c r="B1188" s="1810"/>
      <c r="C1188" s="79" t="s">
        <v>3628</v>
      </c>
      <c r="D1188" s="80" t="s">
        <v>2566</v>
      </c>
      <c r="E1188" s="2275" t="str">
        <f t="shared" si="70"/>
        <v>GI</v>
      </c>
      <c r="F1188" s="55">
        <v>50</v>
      </c>
      <c r="G1188" s="55" t="s">
        <v>512</v>
      </c>
      <c r="J1188" s="55" t="str">
        <f t="shared" si="71"/>
        <v>GIP50-35</v>
      </c>
    </row>
    <row r="1189" spans="1:10" hidden="1">
      <c r="A1189" s="1815" t="s">
        <v>2209</v>
      </c>
      <c r="B1189" s="1810"/>
      <c r="C1189" s="79" t="s">
        <v>2395</v>
      </c>
      <c r="D1189" s="80" t="s">
        <v>2566</v>
      </c>
      <c r="E1189" s="2275" t="str">
        <f t="shared" si="70"/>
        <v>GI</v>
      </c>
      <c r="F1189" s="55">
        <v>50</v>
      </c>
      <c r="G1189" s="55" t="s">
        <v>512</v>
      </c>
      <c r="J1189" s="55" t="str">
        <f t="shared" si="71"/>
        <v>GIP70-35</v>
      </c>
    </row>
    <row r="1190" spans="1:10" hidden="1">
      <c r="A1190" s="1815" t="s">
        <v>4350</v>
      </c>
      <c r="B1190" s="1810"/>
      <c r="C1190" s="79" t="s">
        <v>4968</v>
      </c>
      <c r="D1190" s="80" t="s">
        <v>2566</v>
      </c>
      <c r="E1190" s="2275" t="str">
        <f t="shared" si="70"/>
        <v>GI</v>
      </c>
      <c r="F1190" s="55">
        <v>50</v>
      </c>
      <c r="G1190" s="55" t="s">
        <v>512</v>
      </c>
      <c r="J1190" s="55" t="str">
        <f t="shared" si="71"/>
        <v>GIP95-25</v>
      </c>
    </row>
    <row r="1191" spans="1:10" hidden="1">
      <c r="A1191" s="1815" t="s">
        <v>863</v>
      </c>
      <c r="B1191" s="1810"/>
      <c r="C1191" s="79" t="s">
        <v>3629</v>
      </c>
      <c r="D1191" s="80" t="s">
        <v>2566</v>
      </c>
      <c r="E1191" s="2275" t="str">
        <f t="shared" si="70"/>
        <v>GI</v>
      </c>
      <c r="F1191" s="55">
        <v>50</v>
      </c>
      <c r="G1191" s="55" t="s">
        <v>512</v>
      </c>
      <c r="J1191" s="55" t="str">
        <f t="shared" si="71"/>
        <v>GIP95-35</v>
      </c>
    </row>
    <row r="1192" spans="1:10" hidden="1">
      <c r="A1192" s="1815" t="s">
        <v>864</v>
      </c>
      <c r="B1192" s="1810"/>
      <c r="C1192" s="79" t="s">
        <v>3630</v>
      </c>
      <c r="D1192" s="80" t="s">
        <v>2566</v>
      </c>
      <c r="E1192" s="2275" t="str">
        <f t="shared" si="70"/>
        <v>GI</v>
      </c>
      <c r="F1192" s="55">
        <v>50</v>
      </c>
      <c r="G1192" s="55" t="s">
        <v>512</v>
      </c>
      <c r="J1192" s="55" t="str">
        <f t="shared" si="71"/>
        <v>GIP120-35</v>
      </c>
    </row>
    <row r="1193" spans="1:10" hidden="1">
      <c r="A1193" s="1815" t="s">
        <v>2029</v>
      </c>
      <c r="B1193" s="1810"/>
      <c r="C1193" s="79" t="s">
        <v>3631</v>
      </c>
      <c r="D1193" s="80" t="s">
        <v>2566</v>
      </c>
      <c r="E1193" s="2275" t="str">
        <f t="shared" si="70"/>
        <v>GI</v>
      </c>
      <c r="F1193" s="55">
        <v>50</v>
      </c>
      <c r="G1193" s="55" t="s">
        <v>512</v>
      </c>
      <c r="J1193" s="55" t="str">
        <f t="shared" si="71"/>
        <v>GIP50-50</v>
      </c>
    </row>
    <row r="1194" spans="1:10" hidden="1">
      <c r="A1194" s="1816" t="s">
        <v>2037</v>
      </c>
      <c r="B1194" s="1810"/>
      <c r="C1194" s="79" t="s">
        <v>3632</v>
      </c>
      <c r="D1194" s="80" t="s">
        <v>2566</v>
      </c>
      <c r="E1194" s="2275" t="str">
        <f t="shared" si="70"/>
        <v>GI</v>
      </c>
      <c r="F1194" s="55">
        <v>50</v>
      </c>
      <c r="G1194" s="55" t="s">
        <v>512</v>
      </c>
      <c r="J1194" s="55" t="str">
        <f t="shared" si="71"/>
        <v>GIP70-50</v>
      </c>
    </row>
    <row r="1195" spans="1:10" hidden="1">
      <c r="A1195" s="1816" t="s">
        <v>1156</v>
      </c>
      <c r="B1195" s="1810"/>
      <c r="C1195" s="79" t="s">
        <v>3633</v>
      </c>
      <c r="D1195" s="80" t="s">
        <v>2566</v>
      </c>
      <c r="E1195" s="2275" t="str">
        <f t="shared" si="70"/>
        <v>GI</v>
      </c>
      <c r="F1195" s="55">
        <v>50</v>
      </c>
      <c r="G1195" s="55" t="s">
        <v>512</v>
      </c>
      <c r="J1195" s="55" t="str">
        <f t="shared" si="71"/>
        <v>GIP95-50</v>
      </c>
    </row>
    <row r="1196" spans="1:10" hidden="1">
      <c r="A1196" s="1816" t="s">
        <v>1157</v>
      </c>
      <c r="B1196" s="1810"/>
      <c r="C1196" s="79" t="s">
        <v>3634</v>
      </c>
      <c r="D1196" s="80" t="s">
        <v>2566</v>
      </c>
      <c r="E1196" s="2275" t="str">
        <f t="shared" si="70"/>
        <v>GI</v>
      </c>
      <c r="F1196" s="55">
        <v>50</v>
      </c>
      <c r="G1196" s="55" t="s">
        <v>512</v>
      </c>
      <c r="J1196" s="55" t="str">
        <f t="shared" si="71"/>
        <v>GIP120-50</v>
      </c>
    </row>
    <row r="1197" spans="1:10" hidden="1">
      <c r="A1197" s="1816" t="s">
        <v>1352</v>
      </c>
      <c r="B1197" s="1810"/>
      <c r="C1197" s="79" t="s">
        <v>3635</v>
      </c>
      <c r="D1197" s="80" t="s">
        <v>2566</v>
      </c>
      <c r="E1197" s="2275" t="str">
        <f t="shared" ref="E1197:E1258" si="76">LEFT(A1197,2)</f>
        <v>GI</v>
      </c>
      <c r="F1197" s="55">
        <v>50</v>
      </c>
      <c r="G1197" s="55" t="s">
        <v>512</v>
      </c>
      <c r="J1197" s="55" t="str">
        <f t="shared" si="71"/>
        <v>GIP150-50</v>
      </c>
    </row>
    <row r="1198" spans="1:10" hidden="1">
      <c r="A1198" s="1815" t="s">
        <v>1111</v>
      </c>
      <c r="B1198" s="1810"/>
      <c r="C1198" s="79" t="s">
        <v>3636</v>
      </c>
      <c r="D1198" s="80" t="s">
        <v>2566</v>
      </c>
      <c r="E1198" s="2275" t="str">
        <f t="shared" si="76"/>
        <v>GI</v>
      </c>
      <c r="F1198" s="55">
        <v>50</v>
      </c>
      <c r="G1198" s="55" t="s">
        <v>512</v>
      </c>
      <c r="J1198" s="55" t="str">
        <f t="shared" si="71"/>
        <v>GIP70-70</v>
      </c>
    </row>
    <row r="1199" spans="1:10" hidden="1">
      <c r="A1199" s="1816" t="s">
        <v>2038</v>
      </c>
      <c r="B1199" s="1810"/>
      <c r="C1199" s="79" t="s">
        <v>3637</v>
      </c>
      <c r="D1199" s="80" t="s">
        <v>2566</v>
      </c>
      <c r="E1199" s="2275" t="str">
        <f t="shared" si="76"/>
        <v>GI</v>
      </c>
      <c r="F1199" s="55">
        <v>50</v>
      </c>
      <c r="G1199" s="55" t="s">
        <v>512</v>
      </c>
      <c r="J1199" s="55" t="str">
        <f t="shared" si="71"/>
        <v>GIP95-70</v>
      </c>
    </row>
    <row r="1200" spans="1:10" hidden="1">
      <c r="A1200" s="1815" t="s">
        <v>474</v>
      </c>
      <c r="B1200" s="1810"/>
      <c r="C1200" s="79" t="s">
        <v>3638</v>
      </c>
      <c r="D1200" s="80" t="s">
        <v>2566</v>
      </c>
      <c r="E1200" s="2275" t="str">
        <f t="shared" si="76"/>
        <v>GI</v>
      </c>
      <c r="F1200" s="55">
        <v>50</v>
      </c>
      <c r="G1200" s="55" t="s">
        <v>512</v>
      </c>
      <c r="J1200" s="55" t="str">
        <f t="shared" si="71"/>
        <v>GIP120-70</v>
      </c>
    </row>
    <row r="1201" spans="1:10" hidden="1">
      <c r="A1201" s="1815" t="s">
        <v>1350</v>
      </c>
      <c r="B1201" s="1810"/>
      <c r="C1201" s="79" t="s">
        <v>3639</v>
      </c>
      <c r="D1201" s="80" t="s">
        <v>2566</v>
      </c>
      <c r="E1201" s="2275" t="str">
        <f t="shared" si="76"/>
        <v>GI</v>
      </c>
      <c r="F1201" s="55">
        <v>50</v>
      </c>
      <c r="G1201" s="55" t="s">
        <v>512</v>
      </c>
      <c r="J1201" s="55" t="str">
        <f t="shared" si="71"/>
        <v>GIP150-70</v>
      </c>
    </row>
    <row r="1202" spans="1:10" hidden="1">
      <c r="A1202" s="1815" t="s">
        <v>1110</v>
      </c>
      <c r="B1202" s="1810"/>
      <c r="C1202" s="79" t="s">
        <v>3640</v>
      </c>
      <c r="D1202" s="80" t="s">
        <v>2566</v>
      </c>
      <c r="E1202" s="2275" t="str">
        <f t="shared" si="76"/>
        <v>GI</v>
      </c>
      <c r="F1202" s="55">
        <v>50</v>
      </c>
      <c r="G1202" s="55" t="s">
        <v>512</v>
      </c>
      <c r="J1202" s="55" t="str">
        <f t="shared" si="71"/>
        <v>GIP95-95</v>
      </c>
    </row>
    <row r="1203" spans="1:10" ht="14.25" hidden="1" customHeight="1">
      <c r="A1203" s="1816" t="s">
        <v>1155</v>
      </c>
      <c r="B1203" s="1810"/>
      <c r="C1203" s="79" t="s">
        <v>3641</v>
      </c>
      <c r="D1203" s="80" t="s">
        <v>2566</v>
      </c>
      <c r="E1203" s="2275" t="str">
        <f t="shared" si="76"/>
        <v>GI</v>
      </c>
      <c r="F1203" s="55">
        <v>50</v>
      </c>
      <c r="G1203" s="55" t="s">
        <v>512</v>
      </c>
      <c r="J1203" s="55" t="str">
        <f t="shared" si="71"/>
        <v>GIP95-120</v>
      </c>
    </row>
    <row r="1204" spans="1:10" ht="14.25" hidden="1" customHeight="1">
      <c r="A1204" s="1816" t="s">
        <v>1349</v>
      </c>
      <c r="B1204" s="1810"/>
      <c r="C1204" s="79" t="s">
        <v>3642</v>
      </c>
      <c r="D1204" s="80" t="s">
        <v>2566</v>
      </c>
      <c r="E1204" s="2275" t="str">
        <f t="shared" si="76"/>
        <v>GI</v>
      </c>
      <c r="F1204" s="55">
        <v>50</v>
      </c>
      <c r="G1204" s="55" t="s">
        <v>512</v>
      </c>
      <c r="J1204" s="55" t="str">
        <f t="shared" si="71"/>
        <v>GIP95-150</v>
      </c>
    </row>
    <row r="1205" spans="1:10" hidden="1">
      <c r="A1205" s="1784" t="s">
        <v>925</v>
      </c>
      <c r="B1205" s="84" t="s">
        <v>581</v>
      </c>
      <c r="C1205" s="79" t="s">
        <v>3643</v>
      </c>
      <c r="D1205" s="80" t="s">
        <v>2044</v>
      </c>
      <c r="E1205" s="2275" t="str">
        <f t="shared" si="76"/>
        <v>KQ</v>
      </c>
      <c r="F1205" s="55">
        <v>50</v>
      </c>
      <c r="J1205" s="55" t="str">
        <f t="shared" si="71"/>
        <v>KQDUPLEX35</v>
      </c>
    </row>
    <row r="1206" spans="1:10" hidden="1">
      <c r="A1206" s="1784" t="s">
        <v>1115</v>
      </c>
      <c r="B1206" s="84" t="s">
        <v>775</v>
      </c>
      <c r="C1206" s="79" t="s">
        <v>3644</v>
      </c>
      <c r="D1206" s="80" t="s">
        <v>2044</v>
      </c>
      <c r="E1206" s="2275" t="str">
        <f t="shared" si="76"/>
        <v>KQ</v>
      </c>
      <c r="F1206" s="55">
        <v>50</v>
      </c>
      <c r="J1206" s="55" t="str">
        <f t="shared" si="71"/>
        <v>KQDUPLEX22</v>
      </c>
    </row>
    <row r="1207" spans="1:10" hidden="1">
      <c r="A1207" s="1784" t="s">
        <v>2070</v>
      </c>
      <c r="B1207" s="84" t="s">
        <v>777</v>
      </c>
      <c r="C1207" s="79" t="s">
        <v>3645</v>
      </c>
      <c r="D1207" s="80" t="s">
        <v>2044</v>
      </c>
      <c r="E1207" s="2275" t="str">
        <f t="shared" si="76"/>
        <v>KQ</v>
      </c>
      <c r="F1207" s="55">
        <v>50</v>
      </c>
      <c r="J1207" s="55" t="str">
        <f t="shared" si="71"/>
        <v>KQDUPLEX16</v>
      </c>
    </row>
    <row r="1208" spans="1:10" hidden="1">
      <c r="A1208" s="1784" t="s">
        <v>776</v>
      </c>
      <c r="B1208" s="84" t="s">
        <v>777</v>
      </c>
      <c r="C1208" s="79" t="s">
        <v>3646</v>
      </c>
      <c r="D1208" s="80" t="s">
        <v>2044</v>
      </c>
      <c r="E1208" s="2275" t="str">
        <f t="shared" si="76"/>
        <v>KQ</v>
      </c>
      <c r="F1208" s="55">
        <v>50</v>
      </c>
      <c r="J1208" s="55" t="str">
        <f t="shared" si="71"/>
        <v>KQDUPLEX14</v>
      </c>
    </row>
    <row r="1209" spans="1:10" hidden="1">
      <c r="A1209" s="1784" t="s">
        <v>778</v>
      </c>
      <c r="B1209" s="84" t="s">
        <v>777</v>
      </c>
      <c r="C1209" s="79" t="s">
        <v>3647</v>
      </c>
      <c r="D1209" s="80" t="s">
        <v>2044</v>
      </c>
      <c r="E1209" s="2275" t="str">
        <f t="shared" si="76"/>
        <v>KQ</v>
      </c>
      <c r="F1209" s="55">
        <v>50</v>
      </c>
      <c r="J1209" s="55" t="str">
        <f t="shared" si="71"/>
        <v>KQDUPLEX11</v>
      </c>
    </row>
    <row r="1210" spans="1:10" hidden="1">
      <c r="A1210" s="1784" t="s">
        <v>737</v>
      </c>
      <c r="B1210" s="84" t="s">
        <v>777</v>
      </c>
      <c r="C1210" s="79" t="s">
        <v>3648</v>
      </c>
      <c r="D1210" s="80" t="s">
        <v>2044</v>
      </c>
      <c r="E1210" s="2275" t="str">
        <f t="shared" si="76"/>
        <v>KT</v>
      </c>
      <c r="F1210" s="55">
        <v>50</v>
      </c>
      <c r="J1210" s="55" t="str">
        <f t="shared" si="71"/>
        <v>KTriplex16</v>
      </c>
    </row>
    <row r="1211" spans="1:10" hidden="1">
      <c r="A1211" s="1784" t="s">
        <v>779</v>
      </c>
      <c r="B1211" s="84" t="s">
        <v>777</v>
      </c>
      <c r="C1211" s="79" t="s">
        <v>3649</v>
      </c>
      <c r="D1211" s="80" t="s">
        <v>2044</v>
      </c>
      <c r="E1211" s="2275" t="str">
        <f t="shared" si="76"/>
        <v>KD</v>
      </c>
      <c r="F1211" s="55">
        <v>50</v>
      </c>
      <c r="J1211" s="55" t="str">
        <f t="shared" si="71"/>
        <v>KDUPLEX11</v>
      </c>
    </row>
    <row r="1212" spans="1:10" hidden="1">
      <c r="A1212" s="79" t="s">
        <v>467</v>
      </c>
      <c r="B1212" s="1810"/>
      <c r="C1212" s="81" t="s">
        <v>3650</v>
      </c>
      <c r="D1212" s="80" t="s">
        <v>2566</v>
      </c>
      <c r="E1212" s="2275" t="str">
        <f t="shared" si="76"/>
        <v>Di</v>
      </c>
      <c r="F1212" s="55">
        <v>50</v>
      </c>
      <c r="G1212" s="55" t="s">
        <v>512</v>
      </c>
      <c r="J1212" s="55" t="str">
        <f t="shared" si="71"/>
        <v>Diabaohieu</v>
      </c>
    </row>
    <row r="1213" spans="1:10" hidden="1">
      <c r="A1213" s="79" t="s">
        <v>1425</v>
      </c>
      <c r="B1213" s="1810"/>
      <c r="C1213" s="81" t="s">
        <v>3651</v>
      </c>
      <c r="D1213" s="80" t="s">
        <v>2566</v>
      </c>
      <c r="E1213" s="2275" t="str">
        <f t="shared" si="76"/>
        <v>De</v>
      </c>
      <c r="F1213" s="55">
        <v>50</v>
      </c>
      <c r="G1213" s="55" t="s">
        <v>512</v>
      </c>
      <c r="J1213" s="55" t="str">
        <f t="shared" si="71"/>
        <v>Denbao</v>
      </c>
    </row>
    <row r="1214" spans="1:10" hidden="1">
      <c r="A1214" s="1798" t="s">
        <v>3652</v>
      </c>
      <c r="E1214" s="2275"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5" t="str">
        <f t="shared" si="76"/>
        <v>TU</v>
      </c>
      <c r="F1215" s="55">
        <v>50</v>
      </c>
      <c r="G1215" s="55" t="s">
        <v>512</v>
      </c>
      <c r="J1215" s="55" t="str">
        <f t="shared" si="71"/>
        <v>TUDKCS</v>
      </c>
    </row>
    <row r="1216" spans="1:10" hidden="1">
      <c r="A1216" s="79" t="s">
        <v>441</v>
      </c>
      <c r="B1216" s="84"/>
      <c r="C1216" s="81" t="s">
        <v>3653</v>
      </c>
      <c r="D1216" s="80" t="s">
        <v>2842</v>
      </c>
      <c r="E1216" s="2275" t="str">
        <f t="shared" si="76"/>
        <v>TR</v>
      </c>
      <c r="F1216" s="55">
        <v>2</v>
      </c>
      <c r="G1216" s="55" t="s">
        <v>512</v>
      </c>
      <c r="J1216" s="55" t="str">
        <f t="shared" si="71"/>
        <v>TRTHEP6</v>
      </c>
    </row>
    <row r="1217" spans="1:10" hidden="1">
      <c r="A1217" s="79" t="s">
        <v>387</v>
      </c>
      <c r="B1217" s="84"/>
      <c r="C1217" s="81" t="s">
        <v>3654</v>
      </c>
      <c r="D1217" s="80" t="s">
        <v>2842</v>
      </c>
      <c r="E1217" s="2275" t="str">
        <f t="shared" si="76"/>
        <v>TR</v>
      </c>
      <c r="F1217" s="55">
        <v>2</v>
      </c>
      <c r="G1217" s="55" t="s">
        <v>512</v>
      </c>
      <c r="J1217" s="55" t="str">
        <f t="shared" si="71"/>
        <v>TRTHEP7</v>
      </c>
    </row>
    <row r="1218" spans="1:10" hidden="1">
      <c r="A1218" s="79" t="s">
        <v>1366</v>
      </c>
      <c r="B1218" s="84" t="s">
        <v>220</v>
      </c>
      <c r="C1218" s="81" t="s">
        <v>3655</v>
      </c>
      <c r="D1218" s="80" t="s">
        <v>2566</v>
      </c>
      <c r="E1218" s="2275" t="str">
        <f t="shared" si="76"/>
        <v>D1</v>
      </c>
      <c r="F1218" s="55">
        <v>50</v>
      </c>
      <c r="G1218" s="55" t="s">
        <v>512</v>
      </c>
      <c r="J1218" s="55" t="str">
        <f t="shared" si="71"/>
        <v>D12 CS</v>
      </c>
    </row>
    <row r="1219" spans="1:10" ht="32.25" hidden="1" customHeight="1">
      <c r="A1219" s="79" t="s">
        <v>1251</v>
      </c>
      <c r="B1219" s="84"/>
      <c r="C1219" s="81" t="s">
        <v>3656</v>
      </c>
      <c r="D1219" s="80" t="s">
        <v>3657</v>
      </c>
      <c r="E1219" s="2275" t="str">
        <f t="shared" si="76"/>
        <v>CD</v>
      </c>
      <c r="F1219" s="55">
        <v>50</v>
      </c>
      <c r="G1219" s="55" t="s">
        <v>512</v>
      </c>
      <c r="J1219" s="55" t="str">
        <f t="shared" si="71"/>
        <v>CDDON</v>
      </c>
    </row>
    <row r="1220" spans="1:10" ht="32.25" hidden="1" customHeight="1">
      <c r="A1220" s="79" t="s">
        <v>1250</v>
      </c>
      <c r="B1220" s="84"/>
      <c r="C1220" s="81" t="s">
        <v>3658</v>
      </c>
      <c r="D1220" s="80" t="s">
        <v>3657</v>
      </c>
      <c r="E1220" s="2275" t="str">
        <f t="shared" si="76"/>
        <v>CD</v>
      </c>
      <c r="F1220" s="55">
        <v>50</v>
      </c>
      <c r="G1220" s="55" t="s">
        <v>512</v>
      </c>
      <c r="J1220" s="55" t="str">
        <f t="shared" si="71"/>
        <v>CDDOI</v>
      </c>
    </row>
    <row r="1221" spans="1:10" ht="32.25" hidden="1" customHeight="1">
      <c r="A1221" s="79" t="s">
        <v>2143</v>
      </c>
      <c r="B1221" s="84"/>
      <c r="C1221" s="81" t="s">
        <v>3659</v>
      </c>
      <c r="D1221" s="80" t="s">
        <v>3657</v>
      </c>
      <c r="E1221" s="2275" t="str">
        <f t="shared" si="76"/>
        <v>CD</v>
      </c>
      <c r="F1221" s="55">
        <v>50</v>
      </c>
      <c r="G1221" s="55" t="s">
        <v>512</v>
      </c>
      <c r="J1221" s="55" t="str">
        <f t="shared" si="71"/>
        <v>CD-Sonadezi</v>
      </c>
    </row>
    <row r="1222" spans="1:10" ht="30.75" hidden="1" customHeight="1">
      <c r="A1222" s="79" t="s">
        <v>841</v>
      </c>
      <c r="B1222" s="84"/>
      <c r="C1222" s="81" t="s">
        <v>3660</v>
      </c>
      <c r="D1222" s="80" t="s">
        <v>3657</v>
      </c>
      <c r="E1222" s="2275" t="str">
        <f t="shared" si="76"/>
        <v>CD</v>
      </c>
      <c r="F1222" s="55">
        <v>50</v>
      </c>
      <c r="G1222" s="55" t="s">
        <v>512</v>
      </c>
      <c r="J1222" s="55" t="str">
        <f t="shared" si="71"/>
        <v>CDDON+C</v>
      </c>
    </row>
    <row r="1223" spans="1:10" ht="32.25" hidden="1" customHeight="1">
      <c r="A1223" s="79" t="s">
        <v>842</v>
      </c>
      <c r="B1223" s="84"/>
      <c r="C1223" s="81" t="s">
        <v>3661</v>
      </c>
      <c r="D1223" s="80" t="s">
        <v>3657</v>
      </c>
      <c r="E1223" s="2275" t="str">
        <f t="shared" si="76"/>
        <v>CD</v>
      </c>
      <c r="F1223" s="55">
        <v>50</v>
      </c>
      <c r="G1223" s="55" t="s">
        <v>512</v>
      </c>
      <c r="J1223" s="55" t="str">
        <f t="shared" si="71"/>
        <v>CDDOI+C</v>
      </c>
    </row>
    <row r="1224" spans="1:10" hidden="1">
      <c r="A1224" s="79" t="s">
        <v>1172</v>
      </c>
      <c r="B1224" s="84"/>
      <c r="C1224" s="81" t="s">
        <v>3662</v>
      </c>
      <c r="D1224" s="80" t="s">
        <v>3657</v>
      </c>
      <c r="E1224" s="2275" t="str">
        <f t="shared" si="76"/>
        <v>CD</v>
      </c>
      <c r="F1224" s="55">
        <v>50</v>
      </c>
      <c r="G1224" s="55" t="s">
        <v>512</v>
      </c>
      <c r="J1224" s="55" t="str">
        <f t="shared" si="71"/>
        <v>CDBA</v>
      </c>
    </row>
    <row r="1225" spans="1:10" hidden="1">
      <c r="A1225" s="79" t="s">
        <v>320</v>
      </c>
      <c r="B1225" s="1810"/>
      <c r="C1225" s="81" t="s">
        <v>3663</v>
      </c>
      <c r="D1225" s="80" t="s">
        <v>2448</v>
      </c>
      <c r="E1225" s="2275" t="str">
        <f t="shared" si="76"/>
        <v>DE</v>
      </c>
      <c r="F1225" s="55">
        <v>50</v>
      </c>
      <c r="G1225" s="55" t="s">
        <v>512</v>
      </c>
      <c r="J1225" s="55" t="str">
        <f t="shared" si="71"/>
        <v>DEN</v>
      </c>
    </row>
    <row r="1226" spans="1:10" hidden="1">
      <c r="A1226" s="79" t="s">
        <v>1367</v>
      </c>
      <c r="B1226" s="1810"/>
      <c r="C1226" s="81" t="s">
        <v>3664</v>
      </c>
      <c r="D1226" s="80" t="s">
        <v>2448</v>
      </c>
      <c r="E1226" s="2275" t="str">
        <f t="shared" si="76"/>
        <v>DE</v>
      </c>
      <c r="F1226" s="55">
        <v>50</v>
      </c>
      <c r="G1226" s="55" t="s">
        <v>512</v>
      </c>
      <c r="J1226" s="55" t="str">
        <f t="shared" ref="J1226:J1289" si="77">A1226</f>
        <v>DEN-sonadezi</v>
      </c>
    </row>
    <row r="1227" spans="1:10" hidden="1">
      <c r="A1227" s="79" t="s">
        <v>971</v>
      </c>
      <c r="B1227" s="84"/>
      <c r="C1227" s="81" t="s">
        <v>3665</v>
      </c>
      <c r="D1227" s="80" t="s">
        <v>2566</v>
      </c>
      <c r="E1227" s="2275" t="str">
        <f t="shared" si="76"/>
        <v>CH</v>
      </c>
      <c r="F1227" s="55">
        <v>50</v>
      </c>
      <c r="G1227" s="55" t="s">
        <v>512</v>
      </c>
      <c r="J1227" s="55" t="str">
        <f t="shared" si="77"/>
        <v>CHI5</v>
      </c>
    </row>
    <row r="1228" spans="1:10" hidden="1">
      <c r="A1228" s="79" t="s">
        <v>475</v>
      </c>
      <c r="B1228" s="1810"/>
      <c r="C1228" s="81" t="s">
        <v>3666</v>
      </c>
      <c r="D1228" s="80" t="s">
        <v>2566</v>
      </c>
      <c r="E1228" s="2275" t="str">
        <f t="shared" si="76"/>
        <v>DO</v>
      </c>
      <c r="F1228" s="55">
        <v>50</v>
      </c>
      <c r="G1228" s="55" t="s">
        <v>512</v>
      </c>
      <c r="J1228" s="55" t="str">
        <f t="shared" si="77"/>
        <v>DOMINO</v>
      </c>
    </row>
    <row r="1229" spans="1:10" hidden="1">
      <c r="A1229" s="1817"/>
      <c r="B1229" s="1818"/>
      <c r="C1229" s="1817"/>
      <c r="D1229" s="1819"/>
      <c r="E1229" s="2275" t="str">
        <f t="shared" si="76"/>
        <v/>
      </c>
      <c r="F1229" s="55">
        <v>50</v>
      </c>
      <c r="J1229" s="55">
        <f t="shared" si="77"/>
        <v>0</v>
      </c>
    </row>
    <row r="1230" spans="1:10" hidden="1">
      <c r="A1230" s="1820" t="s">
        <v>1850</v>
      </c>
      <c r="B1230" s="1821" t="s">
        <v>290</v>
      </c>
      <c r="C1230" s="1820" t="s">
        <v>3667</v>
      </c>
      <c r="D1230" s="1822" t="s">
        <v>2566</v>
      </c>
      <c r="E1230" s="2275" t="str">
        <f t="shared" si="76"/>
        <v>LC</v>
      </c>
      <c r="F1230" s="55">
        <v>2000</v>
      </c>
      <c r="J1230" s="55" t="str">
        <f t="shared" si="77"/>
        <v>LCAN+C</v>
      </c>
    </row>
    <row r="1231" spans="1:10" hidden="1">
      <c r="A1231" s="79" t="s">
        <v>514</v>
      </c>
      <c r="B1231" s="1779" t="s">
        <v>291</v>
      </c>
      <c r="C1231" s="79" t="s">
        <v>3668</v>
      </c>
      <c r="D1231" s="80" t="s">
        <v>3657</v>
      </c>
      <c r="E1231" s="2275" t="str">
        <f t="shared" si="76"/>
        <v>LC</v>
      </c>
      <c r="F1231" s="55">
        <v>2000</v>
      </c>
      <c r="J1231" s="55" t="str">
        <f t="shared" si="77"/>
        <v>LCAN2,8</v>
      </c>
    </row>
    <row r="1232" spans="1:10" hidden="1">
      <c r="A1232" s="79" t="s">
        <v>121</v>
      </c>
      <c r="B1232" s="1779" t="s">
        <v>122</v>
      </c>
      <c r="C1232" s="79" t="s">
        <v>3669</v>
      </c>
      <c r="D1232" s="80" t="s">
        <v>3657</v>
      </c>
      <c r="E1232" s="2275" t="str">
        <f t="shared" si="76"/>
        <v>LC</v>
      </c>
      <c r="F1232" s="55">
        <v>2000</v>
      </c>
      <c r="J1232" s="55" t="str">
        <f t="shared" si="77"/>
        <v>LCAN3,2</v>
      </c>
    </row>
    <row r="1233" spans="1:10" hidden="1">
      <c r="A1233" s="79" t="s">
        <v>1807</v>
      </c>
      <c r="B1233" s="1779" t="s">
        <v>1809</v>
      </c>
      <c r="C1233" s="79" t="s">
        <v>3670</v>
      </c>
      <c r="D1233" s="80" t="s">
        <v>2541</v>
      </c>
      <c r="E1233" s="2275" t="str">
        <f t="shared" si="76"/>
        <v>LT</v>
      </c>
      <c r="F1233" s="55">
        <v>2000</v>
      </c>
      <c r="J1233" s="55" t="str">
        <f t="shared" si="77"/>
        <v>LTD-DEN</v>
      </c>
    </row>
    <row r="1234" spans="1:10" hidden="1">
      <c r="A1234" s="79" t="s">
        <v>1174</v>
      </c>
      <c r="B1234" s="1779" t="s">
        <v>292</v>
      </c>
      <c r="C1234" s="79" t="s">
        <v>3671</v>
      </c>
      <c r="D1234" s="80" t="s">
        <v>2448</v>
      </c>
      <c r="E1234" s="2275" t="str">
        <f t="shared" si="76"/>
        <v>LD</v>
      </c>
      <c r="F1234" s="55">
        <v>2000</v>
      </c>
      <c r="J1234" s="55" t="str">
        <f t="shared" si="77"/>
        <v>LDEN</v>
      </c>
    </row>
    <row r="1235" spans="1:10" hidden="1">
      <c r="A1235" s="79" t="s">
        <v>494</v>
      </c>
      <c r="B1235" s="1779" t="s">
        <v>1368</v>
      </c>
      <c r="C1235" s="81" t="s">
        <v>3672</v>
      </c>
      <c r="D1235" s="80" t="s">
        <v>2842</v>
      </c>
      <c r="E1235" s="2275" t="str">
        <f t="shared" si="76"/>
        <v>LT</v>
      </c>
      <c r="F1235" s="55">
        <v>2000</v>
      </c>
      <c r="J1235" s="55" t="str">
        <f t="shared" si="77"/>
        <v>LTRUDEN</v>
      </c>
    </row>
    <row r="1236" spans="1:10" hidden="1">
      <c r="A1236" s="79" t="s">
        <v>1369</v>
      </c>
      <c r="B1236" s="1779" t="s">
        <v>791</v>
      </c>
      <c r="C1236" s="81" t="s">
        <v>3673</v>
      </c>
      <c r="D1236" s="80" t="s">
        <v>2842</v>
      </c>
      <c r="E1236" s="2275" t="str">
        <f t="shared" si="76"/>
        <v>LB</v>
      </c>
      <c r="F1236" s="55">
        <v>2000</v>
      </c>
      <c r="J1236" s="55" t="str">
        <f t="shared" si="77"/>
        <v>LBTLT</v>
      </c>
    </row>
    <row r="1237" spans="1:10" hidden="1">
      <c r="A1237" s="79" t="s">
        <v>1690</v>
      </c>
      <c r="B1237" s="1779" t="s">
        <v>493</v>
      </c>
      <c r="C1237" s="81" t="s">
        <v>3674</v>
      </c>
      <c r="D1237" s="80" t="s">
        <v>2541</v>
      </c>
      <c r="E1237" s="2275" t="str">
        <f t="shared" si="76"/>
        <v>LU</v>
      </c>
      <c r="F1237" s="55">
        <v>2000</v>
      </c>
      <c r="J1237" s="55" t="str">
        <f t="shared" si="77"/>
        <v>LUONDAY</v>
      </c>
    </row>
    <row r="1238" spans="1:10" hidden="1">
      <c r="A1238" s="79" t="s">
        <v>592</v>
      </c>
      <c r="B1238" s="1779" t="s">
        <v>593</v>
      </c>
      <c r="C1238" s="81" t="s">
        <v>3675</v>
      </c>
      <c r="D1238" s="80" t="s">
        <v>2541</v>
      </c>
      <c r="E1238" s="2275" t="str">
        <f t="shared" si="76"/>
        <v>KC</v>
      </c>
      <c r="F1238" s="55">
        <v>2000</v>
      </c>
      <c r="J1238" s="55" t="str">
        <f t="shared" si="77"/>
        <v>KCAPDEN</v>
      </c>
    </row>
    <row r="1239" spans="1:10" hidden="1">
      <c r="A1239" s="79" t="s">
        <v>594</v>
      </c>
      <c r="B1239" s="1779" t="s">
        <v>595</v>
      </c>
      <c r="C1239" s="81" t="s">
        <v>3676</v>
      </c>
      <c r="D1239" s="80" t="s">
        <v>2541</v>
      </c>
      <c r="E1239" s="2275" t="str">
        <f t="shared" si="76"/>
        <v>KC</v>
      </c>
      <c r="F1239" s="55">
        <v>2000</v>
      </c>
      <c r="J1239" s="55" t="str">
        <f t="shared" si="77"/>
        <v>KCAPDEN25</v>
      </c>
    </row>
    <row r="1240" spans="1:10" hidden="1">
      <c r="A1240" s="79" t="s">
        <v>293</v>
      </c>
      <c r="B1240" s="1779" t="s">
        <v>492</v>
      </c>
      <c r="C1240" s="81" t="s">
        <v>3677</v>
      </c>
      <c r="D1240" s="80" t="s">
        <v>2541</v>
      </c>
      <c r="E1240" s="2275" t="str">
        <f t="shared" si="76"/>
        <v>LC</v>
      </c>
      <c r="F1240" s="55">
        <v>2000</v>
      </c>
      <c r="J1240" s="55" t="str">
        <f t="shared" si="77"/>
        <v>LCAPDEN</v>
      </c>
    </row>
    <row r="1241" spans="1:10" hidden="1">
      <c r="A1241" s="79" t="s">
        <v>596</v>
      </c>
      <c r="B1241" s="1779" t="s">
        <v>597</v>
      </c>
      <c r="C1241" s="81" t="s">
        <v>3678</v>
      </c>
      <c r="D1241" s="80" t="s">
        <v>2448</v>
      </c>
      <c r="E1241" s="2275" t="str">
        <f t="shared" si="76"/>
        <v>LD</v>
      </c>
      <c r="F1241" s="55">
        <v>2000</v>
      </c>
      <c r="J1241" s="55" t="str">
        <f t="shared" si="77"/>
        <v>LDAUCAPCS</v>
      </c>
    </row>
    <row r="1242" spans="1:10" hidden="1">
      <c r="A1242" s="79" t="s">
        <v>1123</v>
      </c>
      <c r="B1242" s="1779" t="s">
        <v>1124</v>
      </c>
      <c r="C1242" s="81" t="s">
        <v>3679</v>
      </c>
      <c r="D1242" s="80" t="s">
        <v>2566</v>
      </c>
      <c r="E1242" s="2275" t="str">
        <f t="shared" si="76"/>
        <v>Lc</v>
      </c>
      <c r="F1242" s="55">
        <v>2000</v>
      </c>
      <c r="J1242" s="55" t="str">
        <f t="shared" si="77"/>
        <v>Lcauchi</v>
      </c>
    </row>
    <row r="1243" spans="1:10" hidden="1">
      <c r="A1243" s="79" t="s">
        <v>1280</v>
      </c>
      <c r="B1243" s="1779" t="s">
        <v>2110</v>
      </c>
      <c r="C1243" s="81" t="s">
        <v>3680</v>
      </c>
      <c r="D1243" s="80" t="s">
        <v>2541</v>
      </c>
      <c r="E1243" s="2275" t="str">
        <f t="shared" si="76"/>
        <v>LP</v>
      </c>
      <c r="F1243" s="55">
        <v>2000</v>
      </c>
      <c r="J1243" s="55" t="str">
        <f t="shared" si="77"/>
        <v>LPVC60CL CS</v>
      </c>
    </row>
    <row r="1244" spans="1:10" hidden="1">
      <c r="A1244" s="79" t="s">
        <v>1281</v>
      </c>
      <c r="B1244" s="1779" t="s">
        <v>2111</v>
      </c>
      <c r="C1244" s="81" t="s">
        <v>3681</v>
      </c>
      <c r="D1244" s="80" t="s">
        <v>2541</v>
      </c>
      <c r="E1244" s="2275" t="str">
        <f t="shared" si="76"/>
        <v>LP</v>
      </c>
      <c r="F1244" s="55">
        <v>2000</v>
      </c>
      <c r="J1244" s="55" t="str">
        <f t="shared" si="77"/>
        <v>LPVC90CL CS</v>
      </c>
    </row>
    <row r="1245" spans="1:10" hidden="1">
      <c r="A1245" s="79" t="s">
        <v>1282</v>
      </c>
      <c r="B1245" s="1779" t="s">
        <v>1283</v>
      </c>
      <c r="C1245" s="81" t="s">
        <v>3682</v>
      </c>
      <c r="D1245" s="80" t="s">
        <v>2541</v>
      </c>
      <c r="E1245" s="2275" t="str">
        <f t="shared" si="76"/>
        <v>LS</v>
      </c>
      <c r="F1245" s="55">
        <v>2000</v>
      </c>
      <c r="J1245" s="55" t="str">
        <f t="shared" si="77"/>
        <v>LSTK120d CS</v>
      </c>
    </row>
    <row r="1246" spans="1:10" hidden="1">
      <c r="A1246" s="79" t="s">
        <v>2131</v>
      </c>
      <c r="B1246" s="1779" t="s">
        <v>85</v>
      </c>
      <c r="C1246" s="81" t="s">
        <v>3683</v>
      </c>
      <c r="D1246" s="80" t="s">
        <v>3027</v>
      </c>
      <c r="E1246" s="2275" t="str">
        <f t="shared" si="76"/>
        <v>LG</v>
      </c>
      <c r="F1246" s="55">
        <v>2000</v>
      </c>
      <c r="J1246" s="55" t="str">
        <f t="shared" si="77"/>
        <v>LGACH CS</v>
      </c>
    </row>
    <row r="1247" spans="1:10" hidden="1">
      <c r="A1247" s="79" t="s">
        <v>1559</v>
      </c>
      <c r="B1247" s="1779" t="s">
        <v>2203</v>
      </c>
      <c r="C1247" s="81" t="s">
        <v>3684</v>
      </c>
      <c r="D1247" s="80" t="s">
        <v>858</v>
      </c>
      <c r="E1247" s="2275" t="str">
        <f t="shared" si="76"/>
        <v>DM</v>
      </c>
      <c r="F1247" s="55">
        <v>2000</v>
      </c>
      <c r="J1247" s="55" t="str">
        <f t="shared" si="77"/>
        <v>DMCS</v>
      </c>
    </row>
    <row r="1248" spans="1:10" hidden="1">
      <c r="A1248" s="79" t="s">
        <v>2204</v>
      </c>
      <c r="B1248" s="1779" t="s">
        <v>2205</v>
      </c>
      <c r="C1248" s="81" t="s">
        <v>3685</v>
      </c>
      <c r="D1248" s="80" t="s">
        <v>858</v>
      </c>
      <c r="E1248" s="2275" t="str">
        <f t="shared" si="76"/>
        <v>DD</v>
      </c>
      <c r="F1248" s="55">
        <v>2000</v>
      </c>
      <c r="J1248" s="55" t="str">
        <f t="shared" si="77"/>
        <v>DDMCS3</v>
      </c>
    </row>
    <row r="1249" spans="1:10" hidden="1">
      <c r="A1249" s="79" t="s">
        <v>2206</v>
      </c>
      <c r="B1249" s="1779" t="s">
        <v>2207</v>
      </c>
      <c r="C1249" s="81" t="s">
        <v>3686</v>
      </c>
      <c r="D1249" s="80" t="s">
        <v>858</v>
      </c>
      <c r="E1249" s="2275" t="str">
        <f t="shared" si="76"/>
        <v>DC</v>
      </c>
      <c r="F1249" s="55">
        <v>2000</v>
      </c>
      <c r="J1249" s="55" t="str">
        <f t="shared" si="77"/>
        <v>DCatMCS</v>
      </c>
    </row>
    <row r="1250" spans="1:10" hidden="1">
      <c r="A1250" s="79" t="s">
        <v>559</v>
      </c>
      <c r="B1250" s="1779" t="s">
        <v>1560</v>
      </c>
      <c r="C1250" s="81" t="s">
        <v>3687</v>
      </c>
      <c r="D1250" s="80" t="s">
        <v>858</v>
      </c>
      <c r="E1250" s="2275" t="str">
        <f t="shared" si="76"/>
        <v>DM</v>
      </c>
      <c r="F1250" s="55">
        <v>2000</v>
      </c>
      <c r="J1250" s="55" t="str">
        <f t="shared" si="77"/>
        <v>DMongCS</v>
      </c>
    </row>
    <row r="1251" spans="1:10" hidden="1">
      <c r="A1251" s="79" t="s">
        <v>1558</v>
      </c>
      <c r="B1251" s="1779" t="s">
        <v>1561</v>
      </c>
      <c r="C1251" s="81" t="s">
        <v>3688</v>
      </c>
      <c r="D1251" s="80" t="s">
        <v>858</v>
      </c>
      <c r="E1251" s="2275" t="str">
        <f t="shared" si="76"/>
        <v>DM</v>
      </c>
      <c r="F1251" s="55">
        <v>2000</v>
      </c>
      <c r="J1251" s="55" t="str">
        <f t="shared" si="77"/>
        <v>DMongCS1</v>
      </c>
    </row>
    <row r="1252" spans="1:10" hidden="1">
      <c r="A1252" s="79" t="s">
        <v>1811</v>
      </c>
      <c r="B1252" s="1779" t="s">
        <v>974</v>
      </c>
      <c r="C1252" s="81" t="s">
        <v>3689</v>
      </c>
      <c r="D1252" s="80" t="s">
        <v>858</v>
      </c>
      <c r="E1252" s="2275" t="str">
        <f t="shared" si="76"/>
        <v>DD</v>
      </c>
      <c r="F1252" s="55">
        <v>2000</v>
      </c>
      <c r="J1252" s="55" t="str">
        <f t="shared" si="77"/>
        <v>DDMongCS3</v>
      </c>
    </row>
    <row r="1253" spans="1:10" hidden="1">
      <c r="A1253" s="79" t="s">
        <v>1812</v>
      </c>
      <c r="B1253" s="1779" t="s">
        <v>975</v>
      </c>
      <c r="C1253" s="81" t="s">
        <v>3690</v>
      </c>
      <c r="D1253" s="80" t="s">
        <v>858</v>
      </c>
      <c r="E1253" s="2275" t="str">
        <f t="shared" si="76"/>
        <v>DC</v>
      </c>
      <c r="F1253" s="55">
        <v>2000</v>
      </c>
      <c r="J1253" s="55" t="str">
        <f t="shared" si="77"/>
        <v>DCatMongCS</v>
      </c>
    </row>
    <row r="1254" spans="1:10" hidden="1">
      <c r="A1254" s="79" t="s">
        <v>1810</v>
      </c>
      <c r="B1254" s="1779" t="s">
        <v>1808</v>
      </c>
      <c r="C1254" s="81" t="s">
        <v>3691</v>
      </c>
      <c r="D1254" s="80" t="s">
        <v>2286</v>
      </c>
      <c r="E1254" s="2275" t="str">
        <f t="shared" si="76"/>
        <v>Do</v>
      </c>
      <c r="F1254" s="55">
        <v>2000</v>
      </c>
      <c r="J1254" s="55" t="str">
        <f t="shared" si="77"/>
        <v>DongCTD</v>
      </c>
    </row>
    <row r="1255" spans="1:10" hidden="1">
      <c r="A1255" s="79" t="s">
        <v>1958</v>
      </c>
      <c r="B1255" s="1779" t="s">
        <v>1959</v>
      </c>
      <c r="C1255" s="81" t="s">
        <v>3692</v>
      </c>
      <c r="D1255" s="80" t="s">
        <v>858</v>
      </c>
      <c r="E1255" s="2275" t="str">
        <f t="shared" si="76"/>
        <v>DB</v>
      </c>
      <c r="F1255" s="55">
        <v>2000</v>
      </c>
      <c r="J1255" s="55" t="str">
        <f t="shared" si="77"/>
        <v>DBTM150CS</v>
      </c>
    </row>
    <row r="1256" spans="1:10" hidden="1">
      <c r="A1256" s="79" t="s">
        <v>1578</v>
      </c>
      <c r="B1256" s="1779" t="s">
        <v>265</v>
      </c>
      <c r="C1256" s="81" t="s">
        <v>3693</v>
      </c>
      <c r="D1256" s="80" t="s">
        <v>858</v>
      </c>
      <c r="E1256" s="2275" t="str">
        <f t="shared" si="76"/>
        <v>DB</v>
      </c>
      <c r="F1256" s="55">
        <v>2000</v>
      </c>
      <c r="J1256" s="55" t="str">
        <f t="shared" si="77"/>
        <v>DBT20012CS</v>
      </c>
    </row>
    <row r="1257" spans="1:10" hidden="1">
      <c r="A1257" s="1823" t="s">
        <v>4170</v>
      </c>
      <c r="B1257" s="1779" t="s">
        <v>1760</v>
      </c>
      <c r="C1257" s="1824" t="s">
        <v>4982</v>
      </c>
      <c r="D1257" s="1825" t="s">
        <v>4171</v>
      </c>
      <c r="E1257" s="2275" t="str">
        <f t="shared" si="76"/>
        <v>Ho</v>
      </c>
      <c r="F1257" s="55">
        <v>50</v>
      </c>
      <c r="G1257" s="55" t="s">
        <v>512</v>
      </c>
      <c r="J1257" s="55" t="str">
        <f t="shared" si="77"/>
        <v>HopCBpd</v>
      </c>
    </row>
    <row r="1258" spans="1:10" hidden="1">
      <c r="A1258" s="1823" t="s">
        <v>4378</v>
      </c>
      <c r="B1258" s="1779"/>
      <c r="C1258" s="1824" t="s">
        <v>4379</v>
      </c>
      <c r="D1258" s="1826" t="s">
        <v>2566</v>
      </c>
      <c r="E1258" s="2275" t="str">
        <f t="shared" si="76"/>
        <v>CC</v>
      </c>
      <c r="F1258" s="55">
        <v>50</v>
      </c>
      <c r="G1258" s="55" t="s">
        <v>512</v>
      </c>
      <c r="J1258" s="55" t="str">
        <f t="shared" si="77"/>
        <v>CCĐMBA</v>
      </c>
    </row>
    <row r="1259" spans="1:10" hidden="1">
      <c r="A1259" s="1823" t="s">
        <v>4372</v>
      </c>
      <c r="B1259" s="1779"/>
      <c r="C1259" s="1824" t="s">
        <v>4371</v>
      </c>
      <c r="D1259" s="1826" t="s">
        <v>2448</v>
      </c>
      <c r="E1259" s="2275" t="str">
        <f t="shared" ref="E1259:E1276" si="78">LEFT(A1259,2)</f>
        <v>CC</v>
      </c>
      <c r="F1259" s="55">
        <v>50</v>
      </c>
      <c r="G1259" s="55" t="s">
        <v>512</v>
      </c>
      <c r="J1259" s="55" t="str">
        <f t="shared" si="77"/>
        <v>CCĐfco</v>
      </c>
    </row>
    <row r="1260" spans="1:10" hidden="1">
      <c r="A1260" s="1823" t="s">
        <v>4380</v>
      </c>
      <c r="B1260" s="1779"/>
      <c r="C1260" s="1824" t="s">
        <v>4381</v>
      </c>
      <c r="D1260" s="1826" t="s">
        <v>2566</v>
      </c>
      <c r="E1260" s="2275" t="str">
        <f t="shared" si="78"/>
        <v>CC</v>
      </c>
      <c r="F1260" s="55">
        <v>50</v>
      </c>
      <c r="G1260" s="55" t="s">
        <v>512</v>
      </c>
      <c r="J1260" s="55" t="str">
        <f t="shared" si="77"/>
        <v>CCĐLA</v>
      </c>
    </row>
    <row r="1261" spans="1:10" hidden="1">
      <c r="A1261" s="1823" t="s">
        <v>4572</v>
      </c>
      <c r="B1261" s="1779"/>
      <c r="C1261" s="1824" t="s">
        <v>4573</v>
      </c>
      <c r="D1261" s="1826" t="s">
        <v>2566</v>
      </c>
      <c r="E1261" s="2275" t="str">
        <f t="shared" ref="E1261" si="79">LEFT(A1261,2)</f>
        <v>CC</v>
      </c>
      <c r="F1261" s="55">
        <v>50</v>
      </c>
      <c r="G1261" s="55" t="s">
        <v>512</v>
      </c>
      <c r="J1261" s="55" t="str">
        <f t="shared" si="77"/>
        <v>CCDQU</v>
      </c>
    </row>
    <row r="1262" spans="1:10" hidden="1">
      <c r="A1262" s="1823" t="s">
        <v>4319</v>
      </c>
      <c r="B1262" s="1779"/>
      <c r="C1262" s="1824" t="s">
        <v>4980</v>
      </c>
      <c r="D1262" s="1826" t="s">
        <v>2448</v>
      </c>
      <c r="E1262" s="2275" t="str">
        <f t="shared" si="78"/>
        <v>TD</v>
      </c>
      <c r="F1262" s="55">
        <v>50</v>
      </c>
      <c r="G1262" s="55" t="s">
        <v>512</v>
      </c>
      <c r="J1262" s="55" t="str">
        <f t="shared" si="77"/>
        <v>TDLLCD</v>
      </c>
    </row>
    <row r="1263" spans="1:10" hidden="1">
      <c r="A1263" s="1823" t="s">
        <v>356</v>
      </c>
      <c r="B1263" s="84" t="s">
        <v>1135</v>
      </c>
      <c r="C1263" s="1787" t="s">
        <v>4367</v>
      </c>
      <c r="D1263" s="1826" t="s">
        <v>2451</v>
      </c>
      <c r="E1263" s="2275" t="str">
        <f t="shared" si="78"/>
        <v>PK</v>
      </c>
      <c r="F1263" s="55">
        <v>2000</v>
      </c>
      <c r="J1263" s="55" t="str">
        <f t="shared" si="77"/>
        <v>PK</v>
      </c>
    </row>
    <row r="1264" spans="1:10" hidden="1">
      <c r="A1264" s="1823" t="s">
        <v>357</v>
      </c>
      <c r="B1264" s="84" t="s">
        <v>1199</v>
      </c>
      <c r="C1264" s="1787" t="s">
        <v>2602</v>
      </c>
      <c r="D1264" s="1826" t="s">
        <v>2451</v>
      </c>
      <c r="E1264" s="2275" t="str">
        <f t="shared" si="78"/>
        <v>DA</v>
      </c>
      <c r="F1264" s="55">
        <v>2000</v>
      </c>
      <c r="J1264" s="55" t="str">
        <f t="shared" si="77"/>
        <v>DAY</v>
      </c>
    </row>
    <row r="1265" spans="1:10" hidden="1">
      <c r="A1265" s="1823" t="s">
        <v>606</v>
      </c>
      <c r="B1265" s="84" t="s">
        <v>1697</v>
      </c>
      <c r="C1265" s="1787" t="s">
        <v>4368</v>
      </c>
      <c r="D1265" s="1826" t="s">
        <v>2451</v>
      </c>
      <c r="E1265" s="2275" t="str">
        <f t="shared" si="78"/>
        <v>DC</v>
      </c>
      <c r="F1265" s="55">
        <v>2000</v>
      </c>
      <c r="J1265" s="55" t="str">
        <f t="shared" si="77"/>
        <v>DCTC</v>
      </c>
    </row>
    <row r="1266" spans="1:10" hidden="1">
      <c r="A1266" s="1823" t="s">
        <v>17</v>
      </c>
      <c r="B1266" s="84" t="s">
        <v>1211</v>
      </c>
      <c r="C1266" s="1787" t="s">
        <v>2590</v>
      </c>
      <c r="D1266" s="1826" t="s">
        <v>2451</v>
      </c>
      <c r="E1266" s="2275" t="str">
        <f t="shared" si="78"/>
        <v>TH</v>
      </c>
      <c r="F1266" s="55">
        <v>2000</v>
      </c>
      <c r="J1266" s="55" t="str">
        <f t="shared" si="77"/>
        <v>THEP</v>
      </c>
    </row>
    <row r="1267" spans="1:10" hidden="1">
      <c r="A1267" s="1823" t="s">
        <v>18</v>
      </c>
      <c r="B1267" s="84" t="s">
        <v>496</v>
      </c>
      <c r="C1267" s="1787" t="s">
        <v>2591</v>
      </c>
      <c r="D1267" s="1826" t="s">
        <v>2451</v>
      </c>
      <c r="E1267" s="2275" t="str">
        <f t="shared" si="78"/>
        <v>XI</v>
      </c>
      <c r="F1267" s="55">
        <v>2000</v>
      </c>
      <c r="J1267" s="55" t="str">
        <f t="shared" si="77"/>
        <v>XIMANG</v>
      </c>
    </row>
    <row r="1268" spans="1:10" hidden="1">
      <c r="A1268" s="1823" t="s">
        <v>4445</v>
      </c>
      <c r="B1268" s="84" t="s">
        <v>1119</v>
      </c>
      <c r="C1268" s="1787" t="s">
        <v>2592</v>
      </c>
      <c r="D1268" s="1826" t="s">
        <v>858</v>
      </c>
      <c r="E1268" s="2275" t="str">
        <f t="shared" si="78"/>
        <v>vc</v>
      </c>
      <c r="F1268" s="55">
        <v>2000</v>
      </c>
      <c r="J1268" s="55" t="str">
        <f t="shared" si="77"/>
        <v>vcCAT</v>
      </c>
    </row>
    <row r="1269" spans="1:10" hidden="1">
      <c r="A1269" s="1823" t="s">
        <v>20</v>
      </c>
      <c r="B1269" s="84" t="s">
        <v>810</v>
      </c>
      <c r="C1269" s="1787" t="s">
        <v>2593</v>
      </c>
      <c r="D1269" s="1826" t="s">
        <v>858</v>
      </c>
      <c r="E1269" s="2275" t="str">
        <f t="shared" si="78"/>
        <v>DA</v>
      </c>
      <c r="F1269" s="55">
        <v>2000</v>
      </c>
      <c r="J1269" s="55" t="str">
        <f t="shared" si="77"/>
        <v>DADAM</v>
      </c>
    </row>
    <row r="1270" spans="1:10" hidden="1">
      <c r="A1270" s="1823" t="s">
        <v>4443</v>
      </c>
      <c r="B1270" s="84" t="s">
        <v>556</v>
      </c>
      <c r="C1270" s="1787" t="s">
        <v>2594</v>
      </c>
      <c r="D1270" s="1826" t="s">
        <v>2451</v>
      </c>
      <c r="E1270" s="2275" t="str">
        <f t="shared" si="78"/>
        <v>DA</v>
      </c>
      <c r="F1270" s="55">
        <v>2000</v>
      </c>
      <c r="J1270" s="55" t="str">
        <f t="shared" si="77"/>
        <v>DA</v>
      </c>
    </row>
    <row r="1271" spans="1:10" hidden="1">
      <c r="A1271" s="1823" t="s">
        <v>1909</v>
      </c>
      <c r="B1271" s="84" t="s">
        <v>1211</v>
      </c>
      <c r="C1271" s="1787" t="s">
        <v>2595</v>
      </c>
      <c r="D1271" s="1826" t="s">
        <v>2451</v>
      </c>
      <c r="E1271" s="2275" t="str">
        <f t="shared" si="78"/>
        <v>TD</v>
      </c>
      <c r="F1271" s="55">
        <v>2000</v>
      </c>
      <c r="J1271" s="55" t="str">
        <f t="shared" si="77"/>
        <v>TD</v>
      </c>
    </row>
    <row r="1272" spans="1:10" hidden="1">
      <c r="A1272" s="1823" t="s">
        <v>605</v>
      </c>
      <c r="B1272" s="84" t="s">
        <v>556</v>
      </c>
      <c r="C1272" s="1787" t="s">
        <v>2596</v>
      </c>
      <c r="D1272" s="1826" t="s">
        <v>2451</v>
      </c>
      <c r="E1272" s="2275" t="str">
        <f t="shared" si="78"/>
        <v>DN</v>
      </c>
      <c r="F1272" s="55">
        <v>2000</v>
      </c>
      <c r="J1272" s="55" t="str">
        <f t="shared" si="77"/>
        <v>DN</v>
      </c>
    </row>
    <row r="1273" spans="1:10" hidden="1">
      <c r="A1273" s="1823" t="s">
        <v>4446</v>
      </c>
      <c r="B1273" s="84" t="s">
        <v>1135</v>
      </c>
      <c r="C1273" s="1787" t="s">
        <v>2597</v>
      </c>
      <c r="D1273" s="1826" t="s">
        <v>2451</v>
      </c>
      <c r="E1273" s="2275" t="str">
        <f t="shared" si="78"/>
        <v>vc</v>
      </c>
      <c r="F1273" s="55">
        <v>2000</v>
      </c>
      <c r="J1273" s="55" t="str">
        <f t="shared" si="77"/>
        <v>vcNX</v>
      </c>
    </row>
    <row r="1274" spans="1:10" hidden="1">
      <c r="A1274" s="1823" t="s">
        <v>1201</v>
      </c>
      <c r="B1274" s="84" t="s">
        <v>2244</v>
      </c>
      <c r="C1274" s="1787" t="s">
        <v>2598</v>
      </c>
      <c r="D1274" s="1826" t="s">
        <v>2451</v>
      </c>
      <c r="E1274" s="2275" t="str">
        <f t="shared" si="78"/>
        <v>CO</v>
      </c>
      <c r="F1274" s="55">
        <v>2000</v>
      </c>
      <c r="J1274" s="55" t="str">
        <f t="shared" si="77"/>
        <v>COT</v>
      </c>
    </row>
    <row r="1275" spans="1:10" hidden="1">
      <c r="A1275" s="1823" t="s">
        <v>2003</v>
      </c>
      <c r="B1275" s="84" t="s">
        <v>1612</v>
      </c>
      <c r="C1275" s="1787" t="s">
        <v>2452</v>
      </c>
      <c r="D1275" s="1826" t="s">
        <v>2451</v>
      </c>
      <c r="E1275" s="2275" t="str">
        <f t="shared" si="78"/>
        <v>XA</v>
      </c>
      <c r="F1275" s="55">
        <v>2000</v>
      </c>
      <c r="J1275" s="55" t="str">
        <f t="shared" si="77"/>
        <v>XA</v>
      </c>
    </row>
    <row r="1276" spans="1:10" hidden="1">
      <c r="A1276" s="1823" t="s">
        <v>634</v>
      </c>
      <c r="B1276" s="84" t="s">
        <v>718</v>
      </c>
      <c r="C1276" s="1787" t="s">
        <v>2600</v>
      </c>
      <c r="D1276" s="1826" t="s">
        <v>2601</v>
      </c>
      <c r="E1276" s="2275"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4318</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4322</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4587</v>
      </c>
      <c r="D1349" s="55" t="s">
        <v>2285</v>
      </c>
      <c r="F1349" s="55">
        <v>2000</v>
      </c>
      <c r="J1349" s="55" t="str">
        <f t="shared" si="80"/>
        <v>BTLT 8.5</v>
      </c>
    </row>
    <row r="1350" spans="1:10" hidden="1">
      <c r="A1350" s="1798" t="s">
        <v>4588</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4356</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4440</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4501</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8" hidden="1">
      <c r="A1450" s="1827" t="s">
        <v>2508</v>
      </c>
      <c r="C1450" s="1798" t="s">
        <v>2509</v>
      </c>
      <c r="D1450" s="55" t="s">
        <v>2448</v>
      </c>
      <c r="F1450" s="55">
        <v>2000</v>
      </c>
      <c r="J1450" s="55" t="str">
        <f t="shared" si="82"/>
        <v>Đth-U</v>
      </c>
    </row>
    <row r="1451" spans="1:10" ht="16.8" hidden="1">
      <c r="A1451" s="1827" t="s">
        <v>1626</v>
      </c>
      <c r="C1451" s="1798" t="s">
        <v>2510</v>
      </c>
      <c r="D1451" s="55" t="s">
        <v>2448</v>
      </c>
      <c r="F1451" s="55">
        <v>2000</v>
      </c>
      <c r="J1451" s="55" t="str">
        <f t="shared" si="82"/>
        <v>Nth-U</v>
      </c>
    </row>
    <row r="1452" spans="1:10" ht="16.8" hidden="1">
      <c r="A1452" s="1827" t="s">
        <v>1627</v>
      </c>
      <c r="C1452" s="1798" t="s">
        <v>2511</v>
      </c>
      <c r="D1452" s="55" t="s">
        <v>2448</v>
      </c>
      <c r="F1452" s="55">
        <v>2000</v>
      </c>
      <c r="J1452" s="55" t="str">
        <f t="shared" si="82"/>
        <v>Nth-T</v>
      </c>
    </row>
    <row r="1453" spans="1:10" ht="16.8" hidden="1">
      <c r="A1453" s="1827" t="s">
        <v>2168</v>
      </c>
      <c r="C1453" s="1798" t="s">
        <v>2512</v>
      </c>
      <c r="D1453" s="55" t="s">
        <v>2448</v>
      </c>
      <c r="F1453" s="55">
        <v>2000</v>
      </c>
      <c r="J1453" s="55" t="str">
        <f t="shared" si="82"/>
        <v>Nth-X</v>
      </c>
    </row>
    <row r="1454" spans="1:10" ht="16.8" hidden="1">
      <c r="A1454" s="1827" t="s">
        <v>2513</v>
      </c>
      <c r="C1454" s="1798" t="s">
        <v>2514</v>
      </c>
      <c r="D1454" s="55" t="s">
        <v>2448</v>
      </c>
      <c r="F1454" s="55">
        <v>2000</v>
      </c>
      <c r="J1454" s="55" t="str">
        <f t="shared" si="82"/>
        <v>SĐU</v>
      </c>
    </row>
    <row r="1455" spans="1:10" ht="16.8" hidden="1">
      <c r="A1455" s="1827" t="s">
        <v>2515</v>
      </c>
      <c r="C1455" s="1798" t="s">
        <v>2516</v>
      </c>
      <c r="D1455" s="55" t="s">
        <v>2448</v>
      </c>
      <c r="F1455" s="55">
        <v>2000</v>
      </c>
      <c r="J1455" s="55" t="str">
        <f t="shared" si="82"/>
        <v>SĐI</v>
      </c>
    </row>
    <row r="1456" spans="1:10" ht="16.8" hidden="1">
      <c r="A1456" s="1827" t="s">
        <v>2517</v>
      </c>
      <c r="C1456" s="1798" t="s">
        <v>2518</v>
      </c>
      <c r="D1456" s="55" t="s">
        <v>2448</v>
      </c>
      <c r="F1456" s="55">
        <v>2000</v>
      </c>
      <c r="J1456" s="55" t="str">
        <f t="shared" si="82"/>
        <v>SĐG</v>
      </c>
    </row>
    <row r="1457" spans="1:10" ht="16.8" hidden="1">
      <c r="A1457" s="1827" t="s">
        <v>2519</v>
      </c>
      <c r="C1457" s="1798" t="s">
        <v>2520</v>
      </c>
      <c r="D1457" s="55" t="s">
        <v>2448</v>
      </c>
      <c r="F1457" s="55">
        <v>2000</v>
      </c>
      <c r="J1457" s="55" t="str">
        <f t="shared" si="82"/>
        <v>CĐT 2BAT-T</v>
      </c>
    </row>
    <row r="1458" spans="1:10" ht="16.8" hidden="1">
      <c r="A1458" s="1827" t="s">
        <v>2522</v>
      </c>
      <c r="C1458" s="1798" t="s">
        <v>2523</v>
      </c>
      <c r="D1458" s="55" t="s">
        <v>2448</v>
      </c>
      <c r="F1458" s="55">
        <v>2000</v>
      </c>
      <c r="J1458" s="55" t="str">
        <f t="shared" si="82"/>
        <v>CĐT 2BAT-X</v>
      </c>
    </row>
    <row r="1459" spans="1:10" ht="16.8" hidden="1">
      <c r="A1459" s="1827" t="s">
        <v>2524</v>
      </c>
      <c r="C1459" s="1798" t="s">
        <v>2525</v>
      </c>
      <c r="D1459" s="55" t="s">
        <v>2448</v>
      </c>
      <c r="F1459" s="55">
        <v>2000</v>
      </c>
      <c r="J1459" s="55" t="str">
        <f t="shared" si="82"/>
        <v>CĐT ply-X</v>
      </c>
    </row>
    <row r="1460" spans="1:10" ht="16.8" hidden="1">
      <c r="A1460" s="1827" t="s">
        <v>2538</v>
      </c>
      <c r="C1460" s="1798" t="s">
        <v>2539</v>
      </c>
      <c r="D1460" s="55" t="s">
        <v>2448</v>
      </c>
      <c r="F1460" s="55">
        <v>2000</v>
      </c>
      <c r="J1460" s="55" t="str">
        <f t="shared" si="82"/>
        <v>CĐT pty-X</v>
      </c>
    </row>
    <row r="1461" spans="1:10" ht="16.8" hidden="1">
      <c r="A1461" s="1827" t="s">
        <v>2543</v>
      </c>
      <c r="C1461" s="1798" t="s">
        <v>2544</v>
      </c>
      <c r="D1461" s="55" t="s">
        <v>2448</v>
      </c>
      <c r="F1461" s="55">
        <v>2000</v>
      </c>
      <c r="J1461" s="55" t="str">
        <f t="shared" si="82"/>
        <v>Đth-U-g</v>
      </c>
    </row>
    <row r="1462" spans="1:10" ht="16.8" hidden="1">
      <c r="A1462" s="1827" t="s">
        <v>2545</v>
      </c>
      <c r="C1462" s="1798" t="s">
        <v>2546</v>
      </c>
      <c r="D1462" s="55" t="s">
        <v>2448</v>
      </c>
      <c r="F1462" s="55">
        <v>2000</v>
      </c>
      <c r="J1462" s="55" t="str">
        <f t="shared" si="82"/>
        <v>Đth-X</v>
      </c>
    </row>
    <row r="1463" spans="1:10" ht="16.8" hidden="1">
      <c r="A1463" s="1827" t="s">
        <v>534</v>
      </c>
      <c r="C1463" s="1798" t="s">
        <v>2547</v>
      </c>
      <c r="D1463" s="55" t="s">
        <v>2448</v>
      </c>
      <c r="F1463" s="55">
        <v>2000</v>
      </c>
      <c r="J1463" s="55" t="str">
        <f t="shared" si="82"/>
        <v>Nth-T-g</v>
      </c>
    </row>
    <row r="1464" spans="1:10" ht="16.8" hidden="1">
      <c r="A1464" s="1827" t="s">
        <v>2551</v>
      </c>
      <c r="C1464" s="1798" t="s">
        <v>2525</v>
      </c>
      <c r="D1464" s="55" t="s">
        <v>2448</v>
      </c>
      <c r="F1464" s="55">
        <v>2000</v>
      </c>
      <c r="J1464" s="55" t="str">
        <f t="shared" si="82"/>
        <v>CĐTply-X</v>
      </c>
    </row>
    <row r="1465" spans="1:10" ht="16.8" hidden="1">
      <c r="A1465" s="1827" t="s">
        <v>2552</v>
      </c>
      <c r="C1465" s="1798" t="s">
        <v>2553</v>
      </c>
      <c r="D1465" s="55" t="s">
        <v>2448</v>
      </c>
      <c r="F1465" s="55">
        <v>2000</v>
      </c>
      <c r="J1465" s="55" t="str">
        <f t="shared" si="82"/>
        <v>CĐTply-T</v>
      </c>
    </row>
    <row r="1466" spans="1:10" hidden="1">
      <c r="A1466" s="1798" t="s">
        <v>4756</v>
      </c>
      <c r="C1466" s="1798" t="s">
        <v>4674</v>
      </c>
      <c r="D1466" s="55" t="s">
        <v>2566</v>
      </c>
      <c r="F1466" s="55">
        <v>50</v>
      </c>
      <c r="J1466" s="55" t="str">
        <f t="shared" si="82"/>
        <v>ttf50</v>
      </c>
    </row>
    <row r="1467" spans="1:10" hidden="1">
      <c r="A1467" s="1798" t="s">
        <v>4757</v>
      </c>
      <c r="C1467" s="1798" t="s">
        <v>4967</v>
      </c>
      <c r="D1467" s="55" t="s">
        <v>2566</v>
      </c>
      <c r="F1467" s="55">
        <v>50</v>
      </c>
      <c r="J1467" s="55" t="str">
        <f t="shared" si="82"/>
        <v>ssf50</v>
      </c>
    </row>
    <row r="1468" spans="1:10" hidden="1">
      <c r="A1468" s="1798" t="s">
        <v>4675</v>
      </c>
      <c r="C1468" s="1798" t="s">
        <v>4676</v>
      </c>
      <c r="D1468" s="55" t="s">
        <v>858</v>
      </c>
      <c r="F1468" s="55">
        <v>1999</v>
      </c>
      <c r="J1468" s="55" t="str">
        <f t="shared" si="82"/>
        <v>GO-CH</v>
      </c>
    </row>
    <row r="1469" spans="1:10" hidden="1">
      <c r="A1469" s="1798" t="s">
        <v>4677</v>
      </c>
      <c r="C1469" s="1798" t="s">
        <v>4678</v>
      </c>
      <c r="D1469" s="55" t="s">
        <v>858</v>
      </c>
      <c r="F1469" s="55">
        <v>1999</v>
      </c>
      <c r="J1469" s="55" t="str">
        <f t="shared" si="82"/>
        <v>GO-DN</v>
      </c>
    </row>
    <row r="1470" spans="1:10" hidden="1">
      <c r="A1470" s="1798" t="s">
        <v>4679</v>
      </c>
      <c r="C1470" s="1798" t="s">
        <v>4680</v>
      </c>
      <c r="D1470" s="55" t="s">
        <v>858</v>
      </c>
      <c r="F1470" s="55">
        <v>1999</v>
      </c>
      <c r="J1470" s="55" t="str">
        <f t="shared" si="82"/>
        <v>GO-V</v>
      </c>
    </row>
    <row r="1471" spans="1:10" hidden="1">
      <c r="A1471" s="1798" t="s">
        <v>4681</v>
      </c>
      <c r="C1471" s="1798" t="s">
        <v>4682</v>
      </c>
      <c r="D1471" s="55" t="s">
        <v>858</v>
      </c>
      <c r="F1471" s="55">
        <v>2000</v>
      </c>
      <c r="J1471" s="55" t="str">
        <f t="shared" si="82"/>
        <v>MDD3R1</v>
      </c>
    </row>
    <row r="1472" spans="1:10" hidden="1">
      <c r="A1472" s="1798" t="s">
        <v>4683</v>
      </c>
      <c r="C1472" s="1798" t="s">
        <v>4684</v>
      </c>
      <c r="D1472" s="55" t="s">
        <v>2448</v>
      </c>
      <c r="F1472" s="55">
        <v>50</v>
      </c>
      <c r="J1472" s="55" t="str">
        <f t="shared" si="82"/>
        <v>B16750V</v>
      </c>
    </row>
    <row r="1473" spans="1:10" hidden="1">
      <c r="A1473" s="1798" t="s">
        <v>4892</v>
      </c>
      <c r="C1473" s="1798" t="s">
        <v>4893</v>
      </c>
      <c r="D1473" s="55" t="s">
        <v>2448</v>
      </c>
      <c r="F1473" s="55">
        <v>50</v>
      </c>
      <c r="J1473" s="55" t="str">
        <f t="shared" si="82"/>
        <v>B16800V</v>
      </c>
    </row>
    <row r="1474" spans="1:10" hidden="1">
      <c r="A1474" s="1798" t="s">
        <v>4685</v>
      </c>
      <c r="C1474" s="1798" t="s">
        <v>4686</v>
      </c>
      <c r="D1474" s="55" t="s">
        <v>4687</v>
      </c>
      <c r="F1474" s="55">
        <v>997</v>
      </c>
      <c r="J1474" s="55" t="str">
        <f t="shared" si="82"/>
        <v>LVANK</v>
      </c>
    </row>
    <row r="1475" spans="1:10" hidden="1">
      <c r="A1475" s="1798" t="s">
        <v>4688</v>
      </c>
      <c r="C1475" s="1798" t="s">
        <v>4689</v>
      </c>
      <c r="D1475" s="55" t="s">
        <v>2842</v>
      </c>
      <c r="F1475" s="55">
        <v>2</v>
      </c>
      <c r="J1475" s="55" t="str">
        <f t="shared" si="82"/>
        <v>T12540</v>
      </c>
    </row>
    <row r="1476" spans="1:10" hidden="1">
      <c r="A1476" s="1798" t="s">
        <v>4690</v>
      </c>
      <c r="C1476" s="1798" t="s">
        <v>4691</v>
      </c>
      <c r="D1476" s="55" t="s">
        <v>4692</v>
      </c>
      <c r="F1476" s="55">
        <v>50</v>
      </c>
      <c r="J1476" s="55" t="str">
        <f t="shared" si="82"/>
        <v>d22</v>
      </c>
    </row>
    <row r="1477" spans="1:10" hidden="1">
      <c r="A1477" s="1798" t="s">
        <v>4693</v>
      </c>
      <c r="C1477" s="1798" t="s">
        <v>4694</v>
      </c>
      <c r="D1477" s="55" t="s">
        <v>4692</v>
      </c>
      <c r="F1477" s="55">
        <v>50</v>
      </c>
      <c r="J1477" s="55" t="str">
        <f t="shared" si="82"/>
        <v>t81</v>
      </c>
    </row>
    <row r="1478" spans="1:10" hidden="1">
      <c r="A1478" s="1798" t="s">
        <v>4695</v>
      </c>
      <c r="C1478" s="1798" t="s">
        <v>4696</v>
      </c>
      <c r="D1478" s="55" t="s">
        <v>4692</v>
      </c>
      <c r="F1478" s="55">
        <v>50</v>
      </c>
      <c r="J1478" s="55" t="str">
        <f t="shared" si="82"/>
        <v>d200</v>
      </c>
    </row>
    <row r="1479" spans="1:10" hidden="1">
      <c r="A1479" s="1798" t="s">
        <v>4697</v>
      </c>
      <c r="C1479" s="1798" t="s">
        <v>4698</v>
      </c>
      <c r="D1479" s="55" t="s">
        <v>4692</v>
      </c>
      <c r="F1479" s="55">
        <v>50</v>
      </c>
      <c r="J1479" s="55" t="str">
        <f t="shared" si="82"/>
        <v>t115</v>
      </c>
    </row>
    <row r="1480" spans="1:10" hidden="1">
      <c r="A1480" s="1798" t="s">
        <v>4699</v>
      </c>
      <c r="C1480" s="1798" t="s">
        <v>4700</v>
      </c>
      <c r="D1480" s="55" t="s">
        <v>2448</v>
      </c>
      <c r="F1480" s="55">
        <v>2000</v>
      </c>
      <c r="J1480" s="55" t="str">
        <f t="shared" si="82"/>
        <v>XT2</v>
      </c>
    </row>
    <row r="1481" spans="1:10" hidden="1">
      <c r="A1481" s="1798" t="s">
        <v>4701</v>
      </c>
      <c r="C1481" s="1798" t="s">
        <v>4702</v>
      </c>
      <c r="D1481" s="55" t="s">
        <v>2448</v>
      </c>
      <c r="F1481" s="55">
        <v>2000</v>
      </c>
      <c r="J1481" s="55" t="str">
        <f t="shared" si="82"/>
        <v>XTK2</v>
      </c>
    </row>
    <row r="1482" spans="1:10" hidden="1">
      <c r="A1482" s="1798" t="s">
        <v>4703</v>
      </c>
      <c r="C1482" s="1798" t="s">
        <v>4704</v>
      </c>
      <c r="D1482" s="55" t="s">
        <v>2566</v>
      </c>
      <c r="F1482" s="55">
        <v>50</v>
      </c>
      <c r="J1482" s="55" t="str">
        <f t="shared" ref="J1482:J1514" si="83">A1482</f>
        <v>MANG4</v>
      </c>
    </row>
    <row r="1483" spans="1:10" hidden="1">
      <c r="A1483" s="1798" t="s">
        <v>4705</v>
      </c>
      <c r="C1483" s="1798" t="s">
        <v>4706</v>
      </c>
      <c r="D1483" s="55" t="s">
        <v>2541</v>
      </c>
      <c r="F1483" s="55">
        <v>50</v>
      </c>
      <c r="J1483" s="55" t="str">
        <f t="shared" si="83"/>
        <v>ACX50</v>
      </c>
    </row>
    <row r="1484" spans="1:10">
      <c r="A1484" s="1798" t="s">
        <v>4707</v>
      </c>
      <c r="C1484" s="1798" t="s">
        <v>4708</v>
      </c>
      <c r="D1484" s="55" t="s">
        <v>2566</v>
      </c>
      <c r="F1484" s="55">
        <v>50</v>
      </c>
      <c r="J1484" s="55" t="str">
        <f t="shared" si="83"/>
        <v>GNIU 185</v>
      </c>
    </row>
    <row r="1485" spans="1:10">
      <c r="A1485" s="1798" t="s">
        <v>4709</v>
      </c>
      <c r="C1485" s="1798" t="s">
        <v>4710</v>
      </c>
      <c r="D1485" s="55" t="s">
        <v>2566</v>
      </c>
      <c r="F1485" s="55">
        <v>50</v>
      </c>
      <c r="J1485" s="55" t="str">
        <f t="shared" si="83"/>
        <v>GNIU50</v>
      </c>
    </row>
    <row r="1486" spans="1:10" hidden="1">
      <c r="A1486" s="1798" t="s">
        <v>4711</v>
      </c>
      <c r="C1486" s="1798" t="s">
        <v>4712</v>
      </c>
      <c r="D1486" s="55" t="s">
        <v>2566</v>
      </c>
      <c r="F1486" s="55">
        <v>50</v>
      </c>
      <c r="J1486" s="55" t="str">
        <f t="shared" si="83"/>
        <v>ke279</v>
      </c>
    </row>
    <row r="1487" spans="1:10" hidden="1">
      <c r="A1487" s="1798" t="s">
        <v>4713</v>
      </c>
      <c r="C1487" s="1798" t="s">
        <v>4714</v>
      </c>
      <c r="D1487" s="55" t="s">
        <v>2566</v>
      </c>
      <c r="F1487" s="55">
        <v>50</v>
      </c>
      <c r="J1487" s="55" t="str">
        <f t="shared" si="83"/>
        <v>ke419</v>
      </c>
    </row>
    <row r="1488" spans="1:10" hidden="1">
      <c r="A1488" s="1798" t="s">
        <v>4715</v>
      </c>
      <c r="C1488" s="1798" t="s">
        <v>4716</v>
      </c>
      <c r="D1488" s="55" t="s">
        <v>2566</v>
      </c>
      <c r="F1488" s="55">
        <v>50</v>
      </c>
      <c r="J1488" s="55" t="str">
        <f t="shared" si="83"/>
        <v>ke929</v>
      </c>
    </row>
    <row r="1489" spans="1:10" hidden="1">
      <c r="A1489" s="1798" t="s">
        <v>4717</v>
      </c>
      <c r="C1489" s="1798" t="s">
        <v>4820</v>
      </c>
      <c r="D1489" s="55" t="s">
        <v>1829</v>
      </c>
      <c r="F1489" s="55">
        <v>50</v>
      </c>
      <c r="J1489" s="55" t="str">
        <f t="shared" si="83"/>
        <v>OCN</v>
      </c>
    </row>
    <row r="1490" spans="1:10" hidden="1">
      <c r="A1490" s="1798" t="s">
        <v>4718</v>
      </c>
      <c r="C1490" s="1798" t="s">
        <v>4719</v>
      </c>
      <c r="D1490" s="55" t="s">
        <v>2448</v>
      </c>
      <c r="F1490" s="55">
        <v>50</v>
      </c>
      <c r="J1490" s="55" t="str">
        <f t="shared" si="83"/>
        <v>chupU</v>
      </c>
    </row>
    <row r="1491" spans="1:10" hidden="1">
      <c r="A1491" s="1798" t="s">
        <v>4720</v>
      </c>
      <c r="C1491" s="1798" t="s">
        <v>4721</v>
      </c>
      <c r="D1491" s="55" t="s">
        <v>2394</v>
      </c>
      <c r="F1491" s="55">
        <v>50</v>
      </c>
      <c r="J1491" s="55" t="str">
        <f t="shared" si="83"/>
        <v>KDIN</v>
      </c>
    </row>
    <row r="1492" spans="1:10" hidden="1">
      <c r="A1492" s="1798" t="s">
        <v>4758</v>
      </c>
      <c r="C1492" s="1798" t="s">
        <v>4965</v>
      </c>
      <c r="D1492" s="55" t="s">
        <v>2566</v>
      </c>
      <c r="F1492" s="55">
        <v>50</v>
      </c>
      <c r="J1492" s="55" t="str">
        <f t="shared" si="83"/>
        <v>ttf185</v>
      </c>
    </row>
    <row r="1493" spans="1:10" hidden="1">
      <c r="A1493" s="1798" t="s">
        <v>4759</v>
      </c>
      <c r="C1493" s="1798" t="s">
        <v>4673</v>
      </c>
      <c r="D1493" s="55" t="s">
        <v>2566</v>
      </c>
      <c r="F1493" s="55">
        <v>50</v>
      </c>
      <c r="J1493" s="55" t="str">
        <f t="shared" si="83"/>
        <v>ssf185</v>
      </c>
    </row>
    <row r="1494" spans="1:10" hidden="1">
      <c r="A1494" s="1798" t="s">
        <v>4722</v>
      </c>
      <c r="C1494" s="1798" t="s">
        <v>4723</v>
      </c>
      <c r="D1494" s="55" t="s">
        <v>2448</v>
      </c>
      <c r="F1494" s="55">
        <v>2000</v>
      </c>
      <c r="J1494" s="55" t="str">
        <f t="shared" si="83"/>
        <v>LSDD</v>
      </c>
    </row>
    <row r="1495" spans="1:10" hidden="1">
      <c r="A1495" s="1798" t="s">
        <v>4724</v>
      </c>
      <c r="C1495" s="1798" t="s">
        <v>3734</v>
      </c>
      <c r="D1495" s="55" t="s">
        <v>2448</v>
      </c>
      <c r="F1495" s="55">
        <v>2000</v>
      </c>
      <c r="J1495" s="55" t="str">
        <f t="shared" si="83"/>
        <v>BTLT 12 F540</v>
      </c>
    </row>
    <row r="1496" spans="1:10" hidden="1">
      <c r="A1496" s="1798" t="s">
        <v>4725</v>
      </c>
      <c r="C1496" s="1798" t="s">
        <v>4726</v>
      </c>
      <c r="D1496" s="55" t="s">
        <v>2566</v>
      </c>
      <c r="E1496" s="2275" t="s">
        <v>4727</v>
      </c>
      <c r="F1496" s="55">
        <v>18</v>
      </c>
      <c r="J1496" s="55" t="str">
        <f t="shared" si="83"/>
        <v>TC920</v>
      </c>
    </row>
    <row r="1497" spans="1:10" hidden="1">
      <c r="A1497" s="1798" t="s">
        <v>4728</v>
      </c>
      <c r="C1497" s="1798" t="s">
        <v>4729</v>
      </c>
      <c r="D1497" s="55" t="s">
        <v>2566</v>
      </c>
      <c r="E1497" s="2275" t="s">
        <v>4727</v>
      </c>
      <c r="F1497" s="55">
        <v>18</v>
      </c>
      <c r="J1497" s="55" t="str">
        <f t="shared" si="83"/>
        <v>TC810</v>
      </c>
    </row>
    <row r="1498" spans="1:10" hidden="1">
      <c r="A1498" s="1798" t="s">
        <v>4730</v>
      </c>
      <c r="C1498" s="1798" t="s">
        <v>4731</v>
      </c>
      <c r="D1498" s="55" t="s">
        <v>2566</v>
      </c>
      <c r="E1498" s="2275" t="s">
        <v>4727</v>
      </c>
      <c r="F1498" s="55">
        <v>18</v>
      </c>
      <c r="J1498" s="55" t="str">
        <f t="shared" si="83"/>
        <v>TC1150</v>
      </c>
    </row>
    <row r="1499" spans="1:10" hidden="1">
      <c r="A1499" s="1798" t="s">
        <v>4732</v>
      </c>
      <c r="C1499" s="1798" t="s">
        <v>4733</v>
      </c>
      <c r="D1499" s="55" t="s">
        <v>3468</v>
      </c>
      <c r="F1499" s="55">
        <v>17</v>
      </c>
      <c r="J1499" s="55" t="str">
        <f t="shared" si="83"/>
        <v>Xa1660</v>
      </c>
    </row>
    <row r="1500" spans="1:10" hidden="1">
      <c r="A1500" s="1798" t="s">
        <v>4734</v>
      </c>
      <c r="C1500" s="1798" t="s">
        <v>4735</v>
      </c>
      <c r="D1500" s="55" t="s">
        <v>3468</v>
      </c>
      <c r="F1500" s="55">
        <v>17</v>
      </c>
      <c r="J1500" s="55" t="str">
        <f t="shared" si="83"/>
        <v>xa2000</v>
      </c>
    </row>
    <row r="1501" spans="1:10" hidden="1">
      <c r="A1501" s="1798" t="s">
        <v>4736</v>
      </c>
      <c r="C1501" s="1798" t="s">
        <v>4737</v>
      </c>
      <c r="D1501" s="55" t="s">
        <v>3468</v>
      </c>
      <c r="F1501" s="55">
        <v>17</v>
      </c>
      <c r="J1501" s="55" t="str">
        <f t="shared" si="83"/>
        <v>xa2200</v>
      </c>
    </row>
    <row r="1502" spans="1:10" hidden="1">
      <c r="A1502" s="1798" t="s">
        <v>4738</v>
      </c>
      <c r="C1502" s="1798" t="s">
        <v>4578</v>
      </c>
      <c r="D1502" s="55" t="s">
        <v>2601</v>
      </c>
      <c r="F1502" s="55">
        <v>17</v>
      </c>
      <c r="G1502" s="55" t="s">
        <v>512</v>
      </c>
      <c r="J1502" s="55" t="str">
        <f t="shared" si="83"/>
        <v>com800</v>
      </c>
    </row>
    <row r="1503" spans="1:10" hidden="1">
      <c r="A1503" s="1798" t="s">
        <v>4739</v>
      </c>
      <c r="C1503" s="1798" t="s">
        <v>4740</v>
      </c>
      <c r="D1503" s="55" t="s">
        <v>2566</v>
      </c>
      <c r="F1503" s="55">
        <v>50</v>
      </c>
      <c r="J1503" s="55" t="str">
        <f t="shared" si="83"/>
        <v>len</v>
      </c>
    </row>
    <row r="1504" spans="1:10" hidden="1">
      <c r="A1504" s="1798" t="s">
        <v>4741</v>
      </c>
      <c r="C1504" s="1798" t="s">
        <v>4742</v>
      </c>
      <c r="D1504" s="55" t="s">
        <v>2566</v>
      </c>
      <c r="F1504" s="55">
        <v>50</v>
      </c>
      <c r="J1504" s="55" t="str">
        <f t="shared" ref="J1504" si="84">A1504</f>
        <v>Kep3U</v>
      </c>
    </row>
    <row r="1505" spans="1:10" hidden="1">
      <c r="A1505" s="1798" t="s">
        <v>5194</v>
      </c>
      <c r="C1505" s="1798" t="s">
        <v>5195</v>
      </c>
      <c r="D1505" s="55" t="s">
        <v>2566</v>
      </c>
      <c r="F1505" s="55">
        <v>50</v>
      </c>
      <c r="J1505" s="55" t="str">
        <f t="shared" si="83"/>
        <v>Kep5U</v>
      </c>
    </row>
    <row r="1506" spans="1:10" hidden="1">
      <c r="A1506" s="1798" t="s">
        <v>4743</v>
      </c>
      <c r="C1506" s="1798" t="s">
        <v>4744</v>
      </c>
      <c r="D1506" s="55" t="s">
        <v>2566</v>
      </c>
      <c r="F1506" s="55">
        <v>50</v>
      </c>
      <c r="J1506" s="55" t="str">
        <f t="shared" si="83"/>
        <v>tsd20</v>
      </c>
    </row>
    <row r="1507" spans="1:10" hidden="1">
      <c r="A1507" s="1798" t="s">
        <v>4745</v>
      </c>
      <c r="C1507" s="1798" t="s">
        <v>4746</v>
      </c>
      <c r="D1507" s="55" t="s">
        <v>2394</v>
      </c>
      <c r="F1507" s="55">
        <v>2000</v>
      </c>
      <c r="J1507" s="55" t="str">
        <f t="shared" si="83"/>
        <v>STTT-2BAT</v>
      </c>
    </row>
    <row r="1508" spans="1:10" hidden="1">
      <c r="A1508" s="1798" t="s">
        <v>4747</v>
      </c>
      <c r="C1508" s="1798" t="s">
        <v>4748</v>
      </c>
      <c r="D1508" s="55" t="s">
        <v>2448</v>
      </c>
      <c r="F1508" s="55">
        <v>19</v>
      </c>
      <c r="J1508" s="55" t="str">
        <f t="shared" si="83"/>
        <v>cl1200</v>
      </c>
    </row>
    <row r="1509" spans="1:10" hidden="1">
      <c r="A1509" s="1798" t="s">
        <v>4749</v>
      </c>
      <c r="C1509" s="1798" t="s">
        <v>4750</v>
      </c>
      <c r="D1509" s="55" t="s">
        <v>2448</v>
      </c>
      <c r="E1509" s="2275" t="s">
        <v>4751</v>
      </c>
      <c r="F1509" s="55">
        <v>50</v>
      </c>
      <c r="J1509" s="55" t="str">
        <f t="shared" si="83"/>
        <v>BMOC16200</v>
      </c>
    </row>
    <row r="1510" spans="1:10" hidden="1">
      <c r="A1510" s="1798" t="s">
        <v>4752</v>
      </c>
      <c r="C1510" s="1798" t="s">
        <v>4753</v>
      </c>
      <c r="D1510" s="55" t="s">
        <v>2448</v>
      </c>
      <c r="F1510" s="55">
        <v>2000</v>
      </c>
      <c r="G1510" s="55" t="s">
        <v>512</v>
      </c>
      <c r="J1510" s="55" t="str">
        <f t="shared" si="83"/>
        <v>X-com800</v>
      </c>
    </row>
    <row r="1511" spans="1:10" hidden="1">
      <c r="A1511" s="1798" t="s">
        <v>4754</v>
      </c>
      <c r="C1511" s="1798" t="s">
        <v>3955</v>
      </c>
      <c r="D1511" s="55" t="s">
        <v>2566</v>
      </c>
      <c r="E1511" s="2275" t="s">
        <v>4755</v>
      </c>
      <c r="F1511" s="55">
        <v>50</v>
      </c>
      <c r="J1511" s="55" t="str">
        <f t="shared" si="83"/>
        <v>GIP</v>
      </c>
    </row>
    <row r="1512" spans="1:10" hidden="1">
      <c r="A1512" s="1798" t="s">
        <v>4762</v>
      </c>
      <c r="C1512" s="1798" t="s">
        <v>4763</v>
      </c>
      <c r="D1512" s="55" t="s">
        <v>2566</v>
      </c>
      <c r="F1512" s="55">
        <v>50</v>
      </c>
      <c r="J1512" s="55" t="str">
        <f t="shared" si="83"/>
        <v>khanhkep</v>
      </c>
    </row>
    <row r="1513" spans="1:10" hidden="1">
      <c r="A1513" s="1798" t="s">
        <v>4864</v>
      </c>
      <c r="C1513" s="1798" t="s">
        <v>4911</v>
      </c>
      <c r="J1513" s="55" t="str">
        <f t="shared" si="83"/>
        <v>X-22K-Đ-C920</v>
      </c>
    </row>
    <row r="1514" spans="1:10" hidden="1">
      <c r="A1514" s="1798" t="s">
        <v>4865</v>
      </c>
      <c r="C1514" s="1798" t="s">
        <v>4910</v>
      </c>
      <c r="J1514" s="55" t="str">
        <f t="shared" si="83"/>
        <v>X-22K-K-C920</v>
      </c>
    </row>
  </sheetData>
  <autoFilter ref="A1:G1514" xr:uid="{00000000-0009-0000-0000-000000000000}">
    <filterColumn colId="2">
      <colorFilter dxfId="184"/>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3" priority="94"/>
  </conditionalFormatting>
  <conditionalFormatting sqref="A1116">
    <cfRule type="duplicateValues" dxfId="182" priority="93"/>
  </conditionalFormatting>
  <conditionalFormatting sqref="A461">
    <cfRule type="duplicateValues" dxfId="181" priority="92"/>
  </conditionalFormatting>
  <conditionalFormatting sqref="A307">
    <cfRule type="duplicateValues" dxfId="180" priority="91"/>
  </conditionalFormatting>
  <conditionalFormatting sqref="A1065">
    <cfRule type="duplicateValues" dxfId="179" priority="90"/>
  </conditionalFormatting>
  <conditionalFormatting sqref="A230">
    <cfRule type="duplicateValues" dxfId="178" priority="89"/>
  </conditionalFormatting>
  <conditionalFormatting sqref="A184">
    <cfRule type="duplicateValues" dxfId="177" priority="88"/>
  </conditionalFormatting>
  <conditionalFormatting sqref="A310">
    <cfRule type="duplicateValues" dxfId="176" priority="87"/>
  </conditionalFormatting>
  <conditionalFormatting sqref="A264">
    <cfRule type="duplicateValues" dxfId="175" priority="86"/>
  </conditionalFormatting>
  <conditionalFormatting sqref="A989">
    <cfRule type="duplicateValues" dxfId="174" priority="85"/>
  </conditionalFormatting>
  <conditionalFormatting sqref="A462">
    <cfRule type="duplicateValues" dxfId="173" priority="84"/>
  </conditionalFormatting>
  <conditionalFormatting sqref="A33">
    <cfRule type="duplicateValues" dxfId="172" priority="83"/>
  </conditionalFormatting>
  <conditionalFormatting sqref="A1450:A1465">
    <cfRule type="duplicateValues" dxfId="171" priority="82"/>
  </conditionalFormatting>
  <conditionalFormatting sqref="A1261">
    <cfRule type="duplicateValues" dxfId="170" priority="80"/>
  </conditionalFormatting>
  <conditionalFormatting sqref="A463">
    <cfRule type="duplicateValues" dxfId="169" priority="79"/>
  </conditionalFormatting>
  <conditionalFormatting sqref="A464">
    <cfRule type="duplicateValues" dxfId="168" priority="78"/>
  </conditionalFormatting>
  <conditionalFormatting sqref="A1349">
    <cfRule type="duplicateValues" dxfId="167" priority="77"/>
  </conditionalFormatting>
  <conditionalFormatting sqref="A1177:A1471 A923:A1015 A2:A60 A404:A456 A395:A396 A1017:A1109 A1111:A1169 A62:A82 A1473:A1503 A458:A921 A139:A194 A370:A389 A196:A367 A1505:A1048576 A84:A137">
    <cfRule type="duplicateValues" dxfId="166" priority="75"/>
  </conditionalFormatting>
  <conditionalFormatting sqref="A922">
    <cfRule type="duplicateValues" dxfId="165" priority="73"/>
  </conditionalFormatting>
  <conditionalFormatting sqref="A922">
    <cfRule type="duplicateValues" dxfId="164" priority="72"/>
  </conditionalFormatting>
  <conditionalFormatting sqref="A397">
    <cfRule type="duplicateValues" dxfId="163" priority="70"/>
  </conditionalFormatting>
  <conditionalFormatting sqref="A397">
    <cfRule type="duplicateValues" dxfId="162" priority="69"/>
  </conditionalFormatting>
  <conditionalFormatting sqref="A390">
    <cfRule type="duplicateValues" dxfId="161" priority="67"/>
  </conditionalFormatting>
  <conditionalFormatting sqref="A390">
    <cfRule type="duplicateValues" dxfId="160" priority="66"/>
  </conditionalFormatting>
  <conditionalFormatting sqref="A1016">
    <cfRule type="duplicateValues" dxfId="159" priority="64"/>
  </conditionalFormatting>
  <conditionalFormatting sqref="A1016">
    <cfRule type="duplicateValues" dxfId="158" priority="63"/>
  </conditionalFormatting>
  <conditionalFormatting sqref="A1110">
    <cfRule type="duplicateValues" dxfId="157" priority="61"/>
  </conditionalFormatting>
  <conditionalFormatting sqref="A1110">
    <cfRule type="duplicateValues" dxfId="156" priority="60"/>
  </conditionalFormatting>
  <conditionalFormatting sqref="A398">
    <cfRule type="duplicateValues" dxfId="155" priority="58"/>
  </conditionalFormatting>
  <conditionalFormatting sqref="A398">
    <cfRule type="duplicateValues" dxfId="154" priority="57"/>
  </conditionalFormatting>
  <conditionalFormatting sqref="A399:A400 A402:A403">
    <cfRule type="duplicateValues" dxfId="153" priority="55"/>
  </conditionalFormatting>
  <conditionalFormatting sqref="A399:A400">
    <cfRule type="duplicateValues" dxfId="152" priority="54"/>
  </conditionalFormatting>
  <conditionalFormatting sqref="A394">
    <cfRule type="duplicateValues" dxfId="151" priority="52"/>
  </conditionalFormatting>
  <conditionalFormatting sqref="A394">
    <cfRule type="duplicateValues" dxfId="150" priority="51"/>
  </conditionalFormatting>
  <conditionalFormatting sqref="A391:A392">
    <cfRule type="duplicateValues" dxfId="149" priority="48"/>
  </conditionalFormatting>
  <conditionalFormatting sqref="A391:A392">
    <cfRule type="duplicateValues" dxfId="148" priority="47"/>
  </conditionalFormatting>
  <conditionalFormatting sqref="A393">
    <cfRule type="duplicateValues" dxfId="147" priority="45"/>
  </conditionalFormatting>
  <conditionalFormatting sqref="A393">
    <cfRule type="duplicateValues" dxfId="146" priority="44"/>
  </conditionalFormatting>
  <conditionalFormatting sqref="A61">
    <cfRule type="duplicateValues" dxfId="145" priority="42"/>
  </conditionalFormatting>
  <conditionalFormatting sqref="A61">
    <cfRule type="duplicateValues" dxfId="144" priority="41"/>
  </conditionalFormatting>
  <conditionalFormatting sqref="A1170">
    <cfRule type="duplicateValues" dxfId="143" priority="39"/>
  </conditionalFormatting>
  <conditionalFormatting sqref="A1170">
    <cfRule type="duplicateValues" dxfId="142" priority="38"/>
  </conditionalFormatting>
  <conditionalFormatting sqref="A1176">
    <cfRule type="duplicateValues" dxfId="141" priority="36"/>
  </conditionalFormatting>
  <conditionalFormatting sqref="A1176">
    <cfRule type="duplicateValues" dxfId="140" priority="35"/>
  </conditionalFormatting>
  <conditionalFormatting sqref="A1171">
    <cfRule type="duplicateValues" dxfId="139" priority="33"/>
  </conditionalFormatting>
  <conditionalFormatting sqref="A1171">
    <cfRule type="duplicateValues" dxfId="138" priority="32"/>
  </conditionalFormatting>
  <conditionalFormatting sqref="A1172:A1175">
    <cfRule type="duplicateValues" dxfId="137" priority="30"/>
  </conditionalFormatting>
  <conditionalFormatting sqref="A1172:A1175">
    <cfRule type="duplicateValues" dxfId="136" priority="29"/>
  </conditionalFormatting>
  <conditionalFormatting sqref="A1472">
    <cfRule type="duplicateValues" dxfId="135" priority="27"/>
  </conditionalFormatting>
  <conditionalFormatting sqref="A1472">
    <cfRule type="duplicateValues" dxfId="134" priority="26"/>
  </conditionalFormatting>
  <conditionalFormatting sqref="A457">
    <cfRule type="duplicateValues" dxfId="133" priority="24"/>
  </conditionalFormatting>
  <conditionalFormatting sqref="A457">
    <cfRule type="duplicateValues" dxfId="132" priority="23"/>
  </conditionalFormatting>
  <conditionalFormatting sqref="A138">
    <cfRule type="duplicateValues" dxfId="131" priority="21"/>
  </conditionalFormatting>
  <conditionalFormatting sqref="A138">
    <cfRule type="duplicateValues" dxfId="130" priority="20"/>
  </conditionalFormatting>
  <conditionalFormatting sqref="A401">
    <cfRule type="duplicateValues" dxfId="129" priority="18"/>
  </conditionalFormatting>
  <conditionalFormatting sqref="A401">
    <cfRule type="duplicateValues" dxfId="128" priority="17"/>
  </conditionalFormatting>
  <conditionalFormatting sqref="A368">
    <cfRule type="duplicateValues" dxfId="127" priority="15"/>
  </conditionalFormatting>
  <conditionalFormatting sqref="A368">
    <cfRule type="duplicateValues" dxfId="126" priority="14"/>
  </conditionalFormatting>
  <conditionalFormatting sqref="A369">
    <cfRule type="duplicateValues" dxfId="125" priority="12"/>
  </conditionalFormatting>
  <conditionalFormatting sqref="A369">
    <cfRule type="duplicateValues" dxfId="124" priority="11"/>
  </conditionalFormatting>
  <conditionalFormatting sqref="A195">
    <cfRule type="duplicateValues" dxfId="123" priority="9"/>
  </conditionalFormatting>
  <conditionalFormatting sqref="A195">
    <cfRule type="duplicateValues" dxfId="122" priority="8"/>
  </conditionalFormatting>
  <conditionalFormatting sqref="A1504">
    <cfRule type="duplicateValues" dxfId="121" priority="6"/>
  </conditionalFormatting>
  <conditionalFormatting sqref="A1504">
    <cfRule type="duplicateValues" dxfId="120" priority="5"/>
  </conditionalFormatting>
  <conditionalFormatting sqref="A83">
    <cfRule type="duplicateValues" dxfId="119" priority="3"/>
  </conditionalFormatting>
  <conditionalFormatting sqref="A83">
    <cfRule type="duplicateValues" dxfId="118"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zoomScale="85" zoomScaleNormal="85" workbookViewId="0">
      <selection activeCell="H5" sqref="H5"/>
    </sheetView>
  </sheetViews>
  <sheetFormatPr defaultColWidth="8.90625" defaultRowHeight="50.1" customHeight="1" outlineLevelCol="1"/>
  <cols>
    <col min="1" max="1" width="18.90625" style="994" customWidth="1" outlineLevel="1"/>
    <col min="2" max="2" width="20.54296875" style="994" customWidth="1" outlineLevel="1"/>
    <col min="3" max="3" width="15.08984375" style="1285" customWidth="1" outlineLevel="1"/>
    <col min="4" max="4" width="11.453125" style="995" customWidth="1" outlineLevel="1"/>
    <col min="5" max="5" width="15.08984375" style="1285" customWidth="1" outlineLevel="1"/>
    <col min="6" max="6" width="11.453125" style="994" customWidth="1" outlineLevel="1"/>
    <col min="7" max="7" width="11.453125" style="995" customWidth="1" outlineLevel="1"/>
    <col min="8" max="8" width="19" style="995" customWidth="1" outlineLevel="1"/>
    <col min="9" max="9" width="13.81640625" style="995" customWidth="1" outlineLevel="1"/>
    <col min="10" max="10" width="12.81640625" customWidth="1" outlineLevel="1"/>
    <col min="11" max="11" width="8.08984375" style="995" customWidth="1" outlineLevel="1"/>
    <col min="12" max="12" width="8.81640625" style="995" customWidth="1" outlineLevel="1"/>
    <col min="13" max="15" width="11.54296875" style="995" customWidth="1" outlineLevel="1"/>
    <col min="16" max="16" width="8.1796875" style="998" customWidth="1" outlineLevel="1"/>
    <col min="17" max="17" width="15.453125" style="995" customWidth="1" outlineLevel="1"/>
    <col min="18" max="18" width="17.453125" style="995" customWidth="1" outlineLevel="1"/>
    <col min="19" max="19" width="21" style="994" customWidth="1" outlineLevel="1"/>
    <col min="20" max="20" width="19.6328125" style="994" customWidth="1"/>
    <col min="21" max="21" width="17.1796875" style="994" customWidth="1"/>
    <col min="22" max="22" width="10.54296875" style="994" customWidth="1"/>
    <col min="23" max="24" width="8.90625" style="994"/>
    <col min="25" max="27" width="22.6328125" style="994" customWidth="1"/>
    <col min="28" max="28" width="22.6328125" style="994" hidden="1" customWidth="1"/>
    <col min="29" max="34" width="8.90625" style="994"/>
    <col min="35" max="35" width="11.90625" style="994" customWidth="1"/>
    <col min="36" max="41" width="8.90625" style="994"/>
    <col min="42" max="42" width="8.90625" style="1285"/>
    <col min="43" max="16384" width="8.90625" style="994"/>
  </cols>
  <sheetData>
    <row r="1" spans="1:45" s="997" customFormat="1" ht="50.1" customHeight="1" thickTop="1">
      <c r="A1" s="1938" t="s">
        <v>4642</v>
      </c>
      <c r="B1" s="1938" t="s">
        <v>4409</v>
      </c>
      <c r="C1" s="1938" t="s">
        <v>4579</v>
      </c>
      <c r="D1" s="1938" t="s">
        <v>4412</v>
      </c>
      <c r="E1" s="1938" t="s">
        <v>4590</v>
      </c>
      <c r="F1" s="1938" t="s">
        <v>4503</v>
      </c>
      <c r="G1" s="1938" t="s">
        <v>4643</v>
      </c>
      <c r="H1" s="1938" t="s">
        <v>4644</v>
      </c>
      <c r="I1" s="1938" t="s">
        <v>4645</v>
      </c>
      <c r="J1" s="1938" t="s">
        <v>4646</v>
      </c>
      <c r="K1" s="1938" t="s">
        <v>4647</v>
      </c>
      <c r="L1" s="1938" t="s">
        <v>4648</v>
      </c>
      <c r="M1" s="1938" t="s">
        <v>4649</v>
      </c>
      <c r="N1" s="1938" t="s">
        <v>4416</v>
      </c>
      <c r="O1" s="1938" t="s">
        <v>4413</v>
      </c>
      <c r="P1" s="1938" t="s">
        <v>4414</v>
      </c>
      <c r="Q1" s="1938" t="s">
        <v>4415</v>
      </c>
      <c r="R1" s="1938" t="s">
        <v>4411</v>
      </c>
      <c r="S1" s="1938" t="s">
        <v>4650</v>
      </c>
      <c r="T1" s="1938" t="s">
        <v>4651</v>
      </c>
      <c r="U1" s="1938" t="s">
        <v>4204</v>
      </c>
      <c r="V1" s="1938" t="s">
        <v>4652</v>
      </c>
      <c r="W1" s="1938" t="s">
        <v>4418</v>
      </c>
      <c r="X1" s="1938" t="s">
        <v>4419</v>
      </c>
      <c r="Y1" s="1938" t="s">
        <v>4421</v>
      </c>
      <c r="Z1" s="1938" t="s">
        <v>4417</v>
      </c>
      <c r="AA1" s="1938" t="s">
        <v>4420</v>
      </c>
      <c r="AB1" s="1938" t="s">
        <v>4410</v>
      </c>
      <c r="AC1" s="1941" t="s">
        <v>4325</v>
      </c>
      <c r="AD1" s="1942" t="s">
        <v>4653</v>
      </c>
      <c r="AE1" s="1943" t="s">
        <v>4654</v>
      </c>
      <c r="AF1" s="1944" t="s">
        <v>4655</v>
      </c>
      <c r="AG1" s="1938" t="s">
        <v>4656</v>
      </c>
      <c r="AH1" s="1938" t="s">
        <v>4657</v>
      </c>
      <c r="AI1" s="997" t="s">
        <v>4821</v>
      </c>
      <c r="AJ1" s="997" t="s">
        <v>4854</v>
      </c>
      <c r="AK1" s="997" t="s">
        <v>4906</v>
      </c>
      <c r="AL1" s="997" t="s">
        <v>4903</v>
      </c>
      <c r="AM1" s="997" t="s">
        <v>4508</v>
      </c>
      <c r="AN1" s="997" t="s">
        <v>1066</v>
      </c>
      <c r="AO1" s="997" t="s">
        <v>4905</v>
      </c>
      <c r="AP1" s="1937" t="s">
        <v>4912</v>
      </c>
      <c r="AQ1" s="997" t="s">
        <v>4904</v>
      </c>
      <c r="AR1" s="997" t="s">
        <v>4907</v>
      </c>
      <c r="AS1" s="997" t="s">
        <v>4908</v>
      </c>
    </row>
    <row r="2" spans="1:45" s="1288" customFormat="1" ht="124.8">
      <c r="A2" s="1939" t="s">
        <v>5236</v>
      </c>
      <c r="B2" s="1939" t="s">
        <v>5237</v>
      </c>
      <c r="C2" s="1936" t="s">
        <v>4568</v>
      </c>
      <c r="D2" s="1939" t="s">
        <v>5238</v>
      </c>
      <c r="E2" s="1936" t="s">
        <v>4568</v>
      </c>
      <c r="F2" s="1939" t="s">
        <v>4658</v>
      </c>
      <c r="G2" s="1939" t="s">
        <v>4532</v>
      </c>
      <c r="H2" s="1939" t="s">
        <v>5319</v>
      </c>
      <c r="I2" s="1939" t="s">
        <v>5320</v>
      </c>
      <c r="J2" s="1939" t="s">
        <v>5321</v>
      </c>
      <c r="K2" s="1939"/>
      <c r="L2" s="1939"/>
      <c r="M2" s="1939"/>
      <c r="N2" s="1939"/>
      <c r="O2" s="1939"/>
      <c r="P2" s="1937"/>
      <c r="Q2" s="1937"/>
      <c r="R2" s="1939"/>
      <c r="S2" s="1939"/>
      <c r="T2" s="1936" t="s">
        <v>4568</v>
      </c>
      <c r="U2" s="1940"/>
      <c r="V2" s="1940" t="s">
        <v>4204</v>
      </c>
      <c r="W2" s="1936" t="s">
        <v>5154</v>
      </c>
      <c r="X2" s="1940" t="str">
        <f>UPPER(W2)</f>
        <v>XUÂN LỘC</v>
      </c>
      <c r="Y2" s="1939" t="s">
        <v>5239</v>
      </c>
      <c r="Z2" s="1939" t="str">
        <f>UPPER(Y2)</f>
        <v>GÓI THẦU SỐ 07 (XÂY DỰNG): HỆ THỐNG PANO, ĐÈN LED TRANG TRÍ, CAMERA AN NINH - THUỘC DỰ ÁN: ĐƯỜNG NGUYỄN THỊ MINH KHAI, HUYỆN XUÂN LỘC</v>
      </c>
      <c r="AA2" s="1940" t="str">
        <f>"Huyện "&amp;W2&amp;" - Tỉnh Đồng Nai"</f>
        <v>Huyện Xuân Lộc - Tỉnh Đồng Nai</v>
      </c>
      <c r="AB2" s="1940" t="str">
        <f>UPPER(AA2)</f>
        <v>HUYỆN XUÂN LỘC - TỈNH ĐỒNG NAI</v>
      </c>
      <c r="AC2" s="1945" t="s">
        <v>4659</v>
      </c>
      <c r="AD2" s="1946" t="s">
        <v>4660</v>
      </c>
      <c r="AE2" s="1947" t="s">
        <v>4203</v>
      </c>
      <c r="AF2" s="1948"/>
      <c r="AG2" s="2143" t="s">
        <v>4803</v>
      </c>
      <c r="AH2" s="2143" t="s">
        <v>4902</v>
      </c>
      <c r="AI2" s="1288" t="s">
        <v>4900</v>
      </c>
      <c r="AJ2" s="2299" t="s">
        <v>4901</v>
      </c>
      <c r="AK2" s="2305">
        <f>Solieu!D3</f>
        <v>2</v>
      </c>
      <c r="AL2" s="2305">
        <f>Solieu!D4</f>
        <v>3</v>
      </c>
      <c r="AM2" s="2305">
        <f>Solieu!D5</f>
        <v>4</v>
      </c>
      <c r="AN2" s="2305">
        <f>Solieu!D6</f>
        <v>4</v>
      </c>
      <c r="AO2" s="2305">
        <f>Solieu!D7</f>
        <v>5</v>
      </c>
      <c r="AP2" s="2305">
        <f>Solieu!D8</f>
        <v>6</v>
      </c>
      <c r="AQ2" s="2305">
        <f>Solieu!D9</f>
        <v>7</v>
      </c>
      <c r="AR2" s="2305">
        <f>Solieu!D10</f>
        <v>8</v>
      </c>
      <c r="AS2" s="2305">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36" t="s">
        <v>4825</v>
      </c>
      <c r="Y3" s="1939" t="s">
        <v>4826</v>
      </c>
      <c r="Z3" s="1939" t="str">
        <f>UPPER(Y3)</f>
        <v>ĐƯỜNG DÂY TRUNG THẾ &amp; TBA 1 PHA 25KVA - 12,7/0,23 KV HỘ DUY TRƯỜNG</v>
      </c>
      <c r="AI3" s="1288" t="s">
        <v>4822</v>
      </c>
    </row>
    <row r="4" spans="1:45" s="1012" customFormat="1" ht="50.1" customHeight="1">
      <c r="A4" s="985"/>
      <c r="B4" s="985"/>
      <c r="C4" s="1287"/>
      <c r="D4" s="985"/>
      <c r="E4" s="1287"/>
      <c r="F4" s="985"/>
      <c r="G4" s="985"/>
      <c r="H4" s="985"/>
      <c r="I4" s="985"/>
      <c r="J4" s="997"/>
      <c r="K4" s="997"/>
      <c r="P4" s="1013"/>
      <c r="Q4" s="985"/>
      <c r="W4" s="1936" t="s">
        <v>4853</v>
      </c>
      <c r="Y4" s="1939" t="s">
        <v>4812</v>
      </c>
    </row>
    <row r="5" spans="1:45" s="1012" customFormat="1" ht="165" customHeight="1">
      <c r="A5" s="985"/>
      <c r="B5" s="985"/>
      <c r="C5" s="1287"/>
      <c r="D5" s="985"/>
      <c r="E5" s="1287"/>
      <c r="F5" s="985"/>
      <c r="P5" s="1013"/>
      <c r="Y5" s="1013" t="s">
        <v>5153</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M2 M6:M9 C2 C4:C9 E2 E4:E9"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3786</v>
      </c>
      <c r="C3" s="101"/>
      <c r="D3" s="101"/>
      <c r="E3" s="101"/>
      <c r="F3" s="102"/>
      <c r="G3" s="103"/>
      <c r="H3" s="104"/>
      <c r="I3" s="104"/>
    </row>
    <row r="4" spans="1:13" ht="13.8">
      <c r="A4" s="105"/>
      <c r="B4" s="2525" t="s">
        <v>1714</v>
      </c>
      <c r="C4" s="2525" t="s">
        <v>2289</v>
      </c>
      <c r="D4" s="92" t="s">
        <v>2290</v>
      </c>
      <c r="E4" s="92" t="s">
        <v>2291</v>
      </c>
      <c r="F4" s="106">
        <f>pp_NC!GV5</f>
        <v>0</v>
      </c>
      <c r="G4" s="106" t="str">
        <f>'pp3p2m '!ED6</f>
        <v>B</v>
      </c>
      <c r="H4" s="106" t="s">
        <v>1040</v>
      </c>
      <c r="I4" s="106" t="s">
        <v>1040</v>
      </c>
      <c r="J4" s="107"/>
      <c r="K4" s="103"/>
      <c r="L4" s="103"/>
      <c r="M4" s="103"/>
    </row>
    <row r="5" spans="1:13" ht="13.8">
      <c r="A5" s="93" t="s">
        <v>2292</v>
      </c>
      <c r="B5" s="2526"/>
      <c r="C5" s="2526"/>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3.8">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3.8">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3.8">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3.8">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3.8">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3.8">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3.8">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3.8">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3.8">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4.4">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chitiet!B1519</f>
        <v>SD</v>
      </c>
      <c r="B133" s="18"/>
      <c r="C133" s="16" t="e">
        <f t="shared" si="15"/>
        <v>#NAME?</v>
      </c>
      <c r="D133" s="19" t="e">
        <f t="shared" si="11"/>
        <v>#NAME?</v>
      </c>
      <c r="E133" s="17"/>
      <c r="F133" s="4"/>
      <c r="G133" s="8">
        <f t="shared" si="14"/>
        <v>0</v>
      </c>
      <c r="H133" s="4"/>
      <c r="I133" s="4"/>
      <c r="J133" s="4"/>
    </row>
    <row r="134" spans="1:10" s="1" customFormat="1" ht="13.8">
      <c r="A134" s="9" t="str">
        <f>chitiet!B1520</f>
        <v>CSDI</v>
      </c>
      <c r="B134" s="18"/>
      <c r="C134" s="16" t="e">
        <f t="shared" si="15"/>
        <v>#NAME?</v>
      </c>
      <c r="D134" s="19" t="e">
        <f t="shared" si="11"/>
        <v>#NAME?</v>
      </c>
      <c r="E134" s="17"/>
      <c r="F134" s="4"/>
      <c r="G134" s="8">
        <f t="shared" si="14"/>
        <v>0</v>
      </c>
      <c r="H134" s="4"/>
      <c r="I134" s="4"/>
      <c r="J134" s="4"/>
    </row>
    <row r="135" spans="1:10" s="1" customFormat="1" ht="13.8">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chitiet!B1536</f>
        <v>MND</v>
      </c>
      <c r="B150" s="18"/>
      <c r="C150" s="16" t="e">
        <f t="shared" si="15"/>
        <v>#NAME?</v>
      </c>
      <c r="D150" s="19" t="e">
        <f t="shared" si="11"/>
        <v>#NAME?</v>
      </c>
      <c r="E150" s="17"/>
      <c r="F150" s="4"/>
      <c r="G150" s="8">
        <f t="shared" si="14"/>
        <v>0</v>
      </c>
      <c r="H150" s="4"/>
      <c r="I150" s="4"/>
      <c r="J150" s="4"/>
    </row>
    <row r="151" spans="1:10" ht="13.8">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3.8">
      <c r="A154" s="130">
        <f>chitiet!B1543</f>
        <v>0</v>
      </c>
      <c r="B154" s="114"/>
      <c r="C154" s="60" t="s">
        <v>2526</v>
      </c>
      <c r="D154" s="98"/>
      <c r="E154" s="116"/>
      <c r="F154" s="105"/>
      <c r="G154" s="117">
        <v>1</v>
      </c>
      <c r="H154" s="105"/>
      <c r="I154" s="105"/>
      <c r="J154" s="105"/>
    </row>
    <row r="155" spans="1:10" s="1" customFormat="1" ht="13.8">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3.8">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3.8">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3.8">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3.8">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3.8">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3.8">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3.8">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3.8">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3.8">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3.8">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3.8">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3.8">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3.8">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3.8">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3.8">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3.8">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3.8">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3.8">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3.8">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3.8">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3.8">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3.8">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3.8">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3.8">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3.8">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3.8">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3.8">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3.8">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3.8">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3.8">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3.8">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3.8">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3.8">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3.8">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3.8">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3.8">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3.8">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3.8">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3.8">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3.8">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3.8">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573" t="s">
        <v>3789</v>
      </c>
      <c r="B4" s="2537" t="s">
        <v>3790</v>
      </c>
      <c r="C4" s="2537" t="s">
        <v>4431</v>
      </c>
      <c r="D4" s="2537" t="s">
        <v>3791</v>
      </c>
      <c r="E4" s="2537" t="s">
        <v>3792</v>
      </c>
      <c r="F4" s="2537" t="s">
        <v>3793</v>
      </c>
      <c r="G4" s="2537" t="s">
        <v>3794</v>
      </c>
      <c r="H4" s="2537" t="s">
        <v>3795</v>
      </c>
      <c r="I4" s="2537" t="s">
        <v>3796</v>
      </c>
      <c r="J4" s="2567" t="s">
        <v>3797</v>
      </c>
      <c r="K4" s="2567" t="s">
        <v>3798</v>
      </c>
      <c r="L4" s="2567" t="s">
        <v>3799</v>
      </c>
      <c r="M4" s="2570"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560" t="s">
        <v>3803</v>
      </c>
      <c r="BR4" s="2561"/>
      <c r="BS4" s="2561"/>
      <c r="BT4" s="2561"/>
      <c r="BU4" s="2561"/>
      <c r="BV4" s="2561"/>
      <c r="BW4" s="2561"/>
      <c r="BX4" s="2561"/>
      <c r="BY4" s="2561"/>
      <c r="BZ4" s="2561"/>
      <c r="CA4" s="2561"/>
      <c r="CB4" s="2562"/>
      <c r="CC4" s="2541" t="s">
        <v>2396</v>
      </c>
      <c r="CD4" s="2541" t="s">
        <v>2399</v>
      </c>
      <c r="CE4" s="2541" t="s">
        <v>2402</v>
      </c>
      <c r="CF4" s="2541" t="s">
        <v>2401</v>
      </c>
      <c r="CG4" s="2541" t="s">
        <v>2403</v>
      </c>
      <c r="CH4" s="2541"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558" t="s">
        <v>3805</v>
      </c>
      <c r="DG4" s="2558" t="s">
        <v>3806</v>
      </c>
      <c r="DH4" s="2531" t="s">
        <v>3807</v>
      </c>
      <c r="DI4" s="2531" t="s">
        <v>3808</v>
      </c>
      <c r="DJ4" s="2531" t="s">
        <v>3809</v>
      </c>
      <c r="DK4" s="2531" t="s">
        <v>3810</v>
      </c>
      <c r="DL4" s="2531" t="s">
        <v>3811</v>
      </c>
      <c r="DM4" s="2531" t="s">
        <v>3812</v>
      </c>
      <c r="DN4" s="2531" t="s">
        <v>3813</v>
      </c>
      <c r="DO4" s="2531" t="s">
        <v>3814</v>
      </c>
      <c r="DP4" s="2531" t="s">
        <v>3815</v>
      </c>
      <c r="DQ4" s="2529" t="s">
        <v>1739</v>
      </c>
      <c r="DR4" s="2531" t="s">
        <v>3816</v>
      </c>
      <c r="DS4" s="2529" t="s">
        <v>4118</v>
      </c>
      <c r="DT4" s="2529" t="s">
        <v>3818</v>
      </c>
      <c r="DU4" s="2529" t="s">
        <v>3819</v>
      </c>
      <c r="DV4" s="2529" t="s">
        <v>3820</v>
      </c>
      <c r="DW4" s="2529" t="s">
        <v>3821</v>
      </c>
      <c r="DX4" s="2529" t="s">
        <v>3822</v>
      </c>
      <c r="DY4" s="2529" t="s">
        <v>3823</v>
      </c>
      <c r="DZ4" s="2529" t="s">
        <v>3824</v>
      </c>
      <c r="EA4" s="2529" t="s">
        <v>3825</v>
      </c>
      <c r="EB4" s="2529" t="s">
        <v>3826</v>
      </c>
      <c r="EC4" s="2529" t="s">
        <v>3827</v>
      </c>
      <c r="ED4" s="2533" t="s">
        <v>790</v>
      </c>
      <c r="EE4" s="2535" t="s">
        <v>1410</v>
      </c>
      <c r="EF4" s="2535" t="s">
        <v>1380</v>
      </c>
      <c r="EG4" s="2539" t="s">
        <v>675</v>
      </c>
      <c r="EH4" s="2539" t="s">
        <v>1904</v>
      </c>
      <c r="EI4" s="2539" t="s">
        <v>1131</v>
      </c>
      <c r="EJ4" s="2539" t="s">
        <v>1927</v>
      </c>
      <c r="EK4" s="2539" t="s">
        <v>394</v>
      </c>
      <c r="EL4" s="2539" t="s">
        <v>1918</v>
      </c>
      <c r="EM4" s="2539" t="s">
        <v>630</v>
      </c>
      <c r="EN4" s="2539" t="s">
        <v>629</v>
      </c>
      <c r="EO4" s="2539" t="s">
        <v>631</v>
      </c>
      <c r="EP4" s="2527" t="s">
        <v>3828</v>
      </c>
      <c r="EQ4" s="2527" t="s">
        <v>3829</v>
      </c>
      <c r="ER4" s="2527" t="s">
        <v>3830</v>
      </c>
      <c r="ES4" s="2527" t="s">
        <v>3831</v>
      </c>
      <c r="ET4" s="2541" t="s">
        <v>3832</v>
      </c>
      <c r="EU4" s="2541" t="s">
        <v>3833</v>
      </c>
      <c r="EV4" s="2541" t="s">
        <v>3834</v>
      </c>
      <c r="EW4" s="2541" t="s">
        <v>3835</v>
      </c>
      <c r="EX4" s="2541" t="s">
        <v>3836</v>
      </c>
      <c r="EY4" s="2541" t="s">
        <v>3837</v>
      </c>
      <c r="EZ4" s="2541" t="s">
        <v>3838</v>
      </c>
      <c r="FA4" s="2541" t="s">
        <v>3839</v>
      </c>
      <c r="FB4" s="2527" t="s">
        <v>3840</v>
      </c>
      <c r="FC4" s="2527" t="s">
        <v>3841</v>
      </c>
      <c r="FD4" s="2527" t="s">
        <v>3842</v>
      </c>
      <c r="FE4" s="2527" t="s">
        <v>3843</v>
      </c>
      <c r="FF4" s="2527" t="s">
        <v>3844</v>
      </c>
      <c r="FG4" s="2527" t="s">
        <v>3845</v>
      </c>
      <c r="FH4" s="2527" t="s">
        <v>3846</v>
      </c>
      <c r="FI4" s="2527" t="s">
        <v>3847</v>
      </c>
      <c r="FJ4" s="2527" t="s">
        <v>3848</v>
      </c>
      <c r="FK4" s="2527" t="s">
        <v>3849</v>
      </c>
      <c r="FL4" s="2527" t="s">
        <v>4359</v>
      </c>
      <c r="FM4" s="2527" t="s">
        <v>3850</v>
      </c>
      <c r="FN4" s="2527" t="s">
        <v>3851</v>
      </c>
      <c r="FO4" s="2527" t="s">
        <v>3852</v>
      </c>
      <c r="FP4" s="2527" t="s">
        <v>3853</v>
      </c>
      <c r="FQ4" s="2527" t="s">
        <v>3854</v>
      </c>
      <c r="FR4" s="2541" t="s">
        <v>3855</v>
      </c>
      <c r="FS4" s="2541" t="s">
        <v>3856</v>
      </c>
      <c r="FT4" s="2541" t="s">
        <v>3857</v>
      </c>
      <c r="FU4" s="2545" t="s">
        <v>3858</v>
      </c>
      <c r="FV4" s="2545" t="s">
        <v>3859</v>
      </c>
      <c r="FW4" s="2545" t="s">
        <v>3860</v>
      </c>
      <c r="FX4" s="2545" t="s">
        <v>3861</v>
      </c>
      <c r="FY4" s="2545" t="s">
        <v>3862</v>
      </c>
      <c r="FZ4" s="2545" t="s">
        <v>3863</v>
      </c>
      <c r="GA4" s="2545" t="s">
        <v>3864</v>
      </c>
      <c r="GB4" s="2545" t="s">
        <v>3865</v>
      </c>
      <c r="GC4" s="2545" t="s">
        <v>3866</v>
      </c>
      <c r="GD4" s="2545" t="s">
        <v>3867</v>
      </c>
      <c r="GE4" s="2545" t="s">
        <v>3868</v>
      </c>
      <c r="GF4" s="2545" t="s">
        <v>3869</v>
      </c>
      <c r="GG4" s="2545" t="s">
        <v>3870</v>
      </c>
      <c r="GH4" s="2547" t="s">
        <v>3871</v>
      </c>
      <c r="GI4" s="2547" t="s">
        <v>3872</v>
      </c>
      <c r="GJ4" s="2555" t="s">
        <v>3873</v>
      </c>
      <c r="GK4" s="2555" t="s">
        <v>3874</v>
      </c>
      <c r="GL4" s="2547" t="s">
        <v>3875</v>
      </c>
      <c r="GM4" s="2555" t="s">
        <v>3876</v>
      </c>
      <c r="GN4" s="2555" t="s">
        <v>3877</v>
      </c>
      <c r="GO4" s="2547" t="s">
        <v>3878</v>
      </c>
      <c r="GP4" s="2547" t="s">
        <v>3879</v>
      </c>
      <c r="GQ4" s="2547" t="s">
        <v>3880</v>
      </c>
      <c r="GR4" s="2545" t="s">
        <v>3881</v>
      </c>
      <c r="GS4" s="2545" t="s">
        <v>3694</v>
      </c>
      <c r="GT4" s="2553" t="s">
        <v>3882</v>
      </c>
      <c r="GU4" s="2551"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574"/>
      <c r="B5" s="2538"/>
      <c r="C5" s="2538"/>
      <c r="D5" s="2538"/>
      <c r="E5" s="2538"/>
      <c r="F5" s="2538"/>
      <c r="G5" s="2538"/>
      <c r="H5" s="2538"/>
      <c r="I5" s="2538"/>
      <c r="J5" s="2568"/>
      <c r="K5" s="2569"/>
      <c r="L5" s="2569"/>
      <c r="M5" s="2559"/>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542"/>
      <c r="CD5" s="2542"/>
      <c r="CE5" s="2542"/>
      <c r="CF5" s="2542"/>
      <c r="CG5" s="2542"/>
      <c r="CH5" s="2542"/>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559"/>
      <c r="DG5" s="2559"/>
      <c r="DH5" s="2532"/>
      <c r="DI5" s="2532"/>
      <c r="DJ5" s="2532"/>
      <c r="DK5" s="2532"/>
      <c r="DL5" s="2532"/>
      <c r="DM5" s="2532"/>
      <c r="DN5" s="2532"/>
      <c r="DO5" s="2532"/>
      <c r="DP5" s="2532"/>
      <c r="DQ5" s="2530"/>
      <c r="DR5" s="2532"/>
      <c r="DS5" s="2530"/>
      <c r="DT5" s="2530"/>
      <c r="DU5" s="2530"/>
      <c r="DV5" s="2530"/>
      <c r="DW5" s="2530"/>
      <c r="DX5" s="2530"/>
      <c r="DY5" s="2530"/>
      <c r="DZ5" s="2530"/>
      <c r="EA5" s="2530"/>
      <c r="EB5" s="2530"/>
      <c r="EC5" s="2530"/>
      <c r="ED5" s="2534"/>
      <c r="EE5" s="2536"/>
      <c r="EF5" s="2536"/>
      <c r="EG5" s="2540"/>
      <c r="EH5" s="2540"/>
      <c r="EI5" s="2540"/>
      <c r="EJ5" s="2540"/>
      <c r="EK5" s="2540"/>
      <c r="EL5" s="2540"/>
      <c r="EM5" s="2540"/>
      <c r="EN5" s="2540"/>
      <c r="EO5" s="2540"/>
      <c r="EP5" s="2528"/>
      <c r="EQ5" s="2528"/>
      <c r="ER5" s="2528"/>
      <c r="ES5" s="2528"/>
      <c r="ET5" s="2542"/>
      <c r="EU5" s="2542"/>
      <c r="EV5" s="2542"/>
      <c r="EW5" s="2542"/>
      <c r="EX5" s="2542"/>
      <c r="EY5" s="2542"/>
      <c r="EZ5" s="2542"/>
      <c r="FA5" s="2542"/>
      <c r="FB5" s="2528"/>
      <c r="FC5" s="2528"/>
      <c r="FD5" s="2528"/>
      <c r="FE5" s="2528"/>
      <c r="FF5" s="2528"/>
      <c r="FG5" s="2528"/>
      <c r="FH5" s="2528"/>
      <c r="FI5" s="2528"/>
      <c r="FJ5" s="2528"/>
      <c r="FK5" s="2528"/>
      <c r="FL5" s="2528"/>
      <c r="FM5" s="2528"/>
      <c r="FN5" s="2528"/>
      <c r="FO5" s="2528"/>
      <c r="FP5" s="2528"/>
      <c r="FQ5" s="2528"/>
      <c r="FR5" s="2542"/>
      <c r="FS5" s="2542"/>
      <c r="FT5" s="2542"/>
      <c r="FU5" s="2546"/>
      <c r="FV5" s="2546"/>
      <c r="FW5" s="2546"/>
      <c r="FX5" s="2546"/>
      <c r="FY5" s="2546"/>
      <c r="FZ5" s="2546"/>
      <c r="GA5" s="2546"/>
      <c r="GB5" s="2546"/>
      <c r="GC5" s="2546"/>
      <c r="GD5" s="2546"/>
      <c r="GE5" s="2546"/>
      <c r="GF5" s="2546"/>
      <c r="GG5" s="2546"/>
      <c r="GH5" s="2548"/>
      <c r="GI5" s="2548"/>
      <c r="GJ5" s="2556"/>
      <c r="GK5" s="2556"/>
      <c r="GL5" s="2548"/>
      <c r="GM5" s="2556"/>
      <c r="GN5" s="2556"/>
      <c r="GO5" s="2548"/>
      <c r="GP5" s="2548"/>
      <c r="GQ5" s="2548"/>
      <c r="GR5" s="2546"/>
      <c r="GS5" s="2546"/>
      <c r="GT5" s="2554"/>
      <c r="GU5" s="2552"/>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63"/>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49"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64"/>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50"/>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65"/>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543"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66"/>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544"/>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571" t="s">
        <v>2603</v>
      </c>
      <c r="B184" s="2572"/>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557">
        <f>1.02*D186</f>
        <v>0</v>
      </c>
      <c r="W186" s="2557"/>
      <c r="X186" s="2557"/>
      <c r="Y186" s="2557"/>
      <c r="Z186" s="2557"/>
      <c r="AA186" s="2557"/>
      <c r="AB186" s="2557"/>
      <c r="AC186" s="2557"/>
      <c r="AD186" s="2557"/>
      <c r="AE186" s="2557"/>
      <c r="AF186" s="2557"/>
      <c r="AG186" s="2557"/>
      <c r="AH186" s="2557"/>
      <c r="AI186" s="2557"/>
      <c r="AJ186" s="2557"/>
      <c r="AK186" s="2557"/>
      <c r="AL186" s="2557"/>
      <c r="AM186" s="2557"/>
      <c r="AN186" s="2557"/>
      <c r="AO186" s="2557"/>
      <c r="AP186" s="2557"/>
      <c r="AQ186" s="2557"/>
      <c r="AR186" s="2557"/>
      <c r="AS186" s="2557"/>
      <c r="AT186" s="2557"/>
      <c r="AU186" s="2557"/>
      <c r="AV186" s="2557"/>
      <c r="AW186" s="2557"/>
      <c r="AX186" s="2557"/>
      <c r="AY186" s="2557"/>
      <c r="AZ186" s="2557"/>
      <c r="BA186" s="2557"/>
      <c r="BB186" s="2557"/>
      <c r="BC186" s="2557"/>
      <c r="BD186" s="2557"/>
      <c r="BE186" s="2557"/>
      <c r="BF186" s="2557"/>
      <c r="BG186" s="2557"/>
      <c r="BH186" s="2557"/>
      <c r="BI186" s="2557"/>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557">
        <f>1.02*D187</f>
        <v>0</v>
      </c>
      <c r="W187" s="2557"/>
      <c r="X187" s="2557"/>
      <c r="Y187" s="2557"/>
      <c r="Z187" s="2557"/>
      <c r="AA187" s="2557"/>
      <c r="AB187" s="2557"/>
      <c r="AC187" s="2557"/>
      <c r="AD187" s="2557"/>
      <c r="AE187" s="2557"/>
      <c r="AF187" s="2557"/>
      <c r="AG187" s="2557"/>
      <c r="AH187" s="2557"/>
      <c r="AI187" s="2557"/>
      <c r="AJ187" s="2557"/>
      <c r="AK187" s="2557"/>
      <c r="AL187" s="2557"/>
      <c r="AM187" s="2557"/>
      <c r="AN187" s="2557"/>
      <c r="AO187" s="2557"/>
      <c r="AP187" s="2557"/>
      <c r="AQ187" s="2557"/>
      <c r="AR187" s="2557"/>
      <c r="AS187" s="2557"/>
      <c r="AT187" s="2557"/>
      <c r="AU187" s="2557"/>
      <c r="AV187" s="2557"/>
      <c r="AW187" s="2557"/>
      <c r="AX187" s="2557"/>
      <c r="AY187" s="2557"/>
      <c r="AZ187" s="2557"/>
      <c r="BA187" s="2557"/>
      <c r="BB187" s="2557"/>
      <c r="BC187" s="2557"/>
      <c r="BD187" s="2557"/>
      <c r="BE187" s="2557"/>
      <c r="BF187" s="2557"/>
      <c r="BG187" s="2557"/>
      <c r="BH187" s="2557"/>
      <c r="BI187" s="2557"/>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557">
        <f>1.02*D188</f>
        <v>0</v>
      </c>
      <c r="W188" s="2557"/>
      <c r="X188" s="2557"/>
      <c r="Y188" s="2557"/>
      <c r="Z188" s="2557"/>
      <c r="AA188" s="2557"/>
      <c r="AB188" s="2557"/>
      <c r="AC188" s="2557"/>
      <c r="AD188" s="2557"/>
      <c r="AE188" s="2557"/>
      <c r="AF188" s="2557"/>
      <c r="AG188" s="2557"/>
      <c r="AH188" s="2557"/>
      <c r="AI188" s="2557"/>
      <c r="AJ188" s="2557"/>
      <c r="AK188" s="2557"/>
      <c r="AL188" s="2557"/>
      <c r="AM188" s="2557"/>
      <c r="AN188" s="2557"/>
      <c r="AO188" s="2557"/>
      <c r="AP188" s="2557"/>
      <c r="AQ188" s="2557"/>
      <c r="AR188" s="2557"/>
      <c r="AS188" s="2557"/>
      <c r="AT188" s="2557"/>
      <c r="AU188" s="2557"/>
      <c r="AV188" s="2557"/>
      <c r="AW188" s="2557"/>
      <c r="AX188" s="2557"/>
      <c r="AY188" s="2557"/>
      <c r="AZ188" s="2557"/>
      <c r="BA188" s="2557"/>
      <c r="BB188" s="2557"/>
      <c r="BC188" s="2557"/>
      <c r="BD188" s="2557"/>
      <c r="BE188" s="2557"/>
      <c r="BF188" s="2557"/>
      <c r="BG188" s="2557"/>
      <c r="BH188" s="2557"/>
      <c r="BI188" s="2557"/>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4355</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590" t="e">
        <f>#REF!&amp;", "&amp;#REF!</f>
        <v>#REF!</v>
      </c>
      <c r="B4" s="2590"/>
      <c r="C4" s="2590"/>
      <c r="D4" s="2590"/>
      <c r="E4" s="2590"/>
      <c r="F4" s="2590"/>
      <c r="G4" s="2590"/>
      <c r="H4" s="2590"/>
      <c r="I4" s="2590"/>
      <c r="J4" s="2590"/>
      <c r="K4" s="2590"/>
      <c r="L4" s="2590"/>
      <c r="M4" s="2590"/>
      <c r="N4" s="2590"/>
      <c r="O4" s="2590"/>
      <c r="P4" s="2590"/>
      <c r="Q4" s="2590"/>
      <c r="R4" s="2590"/>
      <c r="S4" s="2590"/>
      <c r="T4" s="2590"/>
      <c r="U4" s="2590"/>
      <c r="V4" s="2590"/>
      <c r="W4" s="2590"/>
      <c r="X4" s="2590"/>
      <c r="Y4" s="2590"/>
      <c r="Z4" s="2590"/>
      <c r="AA4" s="2590"/>
      <c r="AB4" s="2590"/>
      <c r="AC4" s="2590"/>
      <c r="AD4" s="2590"/>
      <c r="AE4" s="2590"/>
      <c r="AF4" s="2590"/>
      <c r="AG4" s="2590"/>
      <c r="AH4" s="2590"/>
      <c r="AI4" s="2590"/>
      <c r="AJ4" s="2590"/>
      <c r="AK4" s="2590"/>
      <c r="AL4" s="2590"/>
      <c r="AM4" s="2590"/>
      <c r="AN4" s="2590"/>
      <c r="AO4" s="2590"/>
      <c r="AP4" s="2590"/>
      <c r="AQ4" s="2590"/>
      <c r="AR4" s="2590"/>
      <c r="AS4" s="2590"/>
      <c r="AT4" s="2590"/>
      <c r="AU4" s="2590"/>
      <c r="AV4" s="2590"/>
      <c r="AW4" s="2590"/>
      <c r="AX4" s="2590"/>
      <c r="AY4" s="2590"/>
      <c r="AZ4" s="2590"/>
      <c r="BA4" s="2590"/>
      <c r="BB4" s="2590"/>
      <c r="BC4" s="2590"/>
      <c r="BD4" s="2590"/>
      <c r="BE4" s="2590"/>
      <c r="BF4" s="2590"/>
      <c r="BG4" s="2590"/>
      <c r="BH4" s="2590"/>
      <c r="BI4" s="2590"/>
      <c r="BJ4" s="2590"/>
      <c r="BK4" s="2590"/>
      <c r="BL4" s="2590"/>
      <c r="BM4" s="2590"/>
      <c r="BN4" s="2590"/>
      <c r="BO4" s="2590"/>
      <c r="BP4" s="2590"/>
      <c r="BQ4" s="2590"/>
      <c r="BR4" s="2590"/>
      <c r="BS4" s="2590"/>
      <c r="BT4" s="2590"/>
      <c r="BU4" s="2590"/>
      <c r="BV4" s="2590"/>
      <c r="BW4" s="2590"/>
      <c r="BX4" s="2590"/>
      <c r="BY4" s="2590"/>
      <c r="BZ4" s="2590"/>
      <c r="CA4" s="2590"/>
      <c r="CB4" s="2590"/>
      <c r="CC4" s="2590"/>
      <c r="CD4" s="2590"/>
      <c r="CE4" s="2590"/>
      <c r="CF4" s="2590"/>
      <c r="CG4" s="2590"/>
      <c r="CH4" s="2590"/>
      <c r="CI4" s="2590"/>
      <c r="CJ4" s="2590"/>
      <c r="CK4" s="2590"/>
      <c r="CL4" s="2590"/>
      <c r="CM4" s="2590"/>
      <c r="CN4" s="2590"/>
      <c r="CO4" s="2590"/>
      <c r="CP4" s="2590"/>
      <c r="CQ4" s="2590"/>
      <c r="CR4" s="2590"/>
      <c r="CS4" s="2590"/>
      <c r="CT4" s="2590"/>
      <c r="CU4" s="2590"/>
      <c r="CV4" s="2590"/>
      <c r="CW4" s="2590"/>
      <c r="CX4" s="2590"/>
      <c r="CY4" s="2590"/>
      <c r="CZ4" s="2590"/>
      <c r="DA4" s="2590"/>
      <c r="DB4" s="2590"/>
      <c r="DC4" s="2590"/>
      <c r="DD4" s="2590"/>
      <c r="DE4" s="2590"/>
      <c r="DF4" s="2590"/>
      <c r="DG4" s="2590"/>
      <c r="DH4" s="2590"/>
      <c r="DI4" s="2590"/>
      <c r="DJ4" s="2590"/>
      <c r="DK4" s="2590"/>
      <c r="DL4" s="2590"/>
      <c r="DM4" s="2590"/>
      <c r="DN4" s="2590"/>
      <c r="DO4" s="2590"/>
      <c r="DP4" s="2590"/>
      <c r="DQ4" s="2590"/>
      <c r="DR4" s="2590"/>
      <c r="DS4" s="2590"/>
      <c r="DT4" s="2590"/>
      <c r="DU4" s="2590"/>
      <c r="DV4" s="2590"/>
      <c r="DW4" s="2590"/>
      <c r="DX4" s="2590"/>
      <c r="DY4" s="2590"/>
      <c r="DZ4" s="2590"/>
      <c r="EA4" s="2590"/>
      <c r="EB4" s="2590"/>
      <c r="EC4" s="2590"/>
    </row>
    <row r="5" spans="1:153" ht="34.5" customHeight="1" thickTop="1" thickBot="1">
      <c r="A5" s="2594" t="s">
        <v>3789</v>
      </c>
      <c r="B5" s="2596" t="s">
        <v>3790</v>
      </c>
      <c r="C5" s="2592" t="s">
        <v>3900</v>
      </c>
      <c r="D5" s="2592" t="s">
        <v>3901</v>
      </c>
      <c r="E5" s="2592" t="s">
        <v>3797</v>
      </c>
      <c r="F5" s="2584" t="s">
        <v>3798</v>
      </c>
      <c r="G5" s="2584" t="s">
        <v>3799</v>
      </c>
      <c r="H5" s="2584" t="s">
        <v>3800</v>
      </c>
      <c r="I5" s="2598" t="s">
        <v>2285</v>
      </c>
      <c r="J5" s="2599"/>
      <c r="K5" s="2600"/>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577" t="s">
        <v>2400</v>
      </c>
      <c r="BP5" s="2577" t="s">
        <v>2403</v>
      </c>
      <c r="BQ5" s="2577" t="s">
        <v>2403</v>
      </c>
      <c r="BR5" s="2577"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583" t="s">
        <v>3907</v>
      </c>
      <c r="CO5" s="2583" t="s">
        <v>3908</v>
      </c>
      <c r="CP5" s="2583" t="s">
        <v>3909</v>
      </c>
      <c r="CQ5" s="2579" t="str">
        <f>"Chuoãi "&amp;EF6&amp;" laép vaøo xaø  CÑX "&amp;EF6 &amp; "-X"</f>
        <v>Chuoãi Polymer laép vaøo xaø  CÑX Polymer-X</v>
      </c>
      <c r="CR5" s="2588" t="s">
        <v>3809</v>
      </c>
      <c r="CS5" s="2586" t="s">
        <v>3910</v>
      </c>
      <c r="CT5" s="2586" t="s">
        <v>3911</v>
      </c>
      <c r="CU5" s="2583" t="s">
        <v>3810</v>
      </c>
      <c r="CV5" s="2583" t="s">
        <v>3811</v>
      </c>
      <c r="CW5" s="2583" t="s">
        <v>3812</v>
      </c>
      <c r="CX5" s="2583" t="s">
        <v>3813</v>
      </c>
      <c r="CY5" s="2581" t="s">
        <v>3912</v>
      </c>
      <c r="CZ5" s="2581" t="s">
        <v>3913</v>
      </c>
      <c r="DA5" s="2581" t="s">
        <v>3914</v>
      </c>
      <c r="DB5" s="2586" t="s">
        <v>3915</v>
      </c>
      <c r="DC5" s="2581" t="s">
        <v>3916</v>
      </c>
      <c r="DD5" s="2586" t="s">
        <v>3820</v>
      </c>
      <c r="DE5" s="2581" t="s">
        <v>3917</v>
      </c>
      <c r="DF5" s="2577" t="s">
        <v>3821</v>
      </c>
      <c r="DG5" s="2577" t="s">
        <v>3822</v>
      </c>
      <c r="DH5" s="2577" t="s">
        <v>3823</v>
      </c>
      <c r="DI5" s="2577" t="s">
        <v>3824</v>
      </c>
      <c r="DJ5" s="2577" t="s">
        <v>3825</v>
      </c>
      <c r="DK5" s="2577" t="s">
        <v>3827</v>
      </c>
      <c r="DL5" s="2577" t="s">
        <v>3827</v>
      </c>
      <c r="DM5" s="2577" t="s">
        <v>790</v>
      </c>
      <c r="DN5" s="2577" t="s">
        <v>675</v>
      </c>
      <c r="DO5" s="2577" t="s">
        <v>1904</v>
      </c>
      <c r="DP5" s="2577" t="s">
        <v>1131</v>
      </c>
      <c r="DQ5" s="2577" t="s">
        <v>1927</v>
      </c>
      <c r="DR5" s="2577" t="s">
        <v>394</v>
      </c>
      <c r="DS5" s="2577" t="s">
        <v>1918</v>
      </c>
      <c r="DT5" s="2577" t="s">
        <v>1195</v>
      </c>
      <c r="DU5" s="2577" t="s">
        <v>1196</v>
      </c>
      <c r="DV5" s="428"/>
      <c r="DW5" s="428"/>
      <c r="DX5" s="428"/>
      <c r="DY5" s="428"/>
      <c r="DZ5" s="428"/>
      <c r="EA5" s="408"/>
      <c r="EB5" s="2586" t="s">
        <v>3918</v>
      </c>
      <c r="EC5" s="2575" t="s">
        <v>2610</v>
      </c>
    </row>
    <row r="6" spans="1:153" s="434" customFormat="1" ht="99.75" customHeight="1" thickTop="1">
      <c r="A6" s="2595"/>
      <c r="B6" s="2597"/>
      <c r="C6" s="2593"/>
      <c r="D6" s="2593"/>
      <c r="E6" s="2593"/>
      <c r="F6" s="2585"/>
      <c r="G6" s="2585"/>
      <c r="H6" s="2585"/>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601"/>
      <c r="BP6" s="2601"/>
      <c r="BQ6" s="2601"/>
      <c r="BR6" s="2601"/>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580"/>
      <c r="CO6" s="2580"/>
      <c r="CP6" s="2580"/>
      <c r="CQ6" s="2580"/>
      <c r="CR6" s="2589"/>
      <c r="CS6" s="2587"/>
      <c r="CT6" s="2587"/>
      <c r="CU6" s="2580"/>
      <c r="CV6" s="2580"/>
      <c r="CW6" s="2580"/>
      <c r="CX6" s="2580"/>
      <c r="CY6" s="2582"/>
      <c r="CZ6" s="2582"/>
      <c r="DA6" s="2582"/>
      <c r="DB6" s="2587"/>
      <c r="DC6" s="2582"/>
      <c r="DD6" s="2587"/>
      <c r="DE6" s="2582"/>
      <c r="DF6" s="2578"/>
      <c r="DG6" s="2578"/>
      <c r="DH6" s="2578"/>
      <c r="DI6" s="2578"/>
      <c r="DJ6" s="2578"/>
      <c r="DK6" s="2578"/>
      <c r="DL6" s="2578"/>
      <c r="DM6" s="2578"/>
      <c r="DN6" s="2578"/>
      <c r="DO6" s="2578"/>
      <c r="DP6" s="2578"/>
      <c r="DQ6" s="2578"/>
      <c r="DR6" s="2578"/>
      <c r="DS6" s="2578"/>
      <c r="DT6" s="2578"/>
      <c r="DU6" s="2578"/>
      <c r="DV6" s="411" t="s">
        <v>3921</v>
      </c>
      <c r="DW6" s="411" t="s">
        <v>3922</v>
      </c>
      <c r="DX6" s="411" t="s">
        <v>3923</v>
      </c>
      <c r="DY6" s="411" t="s">
        <v>3924</v>
      </c>
      <c r="DZ6" s="411" t="s">
        <v>3925</v>
      </c>
      <c r="EA6" s="408" t="s">
        <v>3882</v>
      </c>
      <c r="EB6" s="2587"/>
      <c r="EC6" s="2576"/>
      <c r="ED6" s="432" t="s">
        <v>1040</v>
      </c>
      <c r="EE6" s="433" t="s">
        <v>189</v>
      </c>
      <c r="EF6" s="434" t="str">
        <f>IF(EE6="P","Polymer","treo 2 baùt")</f>
        <v>Polymer</v>
      </c>
    </row>
    <row r="7" spans="1:153" ht="18.899999999999999"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591" t="s">
        <v>1641</v>
      </c>
      <c r="B99" s="2591"/>
      <c r="C99" s="2591"/>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5" customWidth="1"/>
    <col min="2" max="2" width="5.08984375" style="1625" customWidth="1"/>
    <col min="3" max="3" width="6.90625" style="1625" hidden="1" customWidth="1"/>
    <col min="4" max="4" width="6" style="1625" customWidth="1"/>
    <col min="5" max="6" width="3.90625" style="1625" hidden="1" customWidth="1"/>
    <col min="7" max="7" width="4.6328125" style="1626" hidden="1" customWidth="1"/>
    <col min="8" max="8" width="5.6328125" style="1625" customWidth="1"/>
    <col min="9" max="9" width="4.81640625" style="1625" hidden="1" customWidth="1"/>
    <col min="10" max="10" width="4.81640625" style="1625" customWidth="1"/>
    <col min="11" max="11" width="4.81640625" style="1625" hidden="1" customWidth="1"/>
    <col min="12" max="12" width="4.81640625" style="1625" customWidth="1"/>
    <col min="13" max="18" width="4.81640625" style="1625" hidden="1" customWidth="1"/>
    <col min="19" max="19" width="5.54296875" style="1625" customWidth="1"/>
    <col min="20" max="20" width="5.1796875" style="1625" hidden="1" customWidth="1"/>
    <col min="21" max="21" width="4.81640625" style="1625" hidden="1" customWidth="1"/>
    <col min="22" max="22" width="6.6328125" style="1625" hidden="1" customWidth="1"/>
    <col min="23" max="23" width="4.81640625" style="1625" customWidth="1"/>
    <col min="24" max="39" width="4.81640625" style="1625" hidden="1" customWidth="1"/>
    <col min="40" max="41" width="4.81640625" style="1625" customWidth="1"/>
    <col min="42" max="42" width="5.453125" style="1625" hidden="1" customWidth="1"/>
    <col min="43" max="43" width="8.81640625" style="1625" hidden="1" customWidth="1"/>
    <col min="44" max="44" width="5.1796875" style="1625" hidden="1" customWidth="1"/>
    <col min="45" max="47" width="8.81640625" style="1625" hidden="1" customWidth="1"/>
    <col min="48" max="48" width="4.81640625" style="1625" hidden="1" customWidth="1"/>
    <col min="49" max="50" width="4.81640625" style="1625" customWidth="1"/>
    <col min="51" max="54" width="4.81640625" style="1625" hidden="1" customWidth="1"/>
    <col min="55" max="57" width="4.81640625" style="1627" hidden="1" customWidth="1"/>
    <col min="58" max="65" width="4.81640625" style="1625" hidden="1" customWidth="1"/>
    <col min="66" max="66" width="6.81640625" style="1625" hidden="1" customWidth="1"/>
    <col min="67" max="71" width="4.81640625" style="1625" hidden="1" customWidth="1"/>
    <col min="72" max="72" width="3.90625" style="1625" hidden="1" customWidth="1"/>
    <col min="73" max="81" width="4.81640625" style="1625" customWidth="1"/>
    <col min="82" max="101" width="4.36328125" style="1625" hidden="1" customWidth="1"/>
    <col min="102" max="102" width="7.81640625" style="1628" customWidth="1"/>
    <col min="103" max="16384" width="8.90625" style="1625"/>
  </cols>
  <sheetData>
    <row r="1" spans="1:262" s="2168" customFormat="1" ht="81" customHeight="1" outlineLevel="1">
      <c r="B1" s="2168" t="s">
        <v>4767</v>
      </c>
      <c r="C1" s="1625"/>
      <c r="D1" s="2168" t="str">
        <f>IF(D9&lt;&gt;0,D9,D8)</f>
        <v>Cộng dồn ACXV50+AC50</v>
      </c>
      <c r="E1" s="1625" t="str">
        <f t="shared" ref="E1:BQ1" si="0">IF(E9&lt;&gt;0,E9,E8)</f>
        <v>Khoảng néo</v>
      </c>
      <c r="F1" s="1625" t="str">
        <f t="shared" si="0"/>
        <v>Hướng</v>
      </c>
      <c r="G1" s="1625" t="str">
        <f t="shared" si="0"/>
        <v>Góc</v>
      </c>
      <c r="H1" s="2168" t="str">
        <f t="shared" si="0"/>
        <v>Hình thức trụ</v>
      </c>
      <c r="I1" s="1625" t="str">
        <f t="shared" si="0"/>
        <v>BTLT 10.5</v>
      </c>
      <c r="J1" s="2168" t="str">
        <f t="shared" si="0"/>
        <v>BTLT 12 HH</v>
      </c>
      <c r="K1" s="1625" t="str">
        <f t="shared" si="0"/>
        <v>BTLT 12 TĐ</v>
      </c>
      <c r="L1" s="2168"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68" t="str">
        <f t="shared" si="0"/>
        <v>M12</v>
      </c>
      <c r="T1" s="1625" t="str">
        <f t="shared" si="0"/>
        <v>M10-2b</v>
      </c>
      <c r="U1" s="1625" t="str">
        <f t="shared" si="0"/>
        <v>M12a</v>
      </c>
      <c r="V1" s="1625" t="str">
        <f t="shared" si="0"/>
        <v>M12BT ĐƠN</v>
      </c>
      <c r="W1" s="2168"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68" t="str">
        <f t="shared" si="0"/>
        <v>CX12-B</v>
      </c>
      <c r="AO1" s="2168"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68" t="str">
        <f t="shared" si="0"/>
        <v>NXX</v>
      </c>
      <c r="AX1" s="2168"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68"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0" t="s">
        <v>4752</v>
      </c>
      <c r="BN1" s="1625" t="str">
        <f t="shared" si="0"/>
        <v>X-8KL</v>
      </c>
      <c r="BO1" s="2168" t="str">
        <f t="shared" si="0"/>
        <v>Bộ sứ đỉnh đỡ thẳng SĐI</v>
      </c>
      <c r="BP1" s="2168"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68" t="str">
        <f t="shared" si="1"/>
        <v>Chuỗi sứ treo polyme bắt vào trụ</v>
      </c>
      <c r="BV1" s="2168" t="str">
        <f t="shared" si="1"/>
        <v xml:space="preserve"> Chuỗi treo 2 bát lắp vào trụ</v>
      </c>
      <c r="BW1" s="2168" t="str">
        <f t="shared" si="1"/>
        <v xml:space="preserve"> Chuỗi đỡ 2 bát lắp vào trụ - CĐT</v>
      </c>
      <c r="BX1" s="2168" t="str">
        <f t="shared" si="1"/>
        <v>Bộ đỡ dây T.H : Đth-U</v>
      </c>
      <c r="BY1" s="2168" t="str">
        <f t="shared" si="1"/>
        <v>Bộ néo dây T.H : Nth-U</v>
      </c>
      <c r="BZ1" s="2168" t="str">
        <f t="shared" si="1"/>
        <v>Bộ khóa néo TH : Nth-T</v>
      </c>
      <c r="CA1" s="2168" t="s">
        <v>1484</v>
      </c>
      <c r="CB1" s="2168" t="s">
        <v>1482</v>
      </c>
      <c r="CC1" s="2168" t="str">
        <f t="shared" si="1"/>
        <v>Kẹp ép WR cỡ dây 50mm2</v>
      </c>
      <c r="CD1" s="2168" t="str">
        <f t="shared" si="1"/>
        <v>Kẹp ép WR cỡ dây 70mm2</v>
      </c>
      <c r="CE1" s="2168" t="str">
        <f t="shared" si="1"/>
        <v>Kẹp ép WR cỡ dây 95mm2</v>
      </c>
      <c r="CF1" s="2168" t="str">
        <f t="shared" si="1"/>
        <v>Kẹp ép WR cỡ dây 120mm2</v>
      </c>
      <c r="CG1" s="2168" t="str">
        <f t="shared" si="1"/>
        <v>Kẹp ép WR cỡ dây 150mm2</v>
      </c>
      <c r="CH1" s="2168" t="str">
        <f t="shared" si="1"/>
        <v>Kẹp ép WR cỡ dây 185mm2</v>
      </c>
      <c r="CI1" s="2168" t="str">
        <f t="shared" si="1"/>
        <v>Kẹp ép WR cỡ dây 240mm2</v>
      </c>
      <c r="CJ1" s="2168" t="str">
        <f t="shared" si="1"/>
        <v>Đầu cốt ép cỡ dây 70mm2</v>
      </c>
      <c r="CK1" s="2168" t="str">
        <f t="shared" si="1"/>
        <v>Đầu cốt ép cỡ dây 95mm2</v>
      </c>
      <c r="CL1" s="2168" t="str">
        <f t="shared" si="1"/>
        <v>Đầu cốt ép cỡ dây 120mm2</v>
      </c>
      <c r="CM1" s="2168" t="str">
        <f t="shared" si="1"/>
        <v>Đầu cốt ép cỡ dây 150mm2</v>
      </c>
      <c r="CN1" s="2168" t="str">
        <f t="shared" si="1"/>
        <v>Đầu cốt ép cỡ dây 185mm2</v>
      </c>
      <c r="CO1" s="2168" t="str">
        <f t="shared" si="1"/>
        <v>Đầu cốt ép cỡ dây 240mm2</v>
      </c>
      <c r="CP1" s="2168" t="str">
        <f t="shared" si="1"/>
        <v>Dây buộc đầu sứ</v>
      </c>
      <c r="CQ1" s="2168" t="str">
        <f t="shared" si="1"/>
        <v>Giá T lắp FCO sử dụng lại</v>
      </c>
      <c r="CR1" s="2168" t="s">
        <v>1657</v>
      </c>
      <c r="CS1" s="2168" t="s">
        <v>382</v>
      </c>
      <c r="CT1" s="2168" t="str">
        <f t="shared" si="1"/>
        <v>chi8K</v>
      </c>
      <c r="CU1" s="2168" t="str">
        <f t="shared" si="1"/>
        <v>chi10K</v>
      </c>
      <c r="CV1" s="2168" t="str">
        <f t="shared" si="1"/>
        <v>chi12K</v>
      </c>
      <c r="CW1" s="2168" t="str">
        <f t="shared" si="1"/>
        <v>Vị trí vượt đường</v>
      </c>
      <c r="CX1" s="2168" t="str">
        <f t="shared" si="1"/>
        <v>GHI CHÚ</v>
      </c>
      <c r="CY1" s="2169" t="s">
        <v>382</v>
      </c>
    </row>
    <row r="2" spans="1:262" ht="18.899999999999999" customHeight="1" outlineLevel="1">
      <c r="A2" s="1625" t="s">
        <v>4408</v>
      </c>
      <c r="C2" s="1999">
        <f>SUM(C11:C93)</f>
        <v>0</v>
      </c>
      <c r="D2" s="1999">
        <f t="shared" ref="D2:BP2" si="2">SUM(D11:D93)</f>
        <v>0</v>
      </c>
      <c r="E2" s="1999">
        <f t="shared" si="2"/>
        <v>0</v>
      </c>
      <c r="F2" s="1999">
        <f t="shared" si="2"/>
        <v>0</v>
      </c>
      <c r="G2" s="1999">
        <f t="shared" si="2"/>
        <v>0</v>
      </c>
      <c r="H2" s="1999">
        <f t="shared" si="2"/>
        <v>0</v>
      </c>
      <c r="I2" s="1999">
        <f t="shared" si="2"/>
        <v>0</v>
      </c>
      <c r="J2" s="1999">
        <f t="shared" si="2"/>
        <v>0</v>
      </c>
      <c r="K2" s="1999">
        <f t="shared" si="2"/>
        <v>0</v>
      </c>
      <c r="L2" s="1999">
        <f t="shared" si="2"/>
        <v>0</v>
      </c>
      <c r="M2" s="1999">
        <f t="shared" si="2"/>
        <v>0</v>
      </c>
      <c r="N2" s="1999">
        <f t="shared" si="2"/>
        <v>0</v>
      </c>
      <c r="O2" s="1999">
        <f t="shared" si="2"/>
        <v>0</v>
      </c>
      <c r="P2" s="1999">
        <f t="shared" si="2"/>
        <v>0</v>
      </c>
      <c r="Q2" s="1999">
        <f t="shared" si="2"/>
        <v>0</v>
      </c>
      <c r="R2" s="1999">
        <f t="shared" si="2"/>
        <v>0</v>
      </c>
      <c r="S2" s="1999">
        <f t="shared" si="2"/>
        <v>0</v>
      </c>
      <c r="T2" s="1999">
        <f t="shared" si="2"/>
        <v>0</v>
      </c>
      <c r="U2" s="1999">
        <f t="shared" si="2"/>
        <v>0</v>
      </c>
      <c r="V2" s="1999">
        <f t="shared" si="2"/>
        <v>0</v>
      </c>
      <c r="W2" s="1999">
        <f t="shared" si="2"/>
        <v>0</v>
      </c>
      <c r="X2" s="1999">
        <f t="shared" si="2"/>
        <v>0</v>
      </c>
      <c r="Y2" s="1999">
        <f t="shared" si="2"/>
        <v>0</v>
      </c>
      <c r="Z2" s="1999">
        <f t="shared" si="2"/>
        <v>0</v>
      </c>
      <c r="AA2" s="1999">
        <f t="shared" si="2"/>
        <v>0</v>
      </c>
      <c r="AB2" s="1999">
        <f t="shared" si="2"/>
        <v>0</v>
      </c>
      <c r="AC2" s="1999">
        <f t="shared" si="2"/>
        <v>0</v>
      </c>
      <c r="AD2" s="1999">
        <f t="shared" si="2"/>
        <v>0</v>
      </c>
      <c r="AE2" s="1999">
        <f t="shared" si="2"/>
        <v>0</v>
      </c>
      <c r="AF2" s="1999">
        <f t="shared" si="2"/>
        <v>0</v>
      </c>
      <c r="AG2" s="1999">
        <f t="shared" si="2"/>
        <v>0</v>
      </c>
      <c r="AH2" s="1999">
        <f t="shared" si="2"/>
        <v>0</v>
      </c>
      <c r="AI2" s="1999">
        <f t="shared" si="2"/>
        <v>0</v>
      </c>
      <c r="AJ2" s="1999">
        <f t="shared" si="2"/>
        <v>0</v>
      </c>
      <c r="AK2" s="1999">
        <f t="shared" si="2"/>
        <v>0</v>
      </c>
      <c r="AL2" s="1999">
        <f t="shared" si="2"/>
        <v>0</v>
      </c>
      <c r="AM2" s="1999">
        <f t="shared" si="2"/>
        <v>0</v>
      </c>
      <c r="AN2" s="1999">
        <f t="shared" si="2"/>
        <v>0</v>
      </c>
      <c r="AO2" s="1999">
        <f t="shared" si="2"/>
        <v>0</v>
      </c>
      <c r="AP2" s="1999">
        <f t="shared" si="2"/>
        <v>0</v>
      </c>
      <c r="AQ2" s="1999">
        <f t="shared" si="2"/>
        <v>0</v>
      </c>
      <c r="AR2" s="1999">
        <f t="shared" si="2"/>
        <v>0</v>
      </c>
      <c r="AS2" s="1999">
        <f t="shared" si="2"/>
        <v>0</v>
      </c>
      <c r="AT2" s="1999">
        <f t="shared" si="2"/>
        <v>0</v>
      </c>
      <c r="AU2" s="1999">
        <f t="shared" si="2"/>
        <v>0</v>
      </c>
      <c r="AV2" s="1999">
        <f t="shared" si="2"/>
        <v>0</v>
      </c>
      <c r="AW2" s="1999">
        <f t="shared" si="2"/>
        <v>0</v>
      </c>
      <c r="AX2" s="1999">
        <f t="shared" si="2"/>
        <v>0</v>
      </c>
      <c r="AY2" s="1999">
        <f t="shared" si="2"/>
        <v>0</v>
      </c>
      <c r="AZ2" s="1999">
        <f t="shared" si="2"/>
        <v>0</v>
      </c>
      <c r="BA2" s="1999">
        <f t="shared" si="2"/>
        <v>0</v>
      </c>
      <c r="BB2" s="1999">
        <f t="shared" si="2"/>
        <v>0</v>
      </c>
      <c r="BC2" s="1999">
        <f t="shared" si="2"/>
        <v>0</v>
      </c>
      <c r="BD2" s="1999">
        <f t="shared" si="2"/>
        <v>0</v>
      </c>
      <c r="BE2" s="1999">
        <f t="shared" si="2"/>
        <v>0</v>
      </c>
      <c r="BF2" s="1999">
        <f t="shared" si="2"/>
        <v>0</v>
      </c>
      <c r="BG2" s="1999">
        <f t="shared" si="2"/>
        <v>0</v>
      </c>
      <c r="BH2" s="1999">
        <f t="shared" si="2"/>
        <v>0</v>
      </c>
      <c r="BI2" s="1999">
        <f t="shared" si="2"/>
        <v>0</v>
      </c>
      <c r="BJ2" s="1999">
        <f t="shared" si="2"/>
        <v>0</v>
      </c>
      <c r="BK2" s="1999">
        <f t="shared" si="2"/>
        <v>0</v>
      </c>
      <c r="BL2" s="1999">
        <f t="shared" si="2"/>
        <v>0</v>
      </c>
      <c r="BM2" s="1999">
        <f t="shared" si="2"/>
        <v>0</v>
      </c>
      <c r="BN2" s="1999">
        <f t="shared" si="2"/>
        <v>0</v>
      </c>
      <c r="BO2" s="1999">
        <f t="shared" si="2"/>
        <v>0</v>
      </c>
      <c r="BP2" s="1999">
        <f t="shared" si="2"/>
        <v>0</v>
      </c>
      <c r="BQ2" s="1999">
        <f t="shared" ref="BQ2:CX2" si="3">SUM(BQ11:BQ93)</f>
        <v>0</v>
      </c>
      <c r="BR2" s="1999">
        <f t="shared" si="3"/>
        <v>0</v>
      </c>
      <c r="BS2" s="1999">
        <f t="shared" si="3"/>
        <v>0</v>
      </c>
      <c r="BT2" s="1999">
        <f t="shared" si="3"/>
        <v>0</v>
      </c>
      <c r="BU2" s="1999">
        <f t="shared" si="3"/>
        <v>0</v>
      </c>
      <c r="BV2" s="1999">
        <f t="shared" si="3"/>
        <v>0</v>
      </c>
      <c r="BW2" s="1999">
        <f t="shared" si="3"/>
        <v>0</v>
      </c>
      <c r="BX2" s="1999">
        <f t="shared" si="3"/>
        <v>0</v>
      </c>
      <c r="BY2" s="1999">
        <f t="shared" si="3"/>
        <v>0</v>
      </c>
      <c r="BZ2" s="1999">
        <f t="shared" si="3"/>
        <v>0</v>
      </c>
      <c r="CA2" s="1999">
        <f t="shared" si="3"/>
        <v>0</v>
      </c>
      <c r="CB2" s="1999">
        <f t="shared" ref="CB2:CF2" si="4">SUM(CB11:CB93)</f>
        <v>0</v>
      </c>
      <c r="CC2" s="1999">
        <f t="shared" si="4"/>
        <v>0</v>
      </c>
      <c r="CD2" s="1999">
        <f t="shared" si="4"/>
        <v>0</v>
      </c>
      <c r="CE2" s="1999">
        <f t="shared" si="4"/>
        <v>0</v>
      </c>
      <c r="CF2" s="1999">
        <f t="shared" si="4"/>
        <v>0</v>
      </c>
      <c r="CG2" s="1999">
        <f t="shared" si="3"/>
        <v>0</v>
      </c>
      <c r="CH2" s="1999">
        <f t="shared" si="3"/>
        <v>0</v>
      </c>
      <c r="CI2" s="1999">
        <f t="shared" si="3"/>
        <v>0</v>
      </c>
      <c r="CJ2" s="1999">
        <f t="shared" si="3"/>
        <v>0</v>
      </c>
      <c r="CK2" s="1999">
        <f t="shared" si="3"/>
        <v>0</v>
      </c>
      <c r="CL2" s="1999">
        <f t="shared" si="3"/>
        <v>0</v>
      </c>
      <c r="CM2" s="1999">
        <f t="shared" si="3"/>
        <v>0</v>
      </c>
      <c r="CN2" s="1999">
        <f t="shared" si="3"/>
        <v>0</v>
      </c>
      <c r="CO2" s="1999">
        <f t="shared" si="3"/>
        <v>0</v>
      </c>
      <c r="CP2" s="1999">
        <f t="shared" si="3"/>
        <v>0</v>
      </c>
      <c r="CQ2" s="1999">
        <f t="shared" si="3"/>
        <v>0</v>
      </c>
      <c r="CR2" s="1999">
        <f t="shared" si="3"/>
        <v>0</v>
      </c>
      <c r="CS2" s="1999">
        <f t="shared" si="3"/>
        <v>0</v>
      </c>
      <c r="CT2" s="1999">
        <f t="shared" si="3"/>
        <v>0</v>
      </c>
      <c r="CU2" s="1999">
        <f t="shared" si="3"/>
        <v>0</v>
      </c>
      <c r="CV2" s="1999">
        <f t="shared" si="3"/>
        <v>0</v>
      </c>
      <c r="CW2" s="1999">
        <f t="shared" si="3"/>
        <v>0</v>
      </c>
      <c r="CX2" s="1999">
        <f t="shared" si="3"/>
        <v>0</v>
      </c>
    </row>
    <row r="3" spans="1:262" ht="18.899999999999999" customHeight="1" outlineLevel="1">
      <c r="A3" s="1625" t="s">
        <v>4202</v>
      </c>
      <c r="B3" s="1999">
        <f>SUM(B11:B93)</f>
        <v>0</v>
      </c>
      <c r="C3" s="1625">
        <v>0</v>
      </c>
      <c r="D3" s="1999">
        <f>SUM(D11:D93)</f>
        <v>0</v>
      </c>
      <c r="E3" s="1999">
        <f t="shared" ref="E3:BP3" si="5">SUM(E11:E93)</f>
        <v>0</v>
      </c>
      <c r="F3" s="1999">
        <f t="shared" si="5"/>
        <v>0</v>
      </c>
      <c r="G3" s="1999">
        <f t="shared" si="5"/>
        <v>0</v>
      </c>
      <c r="H3" s="1999">
        <f t="shared" si="5"/>
        <v>0</v>
      </c>
      <c r="I3" s="1999">
        <f t="shared" si="5"/>
        <v>0</v>
      </c>
      <c r="J3" s="1999">
        <f t="shared" si="5"/>
        <v>0</v>
      </c>
      <c r="K3" s="1999">
        <f t="shared" si="5"/>
        <v>0</v>
      </c>
      <c r="L3" s="1999">
        <f t="shared" si="5"/>
        <v>0</v>
      </c>
      <c r="M3" s="1999">
        <f t="shared" si="5"/>
        <v>0</v>
      </c>
      <c r="N3" s="1999">
        <f t="shared" si="5"/>
        <v>0</v>
      </c>
      <c r="O3" s="1999">
        <f t="shared" si="5"/>
        <v>0</v>
      </c>
      <c r="P3" s="1999">
        <f t="shared" si="5"/>
        <v>0</v>
      </c>
      <c r="Q3" s="1999">
        <f t="shared" si="5"/>
        <v>0</v>
      </c>
      <c r="R3" s="1999">
        <f t="shared" si="5"/>
        <v>0</v>
      </c>
      <c r="S3" s="1999">
        <f t="shared" si="5"/>
        <v>0</v>
      </c>
      <c r="T3" s="1999">
        <f t="shared" si="5"/>
        <v>0</v>
      </c>
      <c r="U3" s="1999">
        <f t="shared" si="5"/>
        <v>0</v>
      </c>
      <c r="V3" s="1999">
        <f t="shared" si="5"/>
        <v>0</v>
      </c>
      <c r="W3" s="1999">
        <f t="shared" si="5"/>
        <v>0</v>
      </c>
      <c r="X3" s="1999">
        <f t="shared" si="5"/>
        <v>0</v>
      </c>
      <c r="Y3" s="1999">
        <f t="shared" si="5"/>
        <v>0</v>
      </c>
      <c r="Z3" s="1999">
        <f t="shared" si="5"/>
        <v>0</v>
      </c>
      <c r="AA3" s="1999">
        <f t="shared" si="5"/>
        <v>0</v>
      </c>
      <c r="AB3" s="1999">
        <f t="shared" si="5"/>
        <v>0</v>
      </c>
      <c r="AC3" s="1999">
        <f t="shared" si="5"/>
        <v>0</v>
      </c>
      <c r="AD3" s="1999">
        <f t="shared" si="5"/>
        <v>0</v>
      </c>
      <c r="AE3" s="1999">
        <f t="shared" si="5"/>
        <v>0</v>
      </c>
      <c r="AF3" s="1999">
        <f t="shared" si="5"/>
        <v>0</v>
      </c>
      <c r="AG3" s="1999">
        <f t="shared" si="5"/>
        <v>0</v>
      </c>
      <c r="AH3" s="1999">
        <f t="shared" si="5"/>
        <v>0</v>
      </c>
      <c r="AI3" s="1999">
        <f t="shared" si="5"/>
        <v>0</v>
      </c>
      <c r="AJ3" s="1999">
        <f t="shared" si="5"/>
        <v>0</v>
      </c>
      <c r="AK3" s="1999">
        <f t="shared" si="5"/>
        <v>0</v>
      </c>
      <c r="AL3" s="1999">
        <f t="shared" si="5"/>
        <v>0</v>
      </c>
      <c r="AM3" s="1999">
        <f t="shared" si="5"/>
        <v>0</v>
      </c>
      <c r="AN3" s="1999">
        <f t="shared" si="5"/>
        <v>0</v>
      </c>
      <c r="AO3" s="1999">
        <f t="shared" si="5"/>
        <v>0</v>
      </c>
      <c r="AP3" s="1999">
        <f t="shared" si="5"/>
        <v>0</v>
      </c>
      <c r="AQ3" s="1999">
        <f t="shared" si="5"/>
        <v>0</v>
      </c>
      <c r="AR3" s="1999">
        <f t="shared" si="5"/>
        <v>0</v>
      </c>
      <c r="AS3" s="1999">
        <f t="shared" si="5"/>
        <v>0</v>
      </c>
      <c r="AT3" s="1999">
        <f t="shared" si="5"/>
        <v>0</v>
      </c>
      <c r="AU3" s="1999">
        <f t="shared" si="5"/>
        <v>0</v>
      </c>
      <c r="AV3" s="1999">
        <f t="shared" si="5"/>
        <v>0</v>
      </c>
      <c r="AW3" s="1999">
        <f t="shared" si="5"/>
        <v>0</v>
      </c>
      <c r="AX3" s="1999">
        <f t="shared" si="5"/>
        <v>0</v>
      </c>
      <c r="AY3" s="1999">
        <f t="shared" si="5"/>
        <v>0</v>
      </c>
      <c r="AZ3" s="1999">
        <f t="shared" si="5"/>
        <v>0</v>
      </c>
      <c r="BA3" s="1999">
        <f t="shared" si="5"/>
        <v>0</v>
      </c>
      <c r="BB3" s="1999">
        <f t="shared" si="5"/>
        <v>0</v>
      </c>
      <c r="BC3" s="1999">
        <f t="shared" si="5"/>
        <v>0</v>
      </c>
      <c r="BD3" s="1999">
        <f t="shared" si="5"/>
        <v>0</v>
      </c>
      <c r="BE3" s="1999">
        <f t="shared" si="5"/>
        <v>0</v>
      </c>
      <c r="BF3" s="1999">
        <f t="shared" si="5"/>
        <v>0</v>
      </c>
      <c r="BG3" s="1999">
        <f t="shared" si="5"/>
        <v>0</v>
      </c>
      <c r="BH3" s="1999">
        <f t="shared" si="5"/>
        <v>0</v>
      </c>
      <c r="BI3" s="1999">
        <f t="shared" si="5"/>
        <v>0</v>
      </c>
      <c r="BJ3" s="1999">
        <f t="shared" si="5"/>
        <v>0</v>
      </c>
      <c r="BK3" s="1999">
        <f t="shared" si="5"/>
        <v>0</v>
      </c>
      <c r="BL3" s="1999">
        <f t="shared" si="5"/>
        <v>0</v>
      </c>
      <c r="BM3" s="1999">
        <f t="shared" si="5"/>
        <v>0</v>
      </c>
      <c r="BN3" s="1999">
        <f t="shared" si="5"/>
        <v>0</v>
      </c>
      <c r="BO3" s="1999">
        <f t="shared" si="5"/>
        <v>0</v>
      </c>
      <c r="BP3" s="1999">
        <f t="shared" si="5"/>
        <v>0</v>
      </c>
      <c r="BQ3" s="1999">
        <f t="shared" ref="BQ3:CX3" si="6">SUM(BQ11:BQ93)</f>
        <v>0</v>
      </c>
      <c r="BR3" s="1999">
        <f t="shared" si="6"/>
        <v>0</v>
      </c>
      <c r="BS3" s="1999">
        <f t="shared" si="6"/>
        <v>0</v>
      </c>
      <c r="BT3" s="1999">
        <f t="shared" si="6"/>
        <v>0</v>
      </c>
      <c r="BU3" s="1999">
        <f t="shared" si="6"/>
        <v>0</v>
      </c>
      <c r="BV3" s="1999">
        <f t="shared" si="6"/>
        <v>0</v>
      </c>
      <c r="BW3" s="1999">
        <f t="shared" si="6"/>
        <v>0</v>
      </c>
      <c r="BX3" s="1999">
        <f t="shared" si="6"/>
        <v>0</v>
      </c>
      <c r="BY3" s="1999">
        <f t="shared" si="6"/>
        <v>0</v>
      </c>
      <c r="BZ3" s="1999">
        <f t="shared" si="6"/>
        <v>0</v>
      </c>
      <c r="CA3" s="1999">
        <f t="shared" si="6"/>
        <v>0</v>
      </c>
      <c r="CB3" s="1999">
        <f t="shared" ref="CB3:CF3" si="7">SUM(CB11:CB93)</f>
        <v>0</v>
      </c>
      <c r="CC3" s="1999">
        <f t="shared" si="7"/>
        <v>0</v>
      </c>
      <c r="CD3" s="1999">
        <f t="shared" si="7"/>
        <v>0</v>
      </c>
      <c r="CE3" s="1999">
        <f t="shared" si="7"/>
        <v>0</v>
      </c>
      <c r="CF3" s="1999">
        <f t="shared" si="7"/>
        <v>0</v>
      </c>
      <c r="CG3" s="1999">
        <f t="shared" si="6"/>
        <v>0</v>
      </c>
      <c r="CH3" s="1999">
        <f t="shared" si="6"/>
        <v>0</v>
      </c>
      <c r="CI3" s="1999">
        <f t="shared" si="6"/>
        <v>0</v>
      </c>
      <c r="CJ3" s="1999">
        <f t="shared" si="6"/>
        <v>0</v>
      </c>
      <c r="CK3" s="1999">
        <f t="shared" si="6"/>
        <v>0</v>
      </c>
      <c r="CL3" s="1999">
        <f t="shared" si="6"/>
        <v>0</v>
      </c>
      <c r="CM3" s="1999">
        <f t="shared" si="6"/>
        <v>0</v>
      </c>
      <c r="CN3" s="1999">
        <f t="shared" si="6"/>
        <v>0</v>
      </c>
      <c r="CO3" s="1999">
        <f t="shared" si="6"/>
        <v>0</v>
      </c>
      <c r="CP3" s="1999">
        <f t="shared" si="6"/>
        <v>0</v>
      </c>
      <c r="CQ3" s="1999">
        <f t="shared" si="6"/>
        <v>0</v>
      </c>
      <c r="CR3" s="1999">
        <f t="shared" si="6"/>
        <v>0</v>
      </c>
      <c r="CS3" s="1999">
        <f t="shared" si="6"/>
        <v>0</v>
      </c>
      <c r="CT3" s="1999">
        <f t="shared" si="6"/>
        <v>0</v>
      </c>
      <c r="CU3" s="1999">
        <f t="shared" si="6"/>
        <v>0</v>
      </c>
      <c r="CV3" s="1999">
        <f t="shared" si="6"/>
        <v>0</v>
      </c>
      <c r="CW3" s="1999">
        <f t="shared" si="6"/>
        <v>0</v>
      </c>
      <c r="CX3" s="1999">
        <f t="shared" si="6"/>
        <v>0</v>
      </c>
    </row>
    <row r="4" spans="1:262" s="1665" customFormat="1" ht="13.8"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2" customHeight="1">
      <c r="A6" s="2602" t="str">
        <f>chitiet!E7</f>
        <v>Công trình: Gói Thầu Số 07 (Xây Dựng): Hệ thống pano, đèn led trang trí, camera an ninh - Thuộc dự án: Đường Nguyễn Thị Minh Khai, Huyện Xuân Lộc</v>
      </c>
      <c r="B6" s="2602"/>
      <c r="C6" s="2602"/>
      <c r="D6" s="2602"/>
      <c r="E6" s="2602"/>
      <c r="F6" s="2602"/>
      <c r="G6" s="2602"/>
      <c r="H6" s="2602"/>
      <c r="I6" s="2602"/>
      <c r="J6" s="2602"/>
      <c r="K6" s="2602"/>
      <c r="L6" s="2602"/>
      <c r="M6" s="2602"/>
      <c r="N6" s="2602"/>
      <c r="O6" s="2602"/>
      <c r="P6" s="2602"/>
      <c r="Q6" s="2602"/>
      <c r="R6" s="2602"/>
      <c r="S6" s="2602"/>
      <c r="T6" s="2602"/>
      <c r="U6" s="2602"/>
      <c r="V6" s="2602"/>
      <c r="W6" s="2602"/>
      <c r="X6" s="2602"/>
      <c r="Y6" s="2602"/>
      <c r="Z6" s="2602"/>
      <c r="AA6" s="2602"/>
      <c r="AB6" s="2602"/>
      <c r="AC6" s="2602"/>
      <c r="AD6" s="2602"/>
      <c r="AE6" s="2602"/>
      <c r="AF6" s="2602"/>
      <c r="AG6" s="2602"/>
      <c r="AH6" s="2602"/>
      <c r="AI6" s="2602"/>
      <c r="AJ6" s="2602"/>
      <c r="AK6" s="2602"/>
      <c r="AL6" s="2602"/>
      <c r="AM6" s="2602"/>
      <c r="AN6" s="2602"/>
      <c r="AO6" s="2602"/>
      <c r="AP6" s="2602"/>
      <c r="AQ6" s="2602"/>
      <c r="AR6" s="2602"/>
      <c r="AS6" s="2602"/>
      <c r="AT6" s="2602"/>
      <c r="AU6" s="2602"/>
      <c r="AV6" s="2602"/>
      <c r="AW6" s="2602"/>
      <c r="AX6" s="2602"/>
      <c r="AY6" s="2602"/>
      <c r="AZ6" s="2602"/>
      <c r="BA6" s="2602"/>
      <c r="BB6" s="2602"/>
      <c r="BC6" s="2602"/>
      <c r="BD6" s="2602"/>
      <c r="BE6" s="2602"/>
      <c r="BF6" s="2602"/>
      <c r="BG6" s="2602"/>
      <c r="BH6" s="2602"/>
      <c r="BI6" s="2602"/>
      <c r="BJ6" s="2602"/>
      <c r="BK6" s="2602"/>
      <c r="BL6" s="2602"/>
      <c r="BM6" s="2602"/>
      <c r="BN6" s="2602"/>
      <c r="BO6" s="2602"/>
      <c r="BP6" s="2602"/>
      <c r="BQ6" s="2602"/>
      <c r="BR6" s="2602"/>
      <c r="BS6" s="2602"/>
      <c r="BT6" s="2602"/>
      <c r="BU6" s="2602"/>
      <c r="BV6" s="2602"/>
      <c r="BW6" s="2602"/>
      <c r="BX6" s="2602"/>
      <c r="BY6" s="2602"/>
      <c r="BZ6" s="2602"/>
      <c r="CA6" s="2602"/>
      <c r="CB6" s="2602"/>
      <c r="CC6" s="2602"/>
      <c r="CD6" s="2602"/>
      <c r="CE6" s="2602"/>
      <c r="CF6" s="2602"/>
      <c r="CG6" s="2602"/>
      <c r="CH6" s="2602"/>
      <c r="CI6" s="2602"/>
      <c r="CJ6" s="2602"/>
      <c r="CK6" s="2602"/>
      <c r="CL6" s="2602"/>
      <c r="CM6" s="2602"/>
      <c r="CN6" s="2602"/>
      <c r="CO6" s="2602"/>
      <c r="CP6" s="2602"/>
      <c r="CQ6" s="2602"/>
      <c r="CR6" s="2602"/>
      <c r="CS6" s="2602"/>
      <c r="CT6" s="2602"/>
      <c r="CU6" s="2602"/>
      <c r="CV6" s="2602"/>
      <c r="CW6" s="2602"/>
      <c r="CX6" s="2602"/>
    </row>
    <row r="7" spans="1:262" s="1630" customFormat="1" ht="31.2" customHeight="1" thickBot="1">
      <c r="A7" s="2602" t="str">
        <f>chitiet!E8</f>
        <v>Địa điểm: Huyện Xuân Lộc - Tỉnh Đồng Nai</v>
      </c>
      <c r="B7" s="2602"/>
      <c r="C7" s="2590"/>
      <c r="D7" s="2602"/>
      <c r="E7" s="2590"/>
      <c r="F7" s="2590"/>
      <c r="G7" s="2590"/>
      <c r="H7" s="2602"/>
      <c r="I7" s="2590"/>
      <c r="J7" s="2602"/>
      <c r="K7" s="2590"/>
      <c r="L7" s="2602"/>
      <c r="M7" s="2602"/>
      <c r="N7" s="2590"/>
      <c r="O7" s="2590"/>
      <c r="P7" s="2590"/>
      <c r="Q7" s="2590"/>
      <c r="R7" s="2590"/>
      <c r="S7" s="2602"/>
      <c r="T7" s="2590"/>
      <c r="U7" s="2590"/>
      <c r="V7" s="2590"/>
      <c r="W7" s="2602"/>
      <c r="X7" s="2590"/>
      <c r="Y7" s="2590"/>
      <c r="Z7" s="2590"/>
      <c r="AA7" s="2590"/>
      <c r="AB7" s="2590"/>
      <c r="AC7" s="2590"/>
      <c r="AD7" s="2590"/>
      <c r="AE7" s="2590"/>
      <c r="AF7" s="2590"/>
      <c r="AG7" s="2590"/>
      <c r="AH7" s="2590"/>
      <c r="AI7" s="2590"/>
      <c r="AJ7" s="2590"/>
      <c r="AK7" s="2590"/>
      <c r="AL7" s="2590"/>
      <c r="AM7" s="2590"/>
      <c r="AN7" s="2602"/>
      <c r="AO7" s="2602"/>
      <c r="AP7" s="2590"/>
      <c r="AQ7" s="2590"/>
      <c r="AR7" s="2590"/>
      <c r="AS7" s="2590"/>
      <c r="AT7" s="2590"/>
      <c r="AU7" s="2590"/>
      <c r="AV7" s="2590"/>
      <c r="AW7" s="2602"/>
      <c r="AX7" s="2602"/>
      <c r="AY7" s="2590"/>
      <c r="AZ7" s="2590"/>
      <c r="BA7" s="2590"/>
      <c r="BB7" s="2590"/>
      <c r="BC7" s="2590"/>
      <c r="BD7" s="2602"/>
      <c r="BE7" s="2590"/>
      <c r="BF7" s="2590"/>
      <c r="BG7" s="2590"/>
      <c r="BH7" s="2590"/>
      <c r="BI7" s="2590"/>
      <c r="BJ7" s="2590"/>
      <c r="BK7" s="2590"/>
      <c r="BL7" s="2590"/>
      <c r="BM7" s="2602"/>
      <c r="BN7" s="2590"/>
      <c r="BO7" s="2602"/>
      <c r="BP7" s="2602"/>
      <c r="BQ7" s="2590"/>
      <c r="BR7" s="2590"/>
      <c r="BS7" s="2590"/>
      <c r="BT7" s="2602"/>
      <c r="BU7" s="2602"/>
      <c r="BV7" s="2602"/>
      <c r="BW7" s="2602"/>
      <c r="BX7" s="2602"/>
      <c r="BY7" s="2590"/>
      <c r="BZ7" s="2602"/>
      <c r="CA7" s="2602"/>
      <c r="CB7" s="2602"/>
      <c r="CC7" s="2602"/>
      <c r="CD7" s="2590"/>
      <c r="CE7" s="2590"/>
      <c r="CF7" s="2590"/>
      <c r="CG7" s="2590"/>
      <c r="CH7" s="2590"/>
      <c r="CI7" s="2590"/>
      <c r="CJ7" s="2590"/>
      <c r="CK7" s="2590"/>
      <c r="CL7" s="2590"/>
      <c r="CM7" s="2590"/>
      <c r="CN7" s="2590"/>
      <c r="CO7" s="2590"/>
      <c r="CP7" s="2590"/>
      <c r="CQ7" s="2590"/>
      <c r="CR7" s="2602"/>
      <c r="CS7" s="2602"/>
      <c r="CT7" s="2602"/>
      <c r="CU7" s="2602"/>
      <c r="CV7" s="2602"/>
      <c r="CW7" s="2602"/>
      <c r="CX7" s="2602"/>
    </row>
    <row r="8" spans="1:262" s="543" customFormat="1" ht="29.4" customHeight="1" thickTop="1">
      <c r="A8" s="2603" t="s">
        <v>3789</v>
      </c>
      <c r="B8" s="2603" t="s">
        <v>3790</v>
      </c>
      <c r="C8" s="2634" t="s">
        <v>3929</v>
      </c>
      <c r="D8" s="2603" t="s">
        <v>3930</v>
      </c>
      <c r="E8" s="2636" t="s">
        <v>3797</v>
      </c>
      <c r="F8" s="2611" t="s">
        <v>3798</v>
      </c>
      <c r="G8" s="2637" t="s">
        <v>3931</v>
      </c>
      <c r="H8" s="2603" t="s">
        <v>3800</v>
      </c>
      <c r="I8" s="2624" t="s">
        <v>2285</v>
      </c>
      <c r="J8" s="2625"/>
      <c r="K8" s="2624"/>
      <c r="L8" s="2625"/>
      <c r="M8" s="2626"/>
      <c r="N8" s="2015"/>
      <c r="O8" s="542"/>
      <c r="P8" s="542"/>
      <c r="Q8" s="542"/>
      <c r="R8" s="579"/>
      <c r="S8" s="2043"/>
      <c r="T8" s="2017"/>
      <c r="U8" s="525" t="s">
        <v>2336</v>
      </c>
      <c r="V8" s="579"/>
      <c r="W8" s="2043"/>
      <c r="X8" s="2017"/>
      <c r="Y8" s="542"/>
      <c r="Z8" s="542"/>
      <c r="AA8" s="542"/>
      <c r="AB8" s="542"/>
      <c r="AC8" s="542"/>
      <c r="AD8" s="542"/>
      <c r="AE8" s="542"/>
      <c r="AF8" s="542"/>
      <c r="AG8" s="542"/>
      <c r="AH8" s="542"/>
      <c r="AI8" s="542"/>
      <c r="AJ8" s="542"/>
      <c r="AK8" s="525"/>
      <c r="AL8" s="525"/>
      <c r="AM8" s="2002"/>
      <c r="AN8" s="2044" t="s">
        <v>3932</v>
      </c>
      <c r="AO8" s="2044"/>
      <c r="AP8" s="2017"/>
      <c r="AQ8" s="542"/>
      <c r="AR8" s="542"/>
      <c r="AS8" s="542"/>
      <c r="AT8" s="542"/>
      <c r="AU8" s="542"/>
      <c r="AV8" s="579"/>
      <c r="AW8" s="2044" t="s">
        <v>3905</v>
      </c>
      <c r="AX8" s="2043"/>
      <c r="AY8" s="2017"/>
      <c r="AZ8" s="542"/>
      <c r="BA8" s="542"/>
      <c r="BB8" s="542"/>
      <c r="BC8" s="2613" t="s">
        <v>2399</v>
      </c>
      <c r="BD8" s="2603" t="s">
        <v>2401</v>
      </c>
      <c r="BE8" s="2618" t="s">
        <v>2403</v>
      </c>
      <c r="BF8" s="525"/>
      <c r="BG8" s="542"/>
      <c r="BH8" s="542"/>
      <c r="BI8" s="542"/>
      <c r="BJ8" s="525" t="s">
        <v>3804</v>
      </c>
      <c r="BK8" s="542"/>
      <c r="BL8" s="579"/>
      <c r="BM8" s="2630" t="s">
        <v>4571</v>
      </c>
      <c r="BN8" s="2146"/>
      <c r="BO8" s="2620" t="s">
        <v>3805</v>
      </c>
      <c r="BP8" s="2620" t="s">
        <v>3806</v>
      </c>
      <c r="BQ8" s="2628" t="s">
        <v>3933</v>
      </c>
      <c r="BR8" s="2622" t="s">
        <v>3934</v>
      </c>
      <c r="BS8" s="2627" t="s">
        <v>3909</v>
      </c>
      <c r="BT8" s="2605" t="s">
        <v>3935</v>
      </c>
      <c r="BU8" s="2603" t="s">
        <v>3936</v>
      </c>
      <c r="BV8" s="2607" t="s">
        <v>3937</v>
      </c>
      <c r="BW8" s="2605" t="s">
        <v>3938</v>
      </c>
      <c r="BX8" s="2603" t="s">
        <v>3810</v>
      </c>
      <c r="BY8" s="2616" t="s">
        <v>3812</v>
      </c>
      <c r="BZ8" s="2603" t="s">
        <v>3939</v>
      </c>
      <c r="CA8" s="2603" t="s">
        <v>4828</v>
      </c>
      <c r="CB8" s="2603" t="s">
        <v>3815</v>
      </c>
      <c r="CC8" s="2603" t="s">
        <v>2892</v>
      </c>
      <c r="CD8" s="2618" t="s">
        <v>2893</v>
      </c>
      <c r="CE8" s="2611" t="s">
        <v>2894</v>
      </c>
      <c r="CF8" s="2611" t="s">
        <v>2895</v>
      </c>
      <c r="CG8" s="2611" t="s">
        <v>2896</v>
      </c>
      <c r="CH8" s="2611" t="s">
        <v>2897</v>
      </c>
      <c r="CI8" s="2611" t="s">
        <v>2898</v>
      </c>
      <c r="CJ8" s="2611" t="s">
        <v>3822</v>
      </c>
      <c r="CK8" s="2611" t="s">
        <v>3823</v>
      </c>
      <c r="CL8" s="2611" t="s">
        <v>3824</v>
      </c>
      <c r="CM8" s="2611" t="s">
        <v>3825</v>
      </c>
      <c r="CN8" s="2611" t="s">
        <v>3826</v>
      </c>
      <c r="CO8" s="2611" t="s">
        <v>3827</v>
      </c>
      <c r="CP8" s="2611" t="s">
        <v>4775</v>
      </c>
      <c r="CQ8" s="2613" t="s">
        <v>3940</v>
      </c>
      <c r="CR8" s="2603" t="s">
        <v>421</v>
      </c>
      <c r="CS8" s="2607" t="s">
        <v>4780</v>
      </c>
      <c r="CT8" s="2603" t="s">
        <v>368</v>
      </c>
      <c r="CU8" s="2603" t="s">
        <v>369</v>
      </c>
      <c r="CV8" s="2605" t="s">
        <v>4778</v>
      </c>
      <c r="CW8" s="2605" t="s">
        <v>3941</v>
      </c>
      <c r="CX8" s="2609" t="s">
        <v>2610</v>
      </c>
    </row>
    <row r="9" spans="1:262" s="543" customFormat="1" ht="117" customHeight="1">
      <c r="A9" s="2603"/>
      <c r="B9" s="2603"/>
      <c r="C9" s="2635"/>
      <c r="D9" s="2603"/>
      <c r="E9" s="2607"/>
      <c r="F9" s="2633"/>
      <c r="G9" s="2638"/>
      <c r="H9" s="2603"/>
      <c r="I9" s="2014" t="s">
        <v>300</v>
      </c>
      <c r="J9" s="2135" t="s">
        <v>318</v>
      </c>
      <c r="K9" s="526" t="s">
        <v>2316</v>
      </c>
      <c r="L9" s="2135" t="s">
        <v>301</v>
      </c>
      <c r="M9" s="2137" t="s">
        <v>302</v>
      </c>
      <c r="N9" s="2016" t="s">
        <v>697</v>
      </c>
      <c r="O9" s="527" t="s">
        <v>996</v>
      </c>
      <c r="P9" s="527" t="s">
        <v>100</v>
      </c>
      <c r="Q9" s="527" t="s">
        <v>835</v>
      </c>
      <c r="R9" s="2001" t="s">
        <v>836</v>
      </c>
      <c r="S9" s="2135" t="s">
        <v>219</v>
      </c>
      <c r="T9" s="2018" t="s">
        <v>762</v>
      </c>
      <c r="U9" s="544" t="s">
        <v>303</v>
      </c>
      <c r="V9" s="2136" t="s">
        <v>2313</v>
      </c>
      <c r="W9" s="2135" t="s">
        <v>2314</v>
      </c>
      <c r="X9" s="2018"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3" t="s">
        <v>839</v>
      </c>
      <c r="AN9" s="2139" t="s">
        <v>663</v>
      </c>
      <c r="AO9" s="2139" t="s">
        <v>664</v>
      </c>
      <c r="AP9" s="2016" t="s">
        <v>665</v>
      </c>
      <c r="AQ9" s="544" t="s">
        <v>666</v>
      </c>
      <c r="AR9" s="544" t="s">
        <v>914</v>
      </c>
      <c r="AS9" s="544" t="s">
        <v>915</v>
      </c>
      <c r="AT9" s="528" t="s">
        <v>751</v>
      </c>
      <c r="AU9" s="528" t="s">
        <v>750</v>
      </c>
      <c r="AV9" s="2004" t="s">
        <v>3884</v>
      </c>
      <c r="AW9" s="2135" t="s">
        <v>1497</v>
      </c>
      <c r="AX9" s="2135" t="s">
        <v>1498</v>
      </c>
      <c r="AY9" s="2019" t="s">
        <v>1577</v>
      </c>
      <c r="AZ9" s="1623" t="s">
        <v>1093</v>
      </c>
      <c r="BA9" s="1623" t="s">
        <v>2154</v>
      </c>
      <c r="BB9" s="1623" t="s">
        <v>1094</v>
      </c>
      <c r="BC9" s="2632"/>
      <c r="BD9" s="2603"/>
      <c r="BE9" s="2619"/>
      <c r="BF9" s="1623" t="s">
        <v>2299</v>
      </c>
      <c r="BG9" s="1623" t="s">
        <v>911</v>
      </c>
      <c r="BH9" s="1623" t="s">
        <v>2304</v>
      </c>
      <c r="BI9" s="1623" t="s">
        <v>912</v>
      </c>
      <c r="BJ9" s="1623" t="s">
        <v>2301</v>
      </c>
      <c r="BK9" s="1623" t="s">
        <v>2127</v>
      </c>
      <c r="BL9" s="2000" t="s">
        <v>2305</v>
      </c>
      <c r="BM9" s="2631"/>
      <c r="BN9" s="2138" t="s">
        <v>344</v>
      </c>
      <c r="BO9" s="2604"/>
      <c r="BP9" s="2604"/>
      <c r="BQ9" s="2629"/>
      <c r="BR9" s="2623"/>
      <c r="BS9" s="2614"/>
      <c r="BT9" s="2606"/>
      <c r="BU9" s="2604"/>
      <c r="BV9" s="2608"/>
      <c r="BW9" s="2606"/>
      <c r="BX9" s="2604"/>
      <c r="BY9" s="2617"/>
      <c r="BZ9" s="2604"/>
      <c r="CA9" s="2604"/>
      <c r="CB9" s="2604"/>
      <c r="CC9" s="2604"/>
      <c r="CD9" s="2621"/>
      <c r="CE9" s="2612"/>
      <c r="CF9" s="2612"/>
      <c r="CG9" s="2612"/>
      <c r="CH9" s="2612"/>
      <c r="CI9" s="2612"/>
      <c r="CJ9" s="2612"/>
      <c r="CK9" s="2612"/>
      <c r="CL9" s="2612"/>
      <c r="CM9" s="2612"/>
      <c r="CN9" s="2612"/>
      <c r="CO9" s="2612"/>
      <c r="CP9" s="2612"/>
      <c r="CQ9" s="2614"/>
      <c r="CR9" s="2604"/>
      <c r="CS9" s="2608"/>
      <c r="CT9" s="2604"/>
      <c r="CU9" s="2604"/>
      <c r="CV9" s="2606"/>
      <c r="CW9" s="2606"/>
      <c r="CX9" s="2610"/>
    </row>
    <row r="10" spans="1:262" s="2166" customFormat="1" ht="27" hidden="1" customHeight="1">
      <c r="A10" s="2162" t="str">
        <f>IF(A9=0,A8,A9)</f>
        <v>Số trụ</v>
      </c>
      <c r="B10" s="2162" t="str">
        <f t="shared" ref="B10:BN10" si="8">IF(B9=0,B8,B9)</f>
        <v>Kh.cách</v>
      </c>
      <c r="C10" s="2093" t="str">
        <f t="shared" si="8"/>
        <v>Cộng dồn AC50+AC50</v>
      </c>
      <c r="D10" s="2162" t="str">
        <f t="shared" si="8"/>
        <v>Cộng dồn ACXV50+AC50</v>
      </c>
      <c r="E10" s="2094" t="str">
        <f t="shared" si="8"/>
        <v>Khoảng néo</v>
      </c>
      <c r="F10" s="530" t="str">
        <f t="shared" si="8"/>
        <v>Hướng</v>
      </c>
      <c r="G10" s="530" t="str">
        <f t="shared" si="8"/>
        <v>Góc</v>
      </c>
      <c r="H10" s="2162" t="str">
        <f t="shared" si="8"/>
        <v>Hình thức trụ</v>
      </c>
      <c r="I10" s="2094" t="str">
        <f t="shared" si="8"/>
        <v>BTLT 10.5</v>
      </c>
      <c r="J10" s="2163" t="str">
        <f t="shared" si="8"/>
        <v>BTLT 12 HH</v>
      </c>
      <c r="K10" s="2094" t="str">
        <f t="shared" si="8"/>
        <v>BTLT 12 TĐ</v>
      </c>
      <c r="L10" s="2162" t="str">
        <f>IF(L9=0,L8,L9)</f>
        <v>BTLT 12</v>
      </c>
      <c r="M10" s="2125" t="str">
        <f t="shared" si="8"/>
        <v>BTLT 14</v>
      </c>
      <c r="N10" s="2094" t="str">
        <f t="shared" si="8"/>
        <v>M10a</v>
      </c>
      <c r="O10" s="530" t="str">
        <f t="shared" si="8"/>
        <v>M10b</v>
      </c>
      <c r="P10" s="530" t="str">
        <f t="shared" si="8"/>
        <v>M10aa</v>
      </c>
      <c r="Q10" s="530" t="str">
        <f t="shared" si="8"/>
        <v>M10ba</v>
      </c>
      <c r="R10" s="530" t="str">
        <f t="shared" si="8"/>
        <v>M10bb</v>
      </c>
      <c r="S10" s="2163" t="str">
        <f t="shared" si="8"/>
        <v>M12</v>
      </c>
      <c r="T10" s="2094" t="str">
        <f t="shared" si="8"/>
        <v>M10-2b</v>
      </c>
      <c r="U10" s="530" t="str">
        <f t="shared" si="8"/>
        <v>M12a</v>
      </c>
      <c r="V10" s="1667" t="str">
        <f t="shared" si="8"/>
        <v>M12BT ĐƠN</v>
      </c>
      <c r="W10" s="2164"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2" t="str">
        <f t="shared" si="8"/>
        <v>CX12-B</v>
      </c>
      <c r="AO10" s="2162" t="str">
        <f t="shared" si="8"/>
        <v>CL12-B</v>
      </c>
      <c r="AP10" s="2094"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2" t="str">
        <f t="shared" si="8"/>
        <v>NXX</v>
      </c>
      <c r="AX10" s="2162" t="str">
        <f t="shared" si="8"/>
        <v>NXL</v>
      </c>
      <c r="AY10" s="2094"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3" t="str">
        <f t="shared" si="8"/>
        <v>Tiếp địa lặp lại trụ 12m</v>
      </c>
      <c r="BE10" s="2094"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0"/>
      <c r="BN10" s="2094" t="str">
        <f t="shared" si="8"/>
        <v>X-8KL</v>
      </c>
      <c r="BO10" s="2164" t="str">
        <f t="shared" ref="BO10:CX10" si="9">IF(BO9=0,BO8,BO9)</f>
        <v>Bộ sứ đỉnh đỡ thẳng SĐI</v>
      </c>
      <c r="BP10" s="2164"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5" t="str">
        <f t="shared" si="9"/>
        <v>Chuỗi sứ treo polyme bắt vào xà</v>
      </c>
      <c r="BU10" s="2162" t="str">
        <f t="shared" si="9"/>
        <v>Chuỗi sứ treo polyme bắt vào trụ</v>
      </c>
      <c r="BV10" s="2099" t="str">
        <f t="shared" si="9"/>
        <v xml:space="preserve"> Chuỗi treo 2 bát lắp vào trụ</v>
      </c>
      <c r="BW10" s="2040" t="str">
        <f t="shared" si="9"/>
        <v xml:space="preserve"> Chuỗi đỡ 2 bát lắp vào trụ - CĐT</v>
      </c>
      <c r="BX10" s="2163" t="str">
        <f t="shared" si="9"/>
        <v>Bộ đỡ dây T.H : Đth-U</v>
      </c>
      <c r="BY10" s="2094" t="str">
        <f t="shared" si="9"/>
        <v>Bộ néo dây T.H : Nth-U</v>
      </c>
      <c r="BZ10" s="2162" t="str">
        <f t="shared" si="9"/>
        <v>Bộ khóa néo TH : Nth-T</v>
      </c>
      <c r="CA10" s="2162" t="str">
        <f t="shared" si="9"/>
        <v>hotline 2/0</v>
      </c>
      <c r="CB10" s="2162"/>
      <c r="CC10" s="2162" t="str">
        <f t="shared" si="9"/>
        <v>Kẹp ép WR cỡ dây 50mm2</v>
      </c>
      <c r="CD10" s="2094"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3" t="str">
        <f t="shared" si="9"/>
        <v>FCO 24kV 100A</v>
      </c>
      <c r="CS10" s="2103"/>
      <c r="CT10" s="2039"/>
      <c r="CU10" s="2039"/>
      <c r="CV10" s="2039"/>
      <c r="CW10" s="2125" t="str">
        <f t="shared" si="9"/>
        <v>Vị trí vượt đường</v>
      </c>
      <c r="CX10" s="2162" t="str">
        <f t="shared" si="9"/>
        <v>GHI CHÚ</v>
      </c>
      <c r="CY10" s="2165"/>
      <c r="CZ10" s="2165"/>
      <c r="DA10" s="2165"/>
      <c r="DB10" s="2165"/>
      <c r="DC10" s="2165"/>
      <c r="DD10" s="2165"/>
      <c r="DE10" s="2165"/>
      <c r="DF10" s="2165"/>
      <c r="DG10" s="2165"/>
      <c r="DH10" s="2165"/>
      <c r="DI10" s="2165"/>
      <c r="DJ10" s="2165"/>
      <c r="DK10" s="2165"/>
      <c r="DL10" s="2165"/>
      <c r="DM10" s="2165"/>
      <c r="DN10" s="2165"/>
      <c r="DO10" s="2165"/>
      <c r="DP10" s="2165"/>
      <c r="DQ10" s="2165"/>
      <c r="DR10" s="2165"/>
      <c r="DS10" s="2165"/>
      <c r="DT10" s="2165"/>
      <c r="DU10" s="2165"/>
      <c r="DV10" s="2165"/>
      <c r="DW10" s="2165"/>
      <c r="DX10" s="2165"/>
      <c r="DY10" s="2165"/>
      <c r="DZ10" s="2165"/>
      <c r="EA10" s="2165"/>
      <c r="EB10" s="2165"/>
      <c r="EC10" s="2165"/>
      <c r="ED10" s="2165"/>
      <c r="EE10" s="2165"/>
      <c r="EF10" s="2165"/>
      <c r="EG10" s="2165"/>
      <c r="EH10" s="2165"/>
      <c r="EI10" s="2165"/>
      <c r="EJ10" s="2165"/>
      <c r="EK10" s="2165"/>
      <c r="EL10" s="2165"/>
      <c r="EM10" s="2165"/>
      <c r="EN10" s="2165"/>
      <c r="EO10" s="2165"/>
      <c r="EP10" s="2165"/>
      <c r="EQ10" s="2165"/>
      <c r="ER10" s="2165"/>
      <c r="ES10" s="2165"/>
      <c r="ET10" s="2165"/>
      <c r="EU10" s="2165"/>
      <c r="EV10" s="2165"/>
      <c r="EW10" s="2165"/>
      <c r="EX10" s="2165"/>
      <c r="EY10" s="2165"/>
      <c r="EZ10" s="2165"/>
      <c r="FA10" s="2165"/>
      <c r="FB10" s="2165"/>
      <c r="FC10" s="2165"/>
      <c r="FD10" s="2165"/>
      <c r="FE10" s="2165"/>
      <c r="FF10" s="2165"/>
      <c r="FG10" s="2165"/>
      <c r="FH10" s="2165"/>
      <c r="FI10" s="2165"/>
      <c r="FJ10" s="2165"/>
      <c r="FK10" s="2165"/>
      <c r="FL10" s="2165"/>
      <c r="FM10" s="2165"/>
      <c r="FN10" s="2165"/>
      <c r="FO10" s="2165"/>
      <c r="FP10" s="2165"/>
      <c r="FQ10" s="2165"/>
      <c r="FR10" s="2165"/>
      <c r="FS10" s="2165"/>
      <c r="FT10" s="2165"/>
      <c r="FU10" s="2165"/>
      <c r="FV10" s="2165"/>
      <c r="FW10" s="2165"/>
      <c r="FX10" s="2165"/>
      <c r="FY10" s="2165"/>
      <c r="FZ10" s="2165"/>
      <c r="GA10" s="2165"/>
      <c r="GB10" s="2165"/>
      <c r="GC10" s="2165"/>
      <c r="GD10" s="2165"/>
      <c r="GE10" s="2165"/>
      <c r="GF10" s="2165"/>
      <c r="GG10" s="2165"/>
      <c r="GH10" s="2165"/>
      <c r="GI10" s="2165"/>
      <c r="GJ10" s="2165"/>
      <c r="GK10" s="2165"/>
      <c r="GL10" s="2165"/>
      <c r="GM10" s="2165"/>
      <c r="GN10" s="2165"/>
      <c r="GO10" s="2165"/>
      <c r="GP10" s="2165"/>
      <c r="GQ10" s="2165"/>
      <c r="GR10" s="2165"/>
      <c r="GS10" s="2165"/>
      <c r="GT10" s="2165"/>
      <c r="GU10" s="2165"/>
      <c r="GV10" s="2165"/>
      <c r="GW10" s="2165"/>
      <c r="GX10" s="2165"/>
      <c r="GY10" s="2165"/>
      <c r="GZ10" s="2165"/>
      <c r="HA10" s="2165"/>
      <c r="HB10" s="2165"/>
      <c r="HC10" s="2165"/>
      <c r="HD10" s="2165"/>
      <c r="HE10" s="2165"/>
      <c r="HF10" s="2165"/>
      <c r="HG10" s="2165"/>
      <c r="HH10" s="2165"/>
      <c r="HI10" s="2165"/>
      <c r="HJ10" s="2165"/>
      <c r="HK10" s="2165"/>
      <c r="HL10" s="2165"/>
      <c r="HM10" s="2165"/>
      <c r="HN10" s="2165"/>
      <c r="HO10" s="2165"/>
      <c r="HP10" s="2165"/>
      <c r="HQ10" s="2165"/>
      <c r="HR10" s="2165"/>
      <c r="HS10" s="2165"/>
      <c r="HT10" s="2165"/>
      <c r="HU10" s="2165"/>
      <c r="HV10" s="2165"/>
      <c r="HW10" s="2165"/>
      <c r="HX10" s="2165"/>
      <c r="HY10" s="2165"/>
      <c r="HZ10" s="2165"/>
      <c r="IA10" s="2165"/>
      <c r="IB10" s="2165"/>
      <c r="IC10" s="2165"/>
      <c r="ID10" s="2165"/>
      <c r="IE10" s="2165"/>
      <c r="IF10" s="2165"/>
      <c r="IG10" s="2165"/>
      <c r="IH10" s="2165"/>
      <c r="II10" s="2165"/>
      <c r="IJ10" s="2165"/>
      <c r="IK10" s="2165"/>
      <c r="IL10" s="2165"/>
      <c r="IM10" s="2165"/>
      <c r="IN10" s="2165"/>
      <c r="IO10" s="2165"/>
      <c r="IP10" s="2165"/>
      <c r="IQ10" s="2165"/>
      <c r="IR10" s="2165"/>
      <c r="IS10" s="2165"/>
      <c r="IT10" s="2165"/>
      <c r="IU10" s="2165"/>
      <c r="IV10" s="2165"/>
      <c r="IW10" s="2165"/>
      <c r="IX10" s="2165"/>
      <c r="IY10" s="2165"/>
      <c r="IZ10" s="2165"/>
      <c r="JA10" s="2165"/>
      <c r="JB10" s="2165"/>
    </row>
    <row r="11" spans="1:262" ht="25.2" customHeight="1">
      <c r="A11" s="2045" t="s">
        <v>4827</v>
      </c>
      <c r="B11" s="2046"/>
      <c r="C11" s="2020"/>
      <c r="D11" s="2047"/>
      <c r="E11" s="2022"/>
      <c r="F11" s="548"/>
      <c r="G11" s="2005"/>
      <c r="H11" s="2049" t="s">
        <v>658</v>
      </c>
      <c r="I11" s="2023"/>
      <c r="J11" s="2046"/>
      <c r="K11" s="2023"/>
      <c r="L11" s="2046"/>
      <c r="M11" s="2100"/>
      <c r="N11" s="2026"/>
      <c r="O11" s="548"/>
      <c r="P11" s="548"/>
      <c r="Q11" s="548"/>
      <c r="R11" s="2009"/>
      <c r="S11" s="2049"/>
      <c r="T11" s="2026"/>
      <c r="U11" s="548"/>
      <c r="V11" s="2009"/>
      <c r="W11" s="2049"/>
      <c r="X11" s="2026"/>
      <c r="Y11" s="548"/>
      <c r="Z11" s="548"/>
      <c r="AA11" s="548"/>
      <c r="AB11" s="548"/>
      <c r="AC11" s="548"/>
      <c r="AD11" s="548"/>
      <c r="AE11" s="548"/>
      <c r="AF11" s="548"/>
      <c r="AG11" s="548"/>
      <c r="AH11" s="548"/>
      <c r="AI11" s="548"/>
      <c r="AJ11" s="548"/>
      <c r="AK11" s="548"/>
      <c r="AL11" s="548"/>
      <c r="AM11" s="2009"/>
      <c r="AN11" s="2049"/>
      <c r="AO11" s="2049"/>
      <c r="AP11" s="2026"/>
      <c r="AQ11" s="548"/>
      <c r="AR11" s="548"/>
      <c r="AS11" s="548"/>
      <c r="AT11" s="548"/>
      <c r="AU11" s="548"/>
      <c r="AV11" s="2009"/>
      <c r="AW11" s="2049"/>
      <c r="AX11" s="2049"/>
      <c r="AY11" s="2026"/>
      <c r="AZ11" s="548"/>
      <c r="BA11" s="548"/>
      <c r="BB11" s="548"/>
      <c r="BC11" s="2009"/>
      <c r="BD11" s="2049"/>
      <c r="BE11" s="2026"/>
      <c r="BF11" s="548"/>
      <c r="BG11" s="548"/>
      <c r="BH11" s="548"/>
      <c r="BI11" s="548"/>
      <c r="BJ11" s="548"/>
      <c r="BK11" s="548"/>
      <c r="BL11" s="2009"/>
      <c r="BM11" s="2049"/>
      <c r="BN11" s="2147"/>
      <c r="BO11" s="2046"/>
      <c r="BP11" s="2046"/>
      <c r="BQ11" s="2022"/>
      <c r="BR11" s="547"/>
      <c r="BS11" s="2007"/>
      <c r="BT11" s="2119"/>
      <c r="BU11" s="2046"/>
      <c r="BV11" s="2100"/>
      <c r="BW11" s="2119"/>
      <c r="BX11" s="2046"/>
      <c r="BY11" s="2046"/>
      <c r="BZ11" s="2046"/>
      <c r="CA11" s="2046"/>
      <c r="CB11" s="2046"/>
      <c r="CC11" s="2046"/>
      <c r="CD11" s="2022"/>
      <c r="CE11" s="547"/>
      <c r="CF11" s="547"/>
      <c r="CG11" s="547"/>
      <c r="CH11" s="547"/>
      <c r="CI11" s="547"/>
      <c r="CJ11" s="547"/>
      <c r="CK11" s="547"/>
      <c r="CL11" s="547"/>
      <c r="CM11" s="547"/>
      <c r="CN11" s="547"/>
      <c r="CO11" s="547"/>
      <c r="CP11" s="547"/>
      <c r="CQ11" s="2007"/>
      <c r="CR11" s="2046"/>
      <c r="CS11" s="2100"/>
      <c r="CT11" s="2046"/>
      <c r="CU11" s="2046"/>
      <c r="CV11" s="2119"/>
      <c r="CW11" s="2119"/>
      <c r="CX11" s="2049"/>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45" t="s">
        <v>166</v>
      </c>
      <c r="B12" s="2092"/>
      <c r="C12" s="2021"/>
      <c r="D12" s="2051"/>
      <c r="E12" s="671"/>
      <c r="F12" s="440"/>
      <c r="G12" s="2006"/>
      <c r="H12" s="2048" t="s">
        <v>1109</v>
      </c>
      <c r="I12" s="2024"/>
      <c r="J12" s="2050"/>
      <c r="K12" s="2025"/>
      <c r="L12" s="2051"/>
      <c r="M12" s="2101"/>
      <c r="N12" s="2027"/>
      <c r="O12" s="782"/>
      <c r="P12" s="782"/>
      <c r="Q12" s="782"/>
      <c r="R12" s="2008"/>
      <c r="S12" s="2050"/>
      <c r="T12" s="2027"/>
      <c r="U12" s="782"/>
      <c r="V12" s="2008"/>
      <c r="W12" s="2050"/>
      <c r="X12" s="2027"/>
      <c r="Y12" s="782"/>
      <c r="Z12" s="782"/>
      <c r="AA12" s="782"/>
      <c r="AB12" s="782"/>
      <c r="AC12" s="782"/>
      <c r="AD12" s="782"/>
      <c r="AE12" s="782"/>
      <c r="AF12" s="782"/>
      <c r="AG12" s="782"/>
      <c r="AH12" s="782"/>
      <c r="AI12" s="782"/>
      <c r="AJ12" s="782"/>
      <c r="AK12" s="782"/>
      <c r="AL12" s="782"/>
      <c r="AM12" s="2008"/>
      <c r="AN12" s="2050"/>
      <c r="AO12" s="2050"/>
      <c r="AP12" s="2027"/>
      <c r="AQ12" s="782"/>
      <c r="AR12" s="782"/>
      <c r="AS12" s="782"/>
      <c r="AT12" s="782"/>
      <c r="AU12" s="782"/>
      <c r="AV12" s="2008"/>
      <c r="AW12" s="2050"/>
      <c r="AX12" s="2050"/>
      <c r="AY12" s="2027"/>
      <c r="AZ12" s="782"/>
      <c r="BA12" s="782"/>
      <c r="BB12" s="782"/>
      <c r="BC12" s="2008"/>
      <c r="BD12" s="2050"/>
      <c r="BE12" s="2027"/>
      <c r="BF12" s="782"/>
      <c r="BG12" s="782"/>
      <c r="BH12" s="782"/>
      <c r="BI12" s="782"/>
      <c r="BJ12" s="782"/>
      <c r="BK12" s="782"/>
      <c r="BL12" s="2008"/>
      <c r="BM12" s="2050"/>
      <c r="BN12" s="2024"/>
      <c r="BO12" s="2050"/>
      <c r="BP12" s="2050"/>
      <c r="BQ12" s="2027"/>
      <c r="BR12" s="782"/>
      <c r="BS12" s="2008"/>
      <c r="BT12" s="2120"/>
      <c r="BU12" s="2050"/>
      <c r="BV12" s="2101"/>
      <c r="BW12" s="2120"/>
      <c r="BX12" s="2050"/>
      <c r="BY12" s="2050"/>
      <c r="BZ12" s="2050"/>
      <c r="CA12" s="2050"/>
      <c r="CB12" s="2050"/>
      <c r="CC12" s="2050"/>
      <c r="CD12" s="2027"/>
      <c r="CE12" s="782"/>
      <c r="CF12" s="782"/>
      <c r="CG12" s="782"/>
      <c r="CH12" s="782"/>
      <c r="CI12" s="782"/>
      <c r="CJ12" s="782"/>
      <c r="CK12" s="782"/>
      <c r="CL12" s="782"/>
      <c r="CM12" s="782"/>
      <c r="CN12" s="782"/>
      <c r="CO12" s="782"/>
      <c r="CP12" s="782"/>
      <c r="CQ12" s="2008"/>
      <c r="CR12" s="2050"/>
      <c r="CS12" s="2101"/>
      <c r="CT12" s="2050"/>
      <c r="CU12" s="2050"/>
      <c r="CV12" s="2120"/>
      <c r="CW12" s="2120"/>
      <c r="CX12" s="2046"/>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45" t="s">
        <v>167</v>
      </c>
      <c r="B13" s="2092"/>
      <c r="C13" s="2107"/>
      <c r="D13" s="2051"/>
      <c r="E13" s="671"/>
      <c r="F13" s="440"/>
      <c r="G13" s="2006"/>
      <c r="H13" s="2048"/>
      <c r="I13" s="2024"/>
      <c r="J13" s="2050"/>
      <c r="K13" s="2110"/>
      <c r="L13" s="2046"/>
      <c r="M13" s="2101"/>
      <c r="N13" s="2027"/>
      <c r="O13" s="782"/>
      <c r="P13" s="782"/>
      <c r="Q13" s="782"/>
      <c r="R13" s="2008"/>
      <c r="S13" s="2050"/>
      <c r="T13" s="2027"/>
      <c r="U13" s="782"/>
      <c r="V13" s="2008"/>
      <c r="W13" s="2050"/>
      <c r="X13" s="2027"/>
      <c r="Y13" s="782"/>
      <c r="Z13" s="782"/>
      <c r="AA13" s="782"/>
      <c r="AB13" s="782"/>
      <c r="AC13" s="782"/>
      <c r="AD13" s="782"/>
      <c r="AE13" s="782"/>
      <c r="AF13" s="782"/>
      <c r="AG13" s="782"/>
      <c r="AH13" s="782"/>
      <c r="AI13" s="782"/>
      <c r="AJ13" s="782"/>
      <c r="AK13" s="782"/>
      <c r="AL13" s="782"/>
      <c r="AM13" s="2008"/>
      <c r="AN13" s="2050"/>
      <c r="AO13" s="2050"/>
      <c r="AP13" s="2027"/>
      <c r="AQ13" s="782"/>
      <c r="AR13" s="782"/>
      <c r="AS13" s="782"/>
      <c r="AT13" s="782"/>
      <c r="AU13" s="782"/>
      <c r="AV13" s="2008"/>
      <c r="AW13" s="2050"/>
      <c r="AX13" s="2050"/>
      <c r="AY13" s="2027"/>
      <c r="AZ13" s="782"/>
      <c r="BA13" s="782"/>
      <c r="BB13" s="782"/>
      <c r="BC13" s="2008"/>
      <c r="BD13" s="2050"/>
      <c r="BE13" s="2027"/>
      <c r="BF13" s="782"/>
      <c r="BG13" s="782"/>
      <c r="BH13" s="782"/>
      <c r="BI13" s="782"/>
      <c r="BJ13" s="782"/>
      <c r="BK13" s="782"/>
      <c r="BL13" s="2008"/>
      <c r="BM13" s="2050"/>
      <c r="BN13" s="2024"/>
      <c r="BO13" s="2050"/>
      <c r="BP13" s="2050"/>
      <c r="BQ13" s="2027"/>
      <c r="BR13" s="782"/>
      <c r="BS13" s="2008"/>
      <c r="BT13" s="2120"/>
      <c r="BU13" s="2050"/>
      <c r="BV13" s="2102"/>
      <c r="BW13" s="2121"/>
      <c r="BX13" s="2050"/>
      <c r="BY13" s="2024"/>
      <c r="BZ13" s="2050"/>
      <c r="CA13" s="2050"/>
      <c r="CB13" s="2050"/>
      <c r="CC13" s="2050"/>
      <c r="CD13" s="2027"/>
      <c r="CE13" s="782"/>
      <c r="CF13" s="782"/>
      <c r="CG13" s="782"/>
      <c r="CH13" s="782"/>
      <c r="CI13" s="782"/>
      <c r="CJ13" s="782"/>
      <c r="CK13" s="782"/>
      <c r="CL13" s="782"/>
      <c r="CM13" s="782"/>
      <c r="CN13" s="782"/>
      <c r="CO13" s="782"/>
      <c r="CP13" s="782"/>
      <c r="CQ13" s="2008"/>
      <c r="CR13" s="2050"/>
      <c r="CS13" s="2102"/>
      <c r="CT13" s="2042"/>
      <c r="CU13" s="2042"/>
      <c r="CV13" s="2121"/>
      <c r="CW13" s="2120"/>
      <c r="CX13" s="2046"/>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45" t="s">
        <v>168</v>
      </c>
      <c r="B14" s="2092"/>
      <c r="C14" s="2107"/>
      <c r="D14" s="2051"/>
      <c r="E14" s="671"/>
      <c r="F14" s="440"/>
      <c r="G14" s="2006"/>
      <c r="H14" s="2048"/>
      <c r="I14" s="2024"/>
      <c r="J14" s="2050"/>
      <c r="K14" s="2110"/>
      <c r="L14" s="2046"/>
      <c r="M14" s="2101"/>
      <c r="N14" s="2027"/>
      <c r="O14" s="782"/>
      <c r="P14" s="782"/>
      <c r="Q14" s="782"/>
      <c r="R14" s="2008"/>
      <c r="S14" s="2050"/>
      <c r="T14" s="2027"/>
      <c r="U14" s="782"/>
      <c r="V14" s="2008"/>
      <c r="W14" s="2050"/>
      <c r="X14" s="2027"/>
      <c r="Y14" s="782"/>
      <c r="Z14" s="782"/>
      <c r="AA14" s="782"/>
      <c r="AB14" s="782"/>
      <c r="AC14" s="782"/>
      <c r="AD14" s="782"/>
      <c r="AE14" s="782"/>
      <c r="AF14" s="782"/>
      <c r="AG14" s="782"/>
      <c r="AH14" s="782"/>
      <c r="AI14" s="782"/>
      <c r="AJ14" s="782"/>
      <c r="AK14" s="782"/>
      <c r="AL14" s="782"/>
      <c r="AM14" s="2008"/>
      <c r="AN14" s="2050"/>
      <c r="AO14" s="2050"/>
      <c r="AP14" s="2027"/>
      <c r="AQ14" s="782"/>
      <c r="AR14" s="782"/>
      <c r="AS14" s="782"/>
      <c r="AT14" s="782"/>
      <c r="AU14" s="782"/>
      <c r="AV14" s="2008"/>
      <c r="AW14" s="2050"/>
      <c r="AX14" s="2050"/>
      <c r="AY14" s="2027"/>
      <c r="AZ14" s="782"/>
      <c r="BA14" s="782"/>
      <c r="BB14" s="782"/>
      <c r="BC14" s="2008"/>
      <c r="BD14" s="2050"/>
      <c r="BE14" s="2027"/>
      <c r="BF14" s="782"/>
      <c r="BG14" s="782"/>
      <c r="BH14" s="782"/>
      <c r="BI14" s="782"/>
      <c r="BJ14" s="782"/>
      <c r="BK14" s="782"/>
      <c r="BL14" s="2008"/>
      <c r="BM14" s="2050"/>
      <c r="BN14" s="2024"/>
      <c r="BO14" s="2050"/>
      <c r="BP14" s="2050"/>
      <c r="BQ14" s="2027"/>
      <c r="BR14" s="782"/>
      <c r="BS14" s="2008"/>
      <c r="BT14" s="2120"/>
      <c r="BU14" s="2050"/>
      <c r="BV14" s="2027"/>
      <c r="BW14" s="2008"/>
      <c r="BX14" s="2050"/>
      <c r="BY14" s="2024"/>
      <c r="BZ14" s="2050"/>
      <c r="CA14" s="2050"/>
      <c r="CB14" s="2050"/>
      <c r="CC14" s="2050"/>
      <c r="CD14" s="2027"/>
      <c r="CE14" s="782"/>
      <c r="CF14" s="782"/>
      <c r="CG14" s="782"/>
      <c r="CH14" s="782"/>
      <c r="CI14" s="782"/>
      <c r="CJ14" s="782"/>
      <c r="CK14" s="782"/>
      <c r="CL14" s="782"/>
      <c r="CM14" s="782"/>
      <c r="CN14" s="782"/>
      <c r="CO14" s="782"/>
      <c r="CP14" s="782"/>
      <c r="CQ14" s="2008"/>
      <c r="CR14" s="2050"/>
      <c r="CS14" s="2027"/>
      <c r="CT14" s="782"/>
      <c r="CU14" s="782"/>
      <c r="CV14" s="2008"/>
      <c r="CW14" s="2120"/>
      <c r="CX14" s="2046"/>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45" t="s">
        <v>165</v>
      </c>
      <c r="B15" s="2092"/>
      <c r="C15" s="2107"/>
      <c r="D15" s="2051"/>
      <c r="E15" s="671"/>
      <c r="F15" s="440"/>
      <c r="G15" s="2006"/>
      <c r="H15" s="2048"/>
      <c r="I15" s="2024"/>
      <c r="J15" s="2050"/>
      <c r="K15" s="2110"/>
      <c r="L15" s="2046"/>
      <c r="M15" s="2101"/>
      <c r="N15" s="2027"/>
      <c r="O15" s="782"/>
      <c r="P15" s="782"/>
      <c r="Q15" s="782"/>
      <c r="R15" s="2008"/>
      <c r="S15" s="2050"/>
      <c r="T15" s="2027"/>
      <c r="U15" s="782"/>
      <c r="V15" s="2008"/>
      <c r="W15" s="2050"/>
      <c r="X15" s="2027"/>
      <c r="Y15" s="782"/>
      <c r="Z15" s="782"/>
      <c r="AA15" s="782"/>
      <c r="AB15" s="782"/>
      <c r="AC15" s="782"/>
      <c r="AD15" s="782"/>
      <c r="AE15" s="782"/>
      <c r="AF15" s="782"/>
      <c r="AG15" s="782"/>
      <c r="AH15" s="782"/>
      <c r="AI15" s="782"/>
      <c r="AJ15" s="782"/>
      <c r="AK15" s="782"/>
      <c r="AL15" s="782"/>
      <c r="AM15" s="2008"/>
      <c r="AN15" s="2050"/>
      <c r="AO15" s="2050"/>
      <c r="AP15" s="2027"/>
      <c r="AQ15" s="782"/>
      <c r="AR15" s="782"/>
      <c r="AS15" s="782"/>
      <c r="AT15" s="782"/>
      <c r="AU15" s="782"/>
      <c r="AV15" s="2008"/>
      <c r="AW15" s="2050"/>
      <c r="AX15" s="2050"/>
      <c r="AY15" s="2027"/>
      <c r="AZ15" s="782"/>
      <c r="BA15" s="782"/>
      <c r="BB15" s="782"/>
      <c r="BC15" s="2008"/>
      <c r="BD15" s="2050"/>
      <c r="BE15" s="2027"/>
      <c r="BF15" s="782"/>
      <c r="BG15" s="782"/>
      <c r="BH15" s="782"/>
      <c r="BI15" s="782"/>
      <c r="BJ15" s="782"/>
      <c r="BK15" s="782"/>
      <c r="BL15" s="2008"/>
      <c r="BM15" s="2050"/>
      <c r="BN15" s="2024"/>
      <c r="BO15" s="2050"/>
      <c r="BP15" s="2050"/>
      <c r="BQ15" s="2027"/>
      <c r="BR15" s="782"/>
      <c r="BS15" s="2008"/>
      <c r="BT15" s="2120"/>
      <c r="BU15" s="2050"/>
      <c r="BV15" s="2027"/>
      <c r="BW15" s="2008"/>
      <c r="BX15" s="2050"/>
      <c r="BY15" s="2024"/>
      <c r="BZ15" s="2050"/>
      <c r="CA15" s="2050"/>
      <c r="CB15" s="2050"/>
      <c r="CC15" s="2050"/>
      <c r="CD15" s="2027"/>
      <c r="CE15" s="782"/>
      <c r="CF15" s="782"/>
      <c r="CG15" s="782"/>
      <c r="CH15" s="782"/>
      <c r="CI15" s="782"/>
      <c r="CJ15" s="782"/>
      <c r="CK15" s="782"/>
      <c r="CL15" s="782"/>
      <c r="CM15" s="782"/>
      <c r="CN15" s="782"/>
      <c r="CO15" s="782"/>
      <c r="CP15" s="782"/>
      <c r="CQ15" s="2008"/>
      <c r="CR15" s="2050"/>
      <c r="CS15" s="2027"/>
      <c r="CT15" s="782"/>
      <c r="CU15" s="782"/>
      <c r="CV15" s="2008"/>
      <c r="CW15" s="2120"/>
      <c r="CX15" s="2046"/>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45" t="s">
        <v>169</v>
      </c>
      <c r="B16" s="2092"/>
      <c r="C16" s="2107"/>
      <c r="D16" s="2051"/>
      <c r="E16" s="671"/>
      <c r="F16" s="440"/>
      <c r="G16" s="2006"/>
      <c r="H16" s="2048"/>
      <c r="I16" s="2024"/>
      <c r="J16" s="2050"/>
      <c r="K16" s="2110"/>
      <c r="L16" s="2046"/>
      <c r="M16" s="2101"/>
      <c r="N16" s="2027"/>
      <c r="O16" s="782"/>
      <c r="P16" s="782"/>
      <c r="Q16" s="782"/>
      <c r="R16" s="2008"/>
      <c r="S16" s="2050"/>
      <c r="T16" s="2027"/>
      <c r="U16" s="782"/>
      <c r="V16" s="2008"/>
      <c r="W16" s="2050"/>
      <c r="X16" s="2027"/>
      <c r="Y16" s="782"/>
      <c r="Z16" s="782"/>
      <c r="AA16" s="782"/>
      <c r="AB16" s="782"/>
      <c r="AC16" s="782"/>
      <c r="AD16" s="782"/>
      <c r="AE16" s="782"/>
      <c r="AF16" s="782"/>
      <c r="AG16" s="782"/>
      <c r="AH16" s="782"/>
      <c r="AI16" s="782"/>
      <c r="AJ16" s="782"/>
      <c r="AK16" s="782"/>
      <c r="AL16" s="782"/>
      <c r="AM16" s="2008"/>
      <c r="AN16" s="2050"/>
      <c r="AO16" s="2050"/>
      <c r="AP16" s="2027"/>
      <c r="AQ16" s="782"/>
      <c r="AR16" s="782"/>
      <c r="AS16" s="782"/>
      <c r="AT16" s="782"/>
      <c r="AU16" s="782"/>
      <c r="AV16" s="2008"/>
      <c r="AW16" s="2050"/>
      <c r="AX16" s="2050"/>
      <c r="AY16" s="2027"/>
      <c r="AZ16" s="782"/>
      <c r="BA16" s="782"/>
      <c r="BB16" s="782"/>
      <c r="BC16" s="2008"/>
      <c r="BD16" s="2050"/>
      <c r="BE16" s="2027"/>
      <c r="BF16" s="782"/>
      <c r="BG16" s="782"/>
      <c r="BH16" s="782"/>
      <c r="BI16" s="782"/>
      <c r="BJ16" s="782"/>
      <c r="BK16" s="782"/>
      <c r="BL16" s="2008"/>
      <c r="BM16" s="2050"/>
      <c r="BN16" s="2024"/>
      <c r="BO16" s="2050"/>
      <c r="BP16" s="2050"/>
      <c r="BQ16" s="2027"/>
      <c r="BR16" s="782"/>
      <c r="BS16" s="2008"/>
      <c r="BT16" s="2120"/>
      <c r="BU16" s="2050"/>
      <c r="BV16" s="2027"/>
      <c r="BW16" s="2008"/>
      <c r="BX16" s="2050"/>
      <c r="BY16" s="2024"/>
      <c r="BZ16" s="2050"/>
      <c r="CA16" s="2050"/>
      <c r="CB16" s="2050"/>
      <c r="CC16" s="2050"/>
      <c r="CD16" s="2027"/>
      <c r="CE16" s="782"/>
      <c r="CF16" s="782"/>
      <c r="CG16" s="782"/>
      <c r="CH16" s="782"/>
      <c r="CI16" s="782"/>
      <c r="CJ16" s="782"/>
      <c r="CK16" s="782"/>
      <c r="CL16" s="782"/>
      <c r="CM16" s="782"/>
      <c r="CN16" s="782"/>
      <c r="CO16" s="782"/>
      <c r="CP16" s="782"/>
      <c r="CQ16" s="2008"/>
      <c r="CR16" s="2050"/>
      <c r="CS16" s="2027"/>
      <c r="CT16" s="782"/>
      <c r="CU16" s="782"/>
      <c r="CV16" s="2008"/>
      <c r="CW16" s="2120"/>
      <c r="CX16" s="2046"/>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45" t="s">
        <v>170</v>
      </c>
      <c r="B17" s="2092"/>
      <c r="C17" s="2107"/>
      <c r="D17" s="2051"/>
      <c r="E17" s="671"/>
      <c r="F17" s="440"/>
      <c r="G17" s="2006"/>
      <c r="H17" s="2048"/>
      <c r="I17" s="2024"/>
      <c r="J17" s="2050"/>
      <c r="K17" s="2110"/>
      <c r="L17" s="2046"/>
      <c r="M17" s="2101"/>
      <c r="N17" s="2027"/>
      <c r="O17" s="782"/>
      <c r="P17" s="782"/>
      <c r="Q17" s="782"/>
      <c r="R17" s="2008"/>
      <c r="S17" s="2050"/>
      <c r="T17" s="2027"/>
      <c r="U17" s="782"/>
      <c r="V17" s="2008"/>
      <c r="W17" s="2050"/>
      <c r="X17" s="2027"/>
      <c r="Y17" s="782"/>
      <c r="Z17" s="782"/>
      <c r="AA17" s="782"/>
      <c r="AB17" s="782"/>
      <c r="AC17" s="782"/>
      <c r="AD17" s="782"/>
      <c r="AE17" s="782"/>
      <c r="AF17" s="782"/>
      <c r="AG17" s="782"/>
      <c r="AH17" s="782"/>
      <c r="AI17" s="782"/>
      <c r="AJ17" s="782"/>
      <c r="AK17" s="782"/>
      <c r="AL17" s="782"/>
      <c r="AM17" s="2008"/>
      <c r="AN17" s="2050"/>
      <c r="AO17" s="2050"/>
      <c r="AP17" s="2027"/>
      <c r="AQ17" s="782"/>
      <c r="AR17" s="782"/>
      <c r="AS17" s="782"/>
      <c r="AT17" s="782"/>
      <c r="AU17" s="782"/>
      <c r="AV17" s="2008"/>
      <c r="AW17" s="2050"/>
      <c r="AX17" s="2050"/>
      <c r="AY17" s="2027"/>
      <c r="AZ17" s="782"/>
      <c r="BA17" s="782"/>
      <c r="BB17" s="782"/>
      <c r="BC17" s="2008"/>
      <c r="BD17" s="2050"/>
      <c r="BE17" s="2027"/>
      <c r="BF17" s="782"/>
      <c r="BG17" s="782"/>
      <c r="BH17" s="782"/>
      <c r="BI17" s="782"/>
      <c r="BJ17" s="782"/>
      <c r="BK17" s="782"/>
      <c r="BL17" s="2008"/>
      <c r="BM17" s="2050"/>
      <c r="BN17" s="2024"/>
      <c r="BO17" s="2050"/>
      <c r="BP17" s="2050"/>
      <c r="BQ17" s="2027"/>
      <c r="BR17" s="782"/>
      <c r="BS17" s="2008"/>
      <c r="BT17" s="2120"/>
      <c r="BU17" s="2050"/>
      <c r="BV17" s="2027"/>
      <c r="BW17" s="2008"/>
      <c r="BX17" s="2050"/>
      <c r="BY17" s="2024"/>
      <c r="BZ17" s="2050"/>
      <c r="CA17" s="2050"/>
      <c r="CB17" s="2050"/>
      <c r="CC17" s="2050"/>
      <c r="CD17" s="2027"/>
      <c r="CE17" s="782"/>
      <c r="CF17" s="782"/>
      <c r="CG17" s="782"/>
      <c r="CH17" s="782"/>
      <c r="CI17" s="782"/>
      <c r="CJ17" s="782"/>
      <c r="CK17" s="782"/>
      <c r="CL17" s="782"/>
      <c r="CM17" s="782"/>
      <c r="CN17" s="782"/>
      <c r="CO17" s="782"/>
      <c r="CP17" s="782"/>
      <c r="CQ17" s="2008"/>
      <c r="CR17" s="2050"/>
      <c r="CS17" s="2027"/>
      <c r="CT17" s="782"/>
      <c r="CU17" s="782"/>
      <c r="CV17" s="2008"/>
      <c r="CW17" s="2120"/>
      <c r="CX17" s="2046"/>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45" t="s">
        <v>171</v>
      </c>
      <c r="B18" s="2092"/>
      <c r="C18" s="2107"/>
      <c r="D18" s="2051"/>
      <c r="E18" s="671"/>
      <c r="F18" s="440"/>
      <c r="G18" s="2006"/>
      <c r="H18" s="2048"/>
      <c r="I18" s="2024"/>
      <c r="J18" s="2050"/>
      <c r="K18" s="2110"/>
      <c r="L18" s="2046"/>
      <c r="M18" s="2101"/>
      <c r="N18" s="2027"/>
      <c r="O18" s="782"/>
      <c r="P18" s="782"/>
      <c r="Q18" s="782"/>
      <c r="R18" s="2008"/>
      <c r="S18" s="2050"/>
      <c r="T18" s="2027"/>
      <c r="U18" s="782"/>
      <c r="V18" s="2008"/>
      <c r="W18" s="2050"/>
      <c r="X18" s="2027"/>
      <c r="Y18" s="782"/>
      <c r="Z18" s="782"/>
      <c r="AA18" s="782"/>
      <c r="AB18" s="782"/>
      <c r="AC18" s="782"/>
      <c r="AD18" s="782"/>
      <c r="AE18" s="782"/>
      <c r="AF18" s="782"/>
      <c r="AG18" s="782"/>
      <c r="AH18" s="782"/>
      <c r="AI18" s="782"/>
      <c r="AJ18" s="782"/>
      <c r="AK18" s="782"/>
      <c r="AL18" s="782"/>
      <c r="AM18" s="2008"/>
      <c r="AN18" s="2050"/>
      <c r="AO18" s="2050"/>
      <c r="AP18" s="2027"/>
      <c r="AQ18" s="782"/>
      <c r="AR18" s="782"/>
      <c r="AS18" s="782"/>
      <c r="AT18" s="782"/>
      <c r="AU18" s="782"/>
      <c r="AV18" s="2008"/>
      <c r="AW18" s="2050"/>
      <c r="AX18" s="2050"/>
      <c r="AY18" s="2027"/>
      <c r="AZ18" s="782"/>
      <c r="BA18" s="782"/>
      <c r="BB18" s="782"/>
      <c r="BC18" s="2008"/>
      <c r="BD18" s="2050"/>
      <c r="BE18" s="2027"/>
      <c r="BF18" s="782"/>
      <c r="BG18" s="782"/>
      <c r="BH18" s="782"/>
      <c r="BI18" s="782"/>
      <c r="BJ18" s="782"/>
      <c r="BK18" s="782"/>
      <c r="BL18" s="2008"/>
      <c r="BM18" s="2050"/>
      <c r="BN18" s="2024"/>
      <c r="BO18" s="2050"/>
      <c r="BP18" s="2050"/>
      <c r="BQ18" s="2027"/>
      <c r="BR18" s="782"/>
      <c r="BS18" s="2008"/>
      <c r="BT18" s="2120"/>
      <c r="BU18" s="2050"/>
      <c r="BV18" s="2027"/>
      <c r="BW18" s="2008"/>
      <c r="BX18" s="2050"/>
      <c r="BY18" s="2024"/>
      <c r="BZ18" s="2050"/>
      <c r="CA18" s="2050"/>
      <c r="CB18" s="2050"/>
      <c r="CC18" s="2050"/>
      <c r="CD18" s="2027"/>
      <c r="CE18" s="782"/>
      <c r="CF18" s="782"/>
      <c r="CG18" s="782"/>
      <c r="CH18" s="782"/>
      <c r="CI18" s="782"/>
      <c r="CJ18" s="782"/>
      <c r="CK18" s="782"/>
      <c r="CL18" s="782"/>
      <c r="CM18" s="782"/>
      <c r="CN18" s="782"/>
      <c r="CO18" s="782"/>
      <c r="CP18" s="782"/>
      <c r="CQ18" s="2008"/>
      <c r="CR18" s="2050"/>
      <c r="CS18" s="2027"/>
      <c r="CT18" s="782"/>
      <c r="CU18" s="782"/>
      <c r="CV18" s="2008"/>
      <c r="CW18" s="2120"/>
      <c r="CX18" s="2046"/>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45" t="s">
        <v>4796</v>
      </c>
      <c r="B19" s="2092"/>
      <c r="C19" s="2107"/>
      <c r="D19" s="2051"/>
      <c r="E19" s="671"/>
      <c r="F19" s="440"/>
      <c r="G19" s="2006"/>
      <c r="H19" s="2048"/>
      <c r="I19" s="2024"/>
      <c r="J19" s="2050"/>
      <c r="K19" s="2110"/>
      <c r="L19" s="2046"/>
      <c r="M19" s="2101"/>
      <c r="N19" s="2027"/>
      <c r="O19" s="782"/>
      <c r="P19" s="782"/>
      <c r="Q19" s="782"/>
      <c r="R19" s="2008"/>
      <c r="S19" s="2050"/>
      <c r="T19" s="2027"/>
      <c r="U19" s="782"/>
      <c r="V19" s="2008"/>
      <c r="W19" s="2050"/>
      <c r="X19" s="2027"/>
      <c r="Y19" s="782"/>
      <c r="Z19" s="782"/>
      <c r="AA19" s="782"/>
      <c r="AB19" s="782"/>
      <c r="AC19" s="782"/>
      <c r="AD19" s="782"/>
      <c r="AE19" s="782"/>
      <c r="AF19" s="782"/>
      <c r="AG19" s="782"/>
      <c r="AH19" s="782"/>
      <c r="AI19" s="782"/>
      <c r="AJ19" s="782"/>
      <c r="AK19" s="782"/>
      <c r="AL19" s="782"/>
      <c r="AM19" s="2008"/>
      <c r="AN19" s="2050"/>
      <c r="AO19" s="2050"/>
      <c r="AP19" s="2027"/>
      <c r="AQ19" s="782"/>
      <c r="AR19" s="782"/>
      <c r="AS19" s="782"/>
      <c r="AT19" s="782"/>
      <c r="AU19" s="782"/>
      <c r="AV19" s="2008"/>
      <c r="AW19" s="2050"/>
      <c r="AX19" s="2050"/>
      <c r="AY19" s="2027"/>
      <c r="AZ19" s="782"/>
      <c r="BA19" s="782"/>
      <c r="BB19" s="782"/>
      <c r="BC19" s="2008"/>
      <c r="BD19" s="2050"/>
      <c r="BE19" s="2027"/>
      <c r="BF19" s="782"/>
      <c r="BG19" s="782"/>
      <c r="BH19" s="782"/>
      <c r="BI19" s="782"/>
      <c r="BJ19" s="782"/>
      <c r="BK19" s="782"/>
      <c r="BL19" s="2008"/>
      <c r="BM19" s="2050"/>
      <c r="BN19" s="2024"/>
      <c r="BO19" s="2050"/>
      <c r="BP19" s="2050"/>
      <c r="BQ19" s="2027"/>
      <c r="BR19" s="782"/>
      <c r="BS19" s="2008"/>
      <c r="BT19" s="2120"/>
      <c r="BU19" s="2050"/>
      <c r="BV19" s="2027"/>
      <c r="BW19" s="2008"/>
      <c r="BX19" s="2050"/>
      <c r="BY19" s="2024"/>
      <c r="BZ19" s="2050"/>
      <c r="CA19" s="2050"/>
      <c r="CB19" s="2050"/>
      <c r="CC19" s="2050"/>
      <c r="CD19" s="2027"/>
      <c r="CE19" s="782"/>
      <c r="CF19" s="782"/>
      <c r="CG19" s="782"/>
      <c r="CH19" s="782"/>
      <c r="CI19" s="782"/>
      <c r="CJ19" s="782"/>
      <c r="CK19" s="782"/>
      <c r="CL19" s="782"/>
      <c r="CM19" s="782"/>
      <c r="CN19" s="782"/>
      <c r="CO19" s="782"/>
      <c r="CP19" s="782"/>
      <c r="CQ19" s="2008"/>
      <c r="CR19" s="2050"/>
      <c r="CS19" s="2027"/>
      <c r="CT19" s="782"/>
      <c r="CU19" s="782"/>
      <c r="CV19" s="2008"/>
      <c r="CW19" s="2120"/>
      <c r="CX19" s="2046"/>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45" t="s">
        <v>4797</v>
      </c>
      <c r="B20" s="2092"/>
      <c r="C20" s="2107"/>
      <c r="D20" s="2051"/>
      <c r="E20" s="671"/>
      <c r="F20" s="440"/>
      <c r="G20" s="2006"/>
      <c r="H20" s="2048"/>
      <c r="I20" s="2024"/>
      <c r="J20" s="2050"/>
      <c r="K20" s="2110"/>
      <c r="L20" s="2046"/>
      <c r="M20" s="2101"/>
      <c r="N20" s="2027"/>
      <c r="O20" s="782"/>
      <c r="P20" s="782"/>
      <c r="Q20" s="782"/>
      <c r="R20" s="2008"/>
      <c r="S20" s="2050"/>
      <c r="T20" s="2027"/>
      <c r="U20" s="782"/>
      <c r="V20" s="2008"/>
      <c r="W20" s="2050"/>
      <c r="X20" s="2027"/>
      <c r="Y20" s="782"/>
      <c r="Z20" s="782"/>
      <c r="AA20" s="782"/>
      <c r="AB20" s="782"/>
      <c r="AC20" s="782"/>
      <c r="AD20" s="782"/>
      <c r="AE20" s="782"/>
      <c r="AF20" s="782"/>
      <c r="AG20" s="782"/>
      <c r="AH20" s="782"/>
      <c r="AI20" s="782"/>
      <c r="AJ20" s="782"/>
      <c r="AK20" s="782"/>
      <c r="AL20" s="782"/>
      <c r="AM20" s="2008"/>
      <c r="AN20" s="2050"/>
      <c r="AO20" s="2050"/>
      <c r="AP20" s="2027"/>
      <c r="AQ20" s="782"/>
      <c r="AR20" s="782"/>
      <c r="AS20" s="782"/>
      <c r="AT20" s="782"/>
      <c r="AU20" s="782"/>
      <c r="AV20" s="2008"/>
      <c r="AW20" s="2050"/>
      <c r="AX20" s="2050"/>
      <c r="AY20" s="2027"/>
      <c r="AZ20" s="782"/>
      <c r="BA20" s="782"/>
      <c r="BB20" s="782"/>
      <c r="BC20" s="2008"/>
      <c r="BD20" s="2050"/>
      <c r="BE20" s="2027"/>
      <c r="BF20" s="782"/>
      <c r="BG20" s="782"/>
      <c r="BH20" s="782"/>
      <c r="BI20" s="782"/>
      <c r="BJ20" s="782"/>
      <c r="BK20" s="782"/>
      <c r="BL20" s="2008"/>
      <c r="BM20" s="2050"/>
      <c r="BN20" s="2024"/>
      <c r="BO20" s="2050"/>
      <c r="BP20" s="2050"/>
      <c r="BQ20" s="2027"/>
      <c r="BR20" s="782"/>
      <c r="BS20" s="2008"/>
      <c r="BT20" s="2120"/>
      <c r="BU20" s="2050"/>
      <c r="BV20" s="2027"/>
      <c r="BW20" s="2008"/>
      <c r="BX20" s="2050"/>
      <c r="BY20" s="2024"/>
      <c r="BZ20" s="2050"/>
      <c r="CA20" s="2050"/>
      <c r="CB20" s="2050"/>
      <c r="CC20" s="2050"/>
      <c r="CD20" s="2027"/>
      <c r="CE20" s="782"/>
      <c r="CF20" s="782"/>
      <c r="CG20" s="782"/>
      <c r="CH20" s="782"/>
      <c r="CI20" s="782"/>
      <c r="CJ20" s="782"/>
      <c r="CK20" s="782"/>
      <c r="CL20" s="782"/>
      <c r="CM20" s="782"/>
      <c r="CN20" s="782"/>
      <c r="CO20" s="782"/>
      <c r="CP20" s="782"/>
      <c r="CQ20" s="2008"/>
      <c r="CR20" s="2050"/>
      <c r="CS20" s="2027"/>
      <c r="CT20" s="782"/>
      <c r="CU20" s="782"/>
      <c r="CV20" s="2008"/>
      <c r="CW20" s="2120"/>
      <c r="CX20" s="2046"/>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45" t="s">
        <v>4798</v>
      </c>
      <c r="B21" s="2092"/>
      <c r="C21" s="2107"/>
      <c r="D21" s="2051"/>
      <c r="E21" s="671"/>
      <c r="F21" s="440"/>
      <c r="G21" s="2006"/>
      <c r="H21" s="2048"/>
      <c r="I21" s="2024"/>
      <c r="J21" s="2050"/>
      <c r="K21" s="2110"/>
      <c r="L21" s="2046"/>
      <c r="M21" s="2101"/>
      <c r="N21" s="2027"/>
      <c r="O21" s="782"/>
      <c r="P21" s="782"/>
      <c r="Q21" s="782"/>
      <c r="R21" s="2008"/>
      <c r="S21" s="2050"/>
      <c r="T21" s="2027"/>
      <c r="U21" s="782"/>
      <c r="V21" s="2008"/>
      <c r="W21" s="2050"/>
      <c r="X21" s="2027"/>
      <c r="Y21" s="782"/>
      <c r="Z21" s="782"/>
      <c r="AA21" s="782"/>
      <c r="AB21" s="782"/>
      <c r="AC21" s="782"/>
      <c r="AD21" s="782"/>
      <c r="AE21" s="782"/>
      <c r="AF21" s="782"/>
      <c r="AG21" s="782"/>
      <c r="AH21" s="782"/>
      <c r="AI21" s="782"/>
      <c r="AJ21" s="782"/>
      <c r="AK21" s="782"/>
      <c r="AL21" s="782"/>
      <c r="AM21" s="2008"/>
      <c r="AN21" s="2050"/>
      <c r="AO21" s="2050"/>
      <c r="AP21" s="2027"/>
      <c r="AQ21" s="782"/>
      <c r="AR21" s="782"/>
      <c r="AS21" s="782"/>
      <c r="AT21" s="782"/>
      <c r="AU21" s="782"/>
      <c r="AV21" s="2008"/>
      <c r="AW21" s="2050"/>
      <c r="AX21" s="2050"/>
      <c r="AY21" s="2027"/>
      <c r="AZ21" s="782"/>
      <c r="BA21" s="782"/>
      <c r="BB21" s="782"/>
      <c r="BC21" s="2008"/>
      <c r="BD21" s="2050"/>
      <c r="BE21" s="2027"/>
      <c r="BF21" s="782"/>
      <c r="BG21" s="782"/>
      <c r="BH21" s="782"/>
      <c r="BI21" s="782"/>
      <c r="BJ21" s="782"/>
      <c r="BK21" s="782"/>
      <c r="BL21" s="2008"/>
      <c r="BM21" s="2050"/>
      <c r="BN21" s="2024"/>
      <c r="BO21" s="2050"/>
      <c r="BP21" s="2050"/>
      <c r="BQ21" s="2027"/>
      <c r="BR21" s="782"/>
      <c r="BS21" s="2008"/>
      <c r="BT21" s="2120"/>
      <c r="BU21" s="2050"/>
      <c r="BV21" s="2027"/>
      <c r="BW21" s="2008"/>
      <c r="BX21" s="2050"/>
      <c r="BY21" s="2024"/>
      <c r="BZ21" s="2050"/>
      <c r="CA21" s="2050"/>
      <c r="CB21" s="2050"/>
      <c r="CC21" s="2050"/>
      <c r="CD21" s="2027"/>
      <c r="CE21" s="782"/>
      <c r="CF21" s="782"/>
      <c r="CG21" s="782"/>
      <c r="CH21" s="782"/>
      <c r="CI21" s="782"/>
      <c r="CJ21" s="782"/>
      <c r="CK21" s="782"/>
      <c r="CL21" s="782"/>
      <c r="CM21" s="782"/>
      <c r="CN21" s="782"/>
      <c r="CO21" s="782"/>
      <c r="CP21" s="782"/>
      <c r="CQ21" s="2008"/>
      <c r="CR21" s="2050"/>
      <c r="CS21" s="2027"/>
      <c r="CT21" s="782"/>
      <c r="CU21" s="782"/>
      <c r="CV21" s="2008"/>
      <c r="CW21" s="2120"/>
      <c r="CX21" s="2046"/>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45" t="s">
        <v>4799</v>
      </c>
      <c r="B22" s="2092"/>
      <c r="C22" s="2107"/>
      <c r="D22" s="2051"/>
      <c r="E22" s="671"/>
      <c r="F22" s="440"/>
      <c r="G22" s="2006"/>
      <c r="H22" s="2048"/>
      <c r="I22" s="2024"/>
      <c r="J22" s="2050"/>
      <c r="K22" s="2110"/>
      <c r="L22" s="2046"/>
      <c r="M22" s="2101"/>
      <c r="N22" s="2027"/>
      <c r="O22" s="782"/>
      <c r="P22" s="782"/>
      <c r="Q22" s="782"/>
      <c r="R22" s="2008"/>
      <c r="S22" s="2050"/>
      <c r="T22" s="2027"/>
      <c r="U22" s="782"/>
      <c r="V22" s="2008"/>
      <c r="W22" s="2050"/>
      <c r="X22" s="2027"/>
      <c r="Y22" s="782"/>
      <c r="Z22" s="782"/>
      <c r="AA22" s="782"/>
      <c r="AB22" s="782"/>
      <c r="AC22" s="782"/>
      <c r="AD22" s="782"/>
      <c r="AE22" s="782"/>
      <c r="AF22" s="782"/>
      <c r="AG22" s="782"/>
      <c r="AH22" s="782"/>
      <c r="AI22" s="782"/>
      <c r="AJ22" s="782"/>
      <c r="AK22" s="782"/>
      <c r="AL22" s="782"/>
      <c r="AM22" s="2008"/>
      <c r="AN22" s="2050"/>
      <c r="AO22" s="2050"/>
      <c r="AP22" s="2027"/>
      <c r="AQ22" s="782"/>
      <c r="AR22" s="782"/>
      <c r="AS22" s="782"/>
      <c r="AT22" s="782"/>
      <c r="AU22" s="782"/>
      <c r="AV22" s="2008"/>
      <c r="AW22" s="2050"/>
      <c r="AX22" s="2050"/>
      <c r="AY22" s="2027"/>
      <c r="AZ22" s="782"/>
      <c r="BA22" s="782"/>
      <c r="BB22" s="782"/>
      <c r="BC22" s="2008"/>
      <c r="BD22" s="2050"/>
      <c r="BE22" s="2027"/>
      <c r="BF22" s="782"/>
      <c r="BG22" s="782"/>
      <c r="BH22" s="782"/>
      <c r="BI22" s="782"/>
      <c r="BJ22" s="782"/>
      <c r="BK22" s="782"/>
      <c r="BL22" s="2008"/>
      <c r="BM22" s="2050"/>
      <c r="BN22" s="2024"/>
      <c r="BO22" s="2050"/>
      <c r="BP22" s="2050"/>
      <c r="BQ22" s="2027"/>
      <c r="BR22" s="782"/>
      <c r="BS22" s="2008"/>
      <c r="BT22" s="2120"/>
      <c r="BU22" s="2050"/>
      <c r="BV22" s="2027"/>
      <c r="BW22" s="2008"/>
      <c r="BX22" s="2050"/>
      <c r="BY22" s="2024"/>
      <c r="BZ22" s="2050"/>
      <c r="CA22" s="2050"/>
      <c r="CB22" s="2050"/>
      <c r="CC22" s="2050"/>
      <c r="CD22" s="2027"/>
      <c r="CE22" s="782"/>
      <c r="CF22" s="782"/>
      <c r="CG22" s="782"/>
      <c r="CH22" s="782"/>
      <c r="CI22" s="782"/>
      <c r="CJ22" s="782"/>
      <c r="CK22" s="782"/>
      <c r="CL22" s="782"/>
      <c r="CM22" s="782"/>
      <c r="CN22" s="782"/>
      <c r="CO22" s="782"/>
      <c r="CP22" s="782"/>
      <c r="CQ22" s="2008"/>
      <c r="CR22" s="2050"/>
      <c r="CS22" s="2027"/>
      <c r="CT22" s="782"/>
      <c r="CU22" s="782"/>
      <c r="CV22" s="2008"/>
      <c r="CW22" s="2120"/>
      <c r="CX22" s="2046"/>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2" hidden="1" customHeight="1">
      <c r="A23" s="2045" t="s">
        <v>4800</v>
      </c>
      <c r="B23" s="2092"/>
      <c r="C23" s="2108"/>
      <c r="D23" s="2051"/>
      <c r="E23" s="2095"/>
      <c r="F23" s="1380"/>
      <c r="G23" s="2111"/>
      <c r="H23" s="2048"/>
      <c r="I23" s="2113"/>
      <c r="J23" s="2126"/>
      <c r="K23" s="2113"/>
      <c r="L23" s="2046"/>
      <c r="M23" s="2151"/>
      <c r="N23" s="2097"/>
      <c r="O23" s="626"/>
      <c r="P23" s="626"/>
      <c r="Q23" s="626"/>
      <c r="R23" s="2116"/>
      <c r="S23" s="2050"/>
      <c r="T23" s="2097"/>
      <c r="U23" s="626"/>
      <c r="V23" s="2116"/>
      <c r="W23" s="2126"/>
      <c r="X23" s="2097"/>
      <c r="Y23" s="626"/>
      <c r="Z23" s="626"/>
      <c r="AA23" s="626"/>
      <c r="AB23" s="626"/>
      <c r="AC23" s="626"/>
      <c r="AD23" s="626"/>
      <c r="AE23" s="626"/>
      <c r="AF23" s="626"/>
      <c r="AG23" s="626"/>
      <c r="AH23" s="626"/>
      <c r="AI23" s="626"/>
      <c r="AJ23" s="626"/>
      <c r="AK23" s="626"/>
      <c r="AL23" s="626"/>
      <c r="AM23" s="2116"/>
      <c r="AN23" s="2126"/>
      <c r="AO23" s="2126"/>
      <c r="AP23" s="2097"/>
      <c r="AQ23" s="626"/>
      <c r="AR23" s="626"/>
      <c r="AS23" s="626"/>
      <c r="AT23" s="626"/>
      <c r="AU23" s="626"/>
      <c r="AV23" s="2116"/>
      <c r="AW23" s="2126"/>
      <c r="AX23" s="2126"/>
      <c r="AY23" s="2097"/>
      <c r="AZ23" s="626"/>
      <c r="BA23" s="626"/>
      <c r="BB23" s="626"/>
      <c r="BC23" s="2116"/>
      <c r="BD23" s="2046"/>
      <c r="BE23" s="2097"/>
      <c r="BF23" s="626"/>
      <c r="BG23" s="626"/>
      <c r="BH23" s="626"/>
      <c r="BI23" s="626"/>
      <c r="BJ23" s="626"/>
      <c r="BK23" s="626"/>
      <c r="BL23" s="2116"/>
      <c r="BM23" s="2126"/>
      <c r="BN23" s="2113"/>
      <c r="BO23" s="2046"/>
      <c r="BP23" s="2046"/>
      <c r="BQ23" s="2097"/>
      <c r="BR23" s="626"/>
      <c r="BS23" s="2116"/>
      <c r="BT23" s="2148"/>
      <c r="BU23" s="2046"/>
      <c r="BV23" s="2097"/>
      <c r="BW23" s="2116"/>
      <c r="BX23" s="2046"/>
      <c r="BY23" s="2110"/>
      <c r="BZ23" s="2046"/>
      <c r="CA23" s="2046"/>
      <c r="CB23" s="2046"/>
      <c r="CC23" s="2046"/>
      <c r="CD23" s="671"/>
      <c r="CE23" s="551"/>
      <c r="CF23" s="551"/>
      <c r="CG23" s="551"/>
      <c r="CH23" s="551"/>
      <c r="CI23" s="551"/>
      <c r="CJ23" s="551"/>
      <c r="CK23" s="551"/>
      <c r="CL23" s="551"/>
      <c r="CM23" s="551"/>
      <c r="CN23" s="626"/>
      <c r="CO23" s="626"/>
      <c r="CP23" s="626"/>
      <c r="CQ23" s="2116"/>
      <c r="CR23" s="2126"/>
      <c r="CS23" s="2097"/>
      <c r="CT23" s="626"/>
      <c r="CU23" s="626"/>
      <c r="CV23" s="2116"/>
      <c r="CW23" s="2148"/>
      <c r="CX23" s="2128"/>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45" t="s">
        <v>4801</v>
      </c>
      <c r="B24" s="2092"/>
      <c r="C24" s="2109"/>
      <c r="D24" s="2051"/>
      <c r="E24" s="2096"/>
      <c r="F24" s="1500"/>
      <c r="G24" s="2112"/>
      <c r="H24" s="2048"/>
      <c r="I24" s="2114"/>
      <c r="J24" s="2124"/>
      <c r="K24" s="2114"/>
      <c r="L24" s="2046"/>
      <c r="M24" s="2152"/>
      <c r="N24" s="2096"/>
      <c r="O24" s="1500"/>
      <c r="P24" s="1500"/>
      <c r="Q24" s="1500"/>
      <c r="R24" s="2117"/>
      <c r="S24" s="2050"/>
      <c r="T24" s="2096"/>
      <c r="U24" s="1500"/>
      <c r="V24" s="2117"/>
      <c r="W24" s="2124"/>
      <c r="X24" s="2096"/>
      <c r="Y24" s="1500"/>
      <c r="Z24" s="1500"/>
      <c r="AA24" s="1500"/>
      <c r="AB24" s="1500"/>
      <c r="AC24" s="1500"/>
      <c r="AD24" s="1500"/>
      <c r="AE24" s="1500"/>
      <c r="AF24" s="1500"/>
      <c r="AG24" s="1500"/>
      <c r="AH24" s="1500"/>
      <c r="AI24" s="1500"/>
      <c r="AJ24" s="1500"/>
      <c r="AK24" s="1500"/>
      <c r="AL24" s="1500"/>
      <c r="AM24" s="2117"/>
      <c r="AN24" s="2050"/>
      <c r="AO24" s="2124"/>
      <c r="AP24" s="2096"/>
      <c r="AQ24" s="1500"/>
      <c r="AR24" s="1500"/>
      <c r="AS24" s="1500"/>
      <c r="AT24" s="1500"/>
      <c r="AU24" s="1500"/>
      <c r="AV24" s="2117"/>
      <c r="AW24" s="2050"/>
      <c r="AX24" s="2124"/>
      <c r="AY24" s="2096"/>
      <c r="AZ24" s="1500"/>
      <c r="BA24" s="1500"/>
      <c r="BB24" s="1500"/>
      <c r="BC24" s="2117"/>
      <c r="BD24" s="2047"/>
      <c r="BE24" s="2096"/>
      <c r="BF24" s="1500"/>
      <c r="BG24" s="1500"/>
      <c r="BH24" s="1500"/>
      <c r="BI24" s="1500"/>
      <c r="BJ24" s="1500"/>
      <c r="BK24" s="1500"/>
      <c r="BL24" s="2117"/>
      <c r="BM24" s="2124"/>
      <c r="BN24" s="2114"/>
      <c r="BO24" s="2047"/>
      <c r="BP24" s="2047"/>
      <c r="BQ24" s="2096"/>
      <c r="BR24" s="1500"/>
      <c r="BS24" s="2117"/>
      <c r="BT24" s="2149"/>
      <c r="BU24" s="2047"/>
      <c r="BV24" s="2096"/>
      <c r="BW24" s="2117"/>
      <c r="BX24" s="2047"/>
      <c r="BY24" s="2021"/>
      <c r="BZ24" s="2047"/>
      <c r="CA24" s="2047"/>
      <c r="CB24" s="2047"/>
      <c r="CC24" s="2047"/>
      <c r="CD24" s="2131"/>
      <c r="CE24" s="1386"/>
      <c r="CF24" s="1386"/>
      <c r="CG24" s="1386"/>
      <c r="CH24" s="1386"/>
      <c r="CI24" s="1386"/>
      <c r="CJ24" s="1386"/>
      <c r="CK24" s="1386"/>
      <c r="CL24" s="1386"/>
      <c r="CM24" s="1386"/>
      <c r="CN24" s="1500"/>
      <c r="CO24" s="1500"/>
      <c r="CP24" s="1500"/>
      <c r="CQ24" s="2117"/>
      <c r="CR24" s="2124"/>
      <c r="CS24" s="2096"/>
      <c r="CT24" s="1500"/>
      <c r="CU24" s="1500"/>
      <c r="CV24" s="2117"/>
      <c r="CW24" s="2149"/>
      <c r="CX24" s="2129"/>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45" t="s">
        <v>4802</v>
      </c>
      <c r="B25" s="2092"/>
      <c r="C25" s="2110"/>
      <c r="D25" s="2051"/>
      <c r="E25" s="671"/>
      <c r="F25" s="440"/>
      <c r="G25" s="2006"/>
      <c r="H25" s="2048"/>
      <c r="I25" s="2115"/>
      <c r="J25" s="2127"/>
      <c r="K25" s="2115"/>
      <c r="L25" s="2046"/>
      <c r="M25" s="2153"/>
      <c r="N25" s="2098"/>
      <c r="O25" s="1387"/>
      <c r="P25" s="1387"/>
      <c r="Q25" s="1387"/>
      <c r="R25" s="2118"/>
      <c r="S25" s="2050"/>
      <c r="T25" s="2098"/>
      <c r="U25" s="1387"/>
      <c r="V25" s="2118"/>
      <c r="W25" s="2127"/>
      <c r="X25" s="2098"/>
      <c r="Y25" s="1387"/>
      <c r="Z25" s="1387"/>
      <c r="AA25" s="1387"/>
      <c r="AB25" s="1387"/>
      <c r="AC25" s="1387"/>
      <c r="AD25" s="1387"/>
      <c r="AE25" s="1387"/>
      <c r="AF25" s="1387"/>
      <c r="AG25" s="1387"/>
      <c r="AH25" s="1387"/>
      <c r="AI25" s="1387"/>
      <c r="AJ25" s="1387"/>
      <c r="AK25" s="1387"/>
      <c r="AL25" s="1387"/>
      <c r="AM25" s="2118"/>
      <c r="AN25" s="2050"/>
      <c r="AO25" s="2127"/>
      <c r="AP25" s="2098"/>
      <c r="AQ25" s="1387"/>
      <c r="AR25" s="1387"/>
      <c r="AS25" s="1387"/>
      <c r="AT25" s="1387"/>
      <c r="AU25" s="1387"/>
      <c r="AV25" s="2118"/>
      <c r="AW25" s="2050"/>
      <c r="AX25" s="2127"/>
      <c r="AY25" s="2098"/>
      <c r="AZ25" s="1387"/>
      <c r="BA25" s="1387"/>
      <c r="BB25" s="1387"/>
      <c r="BC25" s="2118"/>
      <c r="BD25" s="2127"/>
      <c r="BE25" s="2098"/>
      <c r="BF25" s="1387"/>
      <c r="BG25" s="1387"/>
      <c r="BH25" s="1387"/>
      <c r="BI25" s="1387"/>
      <c r="BJ25" s="1387"/>
      <c r="BK25" s="1387"/>
      <c r="BL25" s="2118"/>
      <c r="BM25" s="2127"/>
      <c r="BN25" s="2115"/>
      <c r="BO25" s="2127"/>
      <c r="BP25" s="2127"/>
      <c r="BQ25" s="2098"/>
      <c r="BR25" s="1387"/>
      <c r="BS25" s="2118"/>
      <c r="BT25" s="2150"/>
      <c r="BU25" s="2127"/>
      <c r="BV25" s="2098"/>
      <c r="BW25" s="2118"/>
      <c r="BX25" s="2127"/>
      <c r="BY25" s="2115"/>
      <c r="BZ25" s="2127"/>
      <c r="CA25" s="2127"/>
      <c r="CB25" s="2127"/>
      <c r="CC25" s="2127"/>
      <c r="CD25" s="2098"/>
      <c r="CE25" s="1387"/>
      <c r="CF25" s="1387"/>
      <c r="CG25" s="1387"/>
      <c r="CH25" s="1387"/>
      <c r="CI25" s="1387"/>
      <c r="CJ25" s="1387"/>
      <c r="CK25" s="1387"/>
      <c r="CL25" s="1387"/>
      <c r="CM25" s="1387"/>
      <c r="CN25" s="1387"/>
      <c r="CO25" s="1387"/>
      <c r="CP25" s="1387"/>
      <c r="CQ25" s="2118"/>
      <c r="CR25" s="2127"/>
      <c r="CS25" s="2098"/>
      <c r="CT25" s="1387"/>
      <c r="CU25" s="1387"/>
      <c r="CV25" s="2118"/>
      <c r="CW25" s="2150"/>
      <c r="CX25" s="2046"/>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45" t="s">
        <v>4591</v>
      </c>
      <c r="B26" s="2092"/>
      <c r="C26" s="2110"/>
      <c r="D26" s="2051"/>
      <c r="E26" s="671"/>
      <c r="F26" s="440"/>
      <c r="G26" s="2006"/>
      <c r="H26" s="2048"/>
      <c r="I26" s="2115"/>
      <c r="J26" s="2127"/>
      <c r="K26" s="2115"/>
      <c r="L26" s="2046"/>
      <c r="M26" s="2153"/>
      <c r="N26" s="2098"/>
      <c r="O26" s="1387"/>
      <c r="P26" s="1387"/>
      <c r="Q26" s="1387"/>
      <c r="R26" s="2118"/>
      <c r="S26" s="2050"/>
      <c r="T26" s="2098"/>
      <c r="U26" s="1387"/>
      <c r="V26" s="2118"/>
      <c r="W26" s="2127"/>
      <c r="X26" s="2098"/>
      <c r="Y26" s="1387"/>
      <c r="Z26" s="1387"/>
      <c r="AA26" s="1387"/>
      <c r="AB26" s="1387"/>
      <c r="AC26" s="1387"/>
      <c r="AD26" s="1387"/>
      <c r="AE26" s="1387"/>
      <c r="AF26" s="1387"/>
      <c r="AG26" s="1387"/>
      <c r="AH26" s="1387"/>
      <c r="AI26" s="1387"/>
      <c r="AJ26" s="1387"/>
      <c r="AK26" s="1387"/>
      <c r="AL26" s="1387"/>
      <c r="AM26" s="2118"/>
      <c r="AN26" s="2050"/>
      <c r="AO26" s="2127"/>
      <c r="AP26" s="2098"/>
      <c r="AQ26" s="1387"/>
      <c r="AR26" s="1387"/>
      <c r="AS26" s="1387"/>
      <c r="AT26" s="1387"/>
      <c r="AU26" s="1387"/>
      <c r="AV26" s="2118"/>
      <c r="AW26" s="2050"/>
      <c r="AX26" s="2127"/>
      <c r="AY26" s="2098"/>
      <c r="AZ26" s="1387"/>
      <c r="BA26" s="1387"/>
      <c r="BB26" s="1387"/>
      <c r="BC26" s="2118"/>
      <c r="BD26" s="2127"/>
      <c r="BE26" s="2098"/>
      <c r="BF26" s="1387"/>
      <c r="BG26" s="1387"/>
      <c r="BH26" s="1387"/>
      <c r="BI26" s="1387"/>
      <c r="BJ26" s="1387"/>
      <c r="BK26" s="1387"/>
      <c r="BL26" s="2118"/>
      <c r="BM26" s="2127"/>
      <c r="BN26" s="2115"/>
      <c r="BO26" s="2127"/>
      <c r="BP26" s="2127"/>
      <c r="BQ26" s="2098"/>
      <c r="BR26" s="1387"/>
      <c r="BS26" s="2118"/>
      <c r="BT26" s="2150"/>
      <c r="BU26" s="2127"/>
      <c r="BV26" s="2098"/>
      <c r="BW26" s="2118"/>
      <c r="BX26" s="2127"/>
      <c r="BY26" s="2115"/>
      <c r="BZ26" s="2127"/>
      <c r="CA26" s="2127"/>
      <c r="CB26" s="2127"/>
      <c r="CC26" s="2127"/>
      <c r="CD26" s="2098"/>
      <c r="CE26" s="1387"/>
      <c r="CF26" s="1387"/>
      <c r="CG26" s="1387"/>
      <c r="CH26" s="1387"/>
      <c r="CI26" s="1387"/>
      <c r="CJ26" s="1387"/>
      <c r="CK26" s="1387"/>
      <c r="CL26" s="1387"/>
      <c r="CM26" s="1387"/>
      <c r="CN26" s="1387"/>
      <c r="CO26" s="1387"/>
      <c r="CP26" s="1387"/>
      <c r="CQ26" s="2118"/>
      <c r="CR26" s="2127"/>
      <c r="CS26" s="2098"/>
      <c r="CT26" s="1387"/>
      <c r="CU26" s="1387"/>
      <c r="CV26" s="2118"/>
      <c r="CW26" s="2150"/>
      <c r="CX26" s="2055"/>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45" t="s">
        <v>4803</v>
      </c>
      <c r="B27" s="2092"/>
      <c r="C27" s="2110"/>
      <c r="D27" s="2051"/>
      <c r="E27" s="671"/>
      <c r="F27" s="440"/>
      <c r="G27" s="2006"/>
      <c r="H27" s="2048"/>
      <c r="I27" s="2115"/>
      <c r="J27" s="2127"/>
      <c r="K27" s="2115"/>
      <c r="L27" s="2046"/>
      <c r="M27" s="2153"/>
      <c r="N27" s="2098"/>
      <c r="O27" s="1387"/>
      <c r="P27" s="1387"/>
      <c r="Q27" s="1387"/>
      <c r="R27" s="2118"/>
      <c r="S27" s="2050"/>
      <c r="T27" s="2098"/>
      <c r="U27" s="1387"/>
      <c r="V27" s="2118"/>
      <c r="W27" s="2127"/>
      <c r="X27" s="2098"/>
      <c r="Y27" s="1387"/>
      <c r="Z27" s="1387"/>
      <c r="AA27" s="1387"/>
      <c r="AB27" s="1387"/>
      <c r="AC27" s="1387"/>
      <c r="AD27" s="1387"/>
      <c r="AE27" s="1387"/>
      <c r="AF27" s="1387"/>
      <c r="AG27" s="1387"/>
      <c r="AH27" s="1387"/>
      <c r="AI27" s="1387"/>
      <c r="AJ27" s="1387"/>
      <c r="AK27" s="1387"/>
      <c r="AL27" s="1387"/>
      <c r="AM27" s="2118"/>
      <c r="AN27" s="2050"/>
      <c r="AO27" s="2127"/>
      <c r="AP27" s="2098"/>
      <c r="AQ27" s="1387"/>
      <c r="AR27" s="1387"/>
      <c r="AS27" s="1387"/>
      <c r="AT27" s="1387"/>
      <c r="AU27" s="1387"/>
      <c r="AV27" s="2118"/>
      <c r="AW27" s="2050"/>
      <c r="AX27" s="2127"/>
      <c r="AY27" s="2098"/>
      <c r="AZ27" s="1387"/>
      <c r="BA27" s="1387"/>
      <c r="BB27" s="1387"/>
      <c r="BC27" s="2118"/>
      <c r="BD27" s="2127"/>
      <c r="BE27" s="2098"/>
      <c r="BF27" s="1387"/>
      <c r="BG27" s="1387"/>
      <c r="BH27" s="1387"/>
      <c r="BI27" s="1387"/>
      <c r="BJ27" s="1387"/>
      <c r="BK27" s="1387"/>
      <c r="BL27" s="2118"/>
      <c r="BM27" s="2127"/>
      <c r="BN27" s="2115"/>
      <c r="BO27" s="2127"/>
      <c r="BP27" s="2127"/>
      <c r="BQ27" s="2098"/>
      <c r="BR27" s="1387"/>
      <c r="BS27" s="2118"/>
      <c r="BT27" s="2150"/>
      <c r="BU27" s="2127"/>
      <c r="BV27" s="2098"/>
      <c r="BW27" s="2118"/>
      <c r="BX27" s="2127"/>
      <c r="BY27" s="2115"/>
      <c r="BZ27" s="2127"/>
      <c r="CA27" s="2127"/>
      <c r="CB27" s="2127"/>
      <c r="CC27" s="2127"/>
      <c r="CD27" s="2098"/>
      <c r="CE27" s="1387"/>
      <c r="CF27" s="1387"/>
      <c r="CG27" s="1387"/>
      <c r="CH27" s="1387"/>
      <c r="CI27" s="1387"/>
      <c r="CJ27" s="1387"/>
      <c r="CK27" s="1387"/>
      <c r="CL27" s="1387"/>
      <c r="CM27" s="1387"/>
      <c r="CN27" s="1387"/>
      <c r="CO27" s="1387"/>
      <c r="CP27" s="1387"/>
      <c r="CQ27" s="2118"/>
      <c r="CR27" s="2127"/>
      <c r="CS27" s="2098"/>
      <c r="CT27" s="1387"/>
      <c r="CU27" s="1387"/>
      <c r="CV27" s="2118"/>
      <c r="CW27" s="2150"/>
      <c r="CX27" s="2055"/>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05"/>
      <c r="B28" s="556"/>
      <c r="C28" s="551"/>
      <c r="D28" s="2041"/>
      <c r="E28" s="551"/>
      <c r="F28" s="440"/>
      <c r="G28" s="441"/>
      <c r="H28" s="557"/>
      <c r="I28" s="1387"/>
      <c r="J28" s="2106"/>
      <c r="K28" s="1387"/>
      <c r="L28" s="2106"/>
      <c r="M28" s="2106"/>
      <c r="N28" s="1387"/>
      <c r="O28" s="1387"/>
      <c r="P28" s="1387"/>
      <c r="Q28" s="1387"/>
      <c r="R28" s="1387"/>
      <c r="S28" s="2106"/>
      <c r="T28" s="1387"/>
      <c r="U28" s="1387"/>
      <c r="V28" s="1387"/>
      <c r="W28" s="2106"/>
      <c r="X28" s="1387"/>
      <c r="Y28" s="1387"/>
      <c r="Z28" s="1387"/>
      <c r="AA28" s="1387"/>
      <c r="AB28" s="1387"/>
      <c r="AC28" s="1387"/>
      <c r="AD28" s="1387"/>
      <c r="AE28" s="1387"/>
      <c r="AF28" s="1387"/>
      <c r="AG28" s="1387"/>
      <c r="AH28" s="1387"/>
      <c r="AI28" s="1387"/>
      <c r="AJ28" s="1387"/>
      <c r="AK28" s="1387"/>
      <c r="AL28" s="1387"/>
      <c r="AM28" s="1387"/>
      <c r="AN28" s="2106"/>
      <c r="AO28" s="2106"/>
      <c r="AP28" s="1387"/>
      <c r="AQ28" s="1387"/>
      <c r="AR28" s="1387"/>
      <c r="AS28" s="1387"/>
      <c r="AT28" s="1387"/>
      <c r="AU28" s="1387"/>
      <c r="AV28" s="1387"/>
      <c r="AW28" s="2106"/>
      <c r="AX28" s="2106"/>
      <c r="AY28" s="1387"/>
      <c r="AZ28" s="1387"/>
      <c r="BA28" s="1387"/>
      <c r="BB28" s="1387"/>
      <c r="BC28" s="1387"/>
      <c r="BD28" s="2106"/>
      <c r="BE28" s="1387"/>
      <c r="BF28" s="1387"/>
      <c r="BG28" s="1387"/>
      <c r="BH28" s="1387"/>
      <c r="BI28" s="1387"/>
      <c r="BJ28" s="1387"/>
      <c r="BK28" s="1387"/>
      <c r="BL28" s="1387"/>
      <c r="BM28" s="2106"/>
      <c r="BN28" s="1387"/>
      <c r="BO28" s="2106"/>
      <c r="BP28" s="2106"/>
      <c r="BQ28" s="1387"/>
      <c r="BR28" s="1387"/>
      <c r="BS28" s="1387"/>
      <c r="BT28" s="2106"/>
      <c r="BU28" s="2106"/>
      <c r="BV28" s="1387"/>
      <c r="BW28" s="1387"/>
      <c r="BX28" s="2106"/>
      <c r="BY28" s="1387"/>
      <c r="BZ28" s="2106"/>
      <c r="CA28" s="2106"/>
      <c r="CB28" s="2106"/>
      <c r="CC28" s="2106"/>
      <c r="CD28" s="1387"/>
      <c r="CE28" s="1387"/>
      <c r="CF28" s="1387"/>
      <c r="CG28" s="1387"/>
      <c r="CH28" s="1387"/>
      <c r="CI28" s="1387"/>
      <c r="CJ28" s="1387"/>
      <c r="CK28" s="1387"/>
      <c r="CL28" s="1387"/>
      <c r="CM28" s="1387"/>
      <c r="CN28" s="1387"/>
      <c r="CO28" s="1387"/>
      <c r="CP28" s="1387"/>
      <c r="CQ28" s="1387"/>
      <c r="CR28" s="2106"/>
      <c r="CS28" s="1387"/>
      <c r="CT28" s="1387"/>
      <c r="CU28" s="1387"/>
      <c r="CV28" s="1387"/>
      <c r="CW28" s="2106"/>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34"/>
      <c r="B92" s="2035"/>
      <c r="C92" s="551"/>
      <c r="D92" s="2035"/>
      <c r="E92" s="1380"/>
      <c r="F92" s="1380"/>
      <c r="G92" s="1040"/>
      <c r="H92" s="2036"/>
      <c r="I92" s="626"/>
      <c r="J92" s="2037"/>
      <c r="K92" s="626"/>
      <c r="L92" s="2037"/>
      <c r="M92" s="2037"/>
      <c r="N92" s="626"/>
      <c r="O92" s="626"/>
      <c r="P92" s="626"/>
      <c r="Q92" s="626"/>
      <c r="R92" s="626"/>
      <c r="S92" s="2037"/>
      <c r="T92" s="626"/>
      <c r="U92" s="626"/>
      <c r="V92" s="626"/>
      <c r="W92" s="2037"/>
      <c r="X92" s="626"/>
      <c r="Y92" s="626"/>
      <c r="Z92" s="626"/>
      <c r="AA92" s="626"/>
      <c r="AB92" s="626"/>
      <c r="AC92" s="626"/>
      <c r="AD92" s="626"/>
      <c r="AE92" s="626"/>
      <c r="AF92" s="626"/>
      <c r="AG92" s="626"/>
      <c r="AH92" s="626"/>
      <c r="AI92" s="626"/>
      <c r="AJ92" s="626"/>
      <c r="AK92" s="626"/>
      <c r="AL92" s="626"/>
      <c r="AM92" s="626"/>
      <c r="AN92" s="2037"/>
      <c r="AO92" s="2037"/>
      <c r="AP92" s="626"/>
      <c r="AQ92" s="626"/>
      <c r="AR92" s="626"/>
      <c r="AS92" s="626"/>
      <c r="AT92" s="626"/>
      <c r="AU92" s="626"/>
      <c r="AV92" s="626"/>
      <c r="AW92" s="2037"/>
      <c r="AX92" s="2037"/>
      <c r="AY92" s="626"/>
      <c r="AZ92" s="626"/>
      <c r="BA92" s="626"/>
      <c r="BB92" s="626"/>
      <c r="BC92" s="626"/>
      <c r="BD92" s="2037"/>
      <c r="BE92" s="626"/>
      <c r="BF92" s="626"/>
      <c r="BG92" s="626"/>
      <c r="BH92" s="626"/>
      <c r="BI92" s="626"/>
      <c r="BJ92" s="626"/>
      <c r="BK92" s="626"/>
      <c r="BL92" s="626"/>
      <c r="BM92" s="2037"/>
      <c r="BN92" s="626"/>
      <c r="BO92" s="2037"/>
      <c r="BP92" s="2037"/>
      <c r="BQ92" s="626"/>
      <c r="BR92" s="626"/>
      <c r="BS92" s="626"/>
      <c r="BT92" s="2037"/>
      <c r="BU92" s="2037"/>
      <c r="BV92" s="2037"/>
      <c r="BW92" s="2037"/>
      <c r="BX92" s="2037"/>
      <c r="BY92" s="626"/>
      <c r="BZ92" s="2037"/>
      <c r="CA92" s="2037"/>
      <c r="CB92" s="2037"/>
      <c r="CC92" s="2037"/>
      <c r="CD92" s="626"/>
      <c r="CE92" s="626"/>
      <c r="CF92" s="626"/>
      <c r="CG92" s="626"/>
      <c r="CH92" s="626"/>
      <c r="CI92" s="626"/>
      <c r="CJ92" s="626"/>
      <c r="CK92" s="626"/>
      <c r="CL92" s="626"/>
      <c r="CM92" s="626"/>
      <c r="CN92" s="626"/>
      <c r="CO92" s="626"/>
      <c r="CP92" s="626"/>
      <c r="CQ92" s="626"/>
      <c r="CR92" s="2037"/>
      <c r="CS92" s="2037"/>
      <c r="CT92" s="2037"/>
      <c r="CU92" s="2037"/>
      <c r="CV92" s="2037"/>
      <c r="CW92" s="2037"/>
      <c r="CX92" s="2038"/>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46"/>
      <c r="B93" s="2046"/>
      <c r="C93" s="2028"/>
      <c r="D93" s="2046"/>
      <c r="E93" s="2030"/>
      <c r="F93" s="615"/>
      <c r="G93" s="2012"/>
      <c r="H93" s="2049"/>
      <c r="I93" s="2028"/>
      <c r="J93" s="2046"/>
      <c r="K93" s="2028"/>
      <c r="L93" s="2046"/>
      <c r="M93" s="2100"/>
      <c r="N93" s="2030"/>
      <c r="O93" s="614"/>
      <c r="P93" s="614"/>
      <c r="Q93" s="614"/>
      <c r="R93" s="2010"/>
      <c r="S93" s="2046"/>
      <c r="T93" s="2030"/>
      <c r="U93" s="614"/>
      <c r="V93" s="2010"/>
      <c r="W93" s="2046"/>
      <c r="X93" s="2030"/>
      <c r="Y93" s="614"/>
      <c r="Z93" s="614"/>
      <c r="AA93" s="614"/>
      <c r="AB93" s="614"/>
      <c r="AC93" s="614"/>
      <c r="AD93" s="614"/>
      <c r="AE93" s="614"/>
      <c r="AF93" s="614"/>
      <c r="AG93" s="614"/>
      <c r="AH93" s="614"/>
      <c r="AI93" s="614"/>
      <c r="AJ93" s="614"/>
      <c r="AK93" s="614"/>
      <c r="AL93" s="614"/>
      <c r="AM93" s="2010"/>
      <c r="AN93" s="2046"/>
      <c r="AO93" s="2046"/>
      <c r="AP93" s="2030"/>
      <c r="AQ93" s="614"/>
      <c r="AR93" s="614"/>
      <c r="AS93" s="614"/>
      <c r="AT93" s="614"/>
      <c r="AU93" s="614"/>
      <c r="AV93" s="2010"/>
      <c r="AW93" s="2046"/>
      <c r="AX93" s="2046"/>
      <c r="AY93" s="2030"/>
      <c r="AZ93" s="614"/>
      <c r="BA93" s="614"/>
      <c r="BB93" s="614"/>
      <c r="BC93" s="2010"/>
      <c r="BD93" s="2046"/>
      <c r="BE93" s="2030"/>
      <c r="BF93" s="614"/>
      <c r="BG93" s="614"/>
      <c r="BH93" s="614"/>
      <c r="BI93" s="614"/>
      <c r="BJ93" s="614"/>
      <c r="BK93" s="614"/>
      <c r="BL93" s="2010"/>
      <c r="BM93" s="2046"/>
      <c r="BN93" s="2028"/>
      <c r="BO93" s="2046"/>
      <c r="BP93" s="2046"/>
      <c r="BQ93" s="2030"/>
      <c r="BR93" s="614"/>
      <c r="BS93" s="2010"/>
      <c r="BT93" s="2119"/>
      <c r="BU93" s="2046"/>
      <c r="BV93" s="2100"/>
      <c r="BW93" s="2119"/>
      <c r="BX93" s="2046"/>
      <c r="BY93" s="2028"/>
      <c r="BZ93" s="2046"/>
      <c r="CA93" s="2046"/>
      <c r="CB93" s="2046"/>
      <c r="CC93" s="2046"/>
      <c r="CD93" s="2030"/>
      <c r="CE93" s="614"/>
      <c r="CF93" s="614"/>
      <c r="CG93" s="614"/>
      <c r="CH93" s="614"/>
      <c r="CI93" s="614"/>
      <c r="CJ93" s="614"/>
      <c r="CK93" s="614"/>
      <c r="CL93" s="614"/>
      <c r="CM93" s="614"/>
      <c r="CN93" s="614"/>
      <c r="CO93" s="614"/>
      <c r="CP93" s="614"/>
      <c r="CQ93" s="2010"/>
      <c r="CR93" s="2046"/>
      <c r="CS93" s="2100"/>
      <c r="CT93" s="2046"/>
      <c r="CU93" s="2046"/>
      <c r="CV93" s="2119"/>
      <c r="CW93" s="2119"/>
      <c r="CX93" s="2055"/>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2" t="s">
        <v>3927</v>
      </c>
      <c r="B94" s="2053">
        <f>SUM(B11:B93)</f>
        <v>0</v>
      </c>
      <c r="C94" s="2029"/>
      <c r="D94" s="2054">
        <f>B94</f>
        <v>0</v>
      </c>
      <c r="E94" s="2031"/>
      <c r="F94" s="562"/>
      <c r="G94" s="2011"/>
      <c r="H94" s="2054"/>
      <c r="I94" s="2029"/>
      <c r="J94" s="2053">
        <f>SUM(J11:J93)</f>
        <v>0</v>
      </c>
      <c r="K94" s="2032">
        <f t="shared" ref="K94:BW94" si="10">SUM(K11:K93)</f>
        <v>0</v>
      </c>
      <c r="L94" s="2053">
        <f t="shared" si="10"/>
        <v>0</v>
      </c>
      <c r="M94" s="2104">
        <f t="shared" si="10"/>
        <v>0</v>
      </c>
      <c r="N94" s="2033">
        <f t="shared" si="10"/>
        <v>0</v>
      </c>
      <c r="O94" s="561">
        <f t="shared" si="10"/>
        <v>0</v>
      </c>
      <c r="P94" s="561">
        <f t="shared" si="10"/>
        <v>0</v>
      </c>
      <c r="Q94" s="561">
        <f t="shared" si="10"/>
        <v>0</v>
      </c>
      <c r="R94" s="2013">
        <f t="shared" si="10"/>
        <v>0</v>
      </c>
      <c r="S94" s="2053">
        <f t="shared" si="10"/>
        <v>0</v>
      </c>
      <c r="T94" s="2033">
        <f t="shared" si="10"/>
        <v>0</v>
      </c>
      <c r="U94" s="561">
        <f t="shared" si="10"/>
        <v>0</v>
      </c>
      <c r="V94" s="2013">
        <f t="shared" si="10"/>
        <v>0</v>
      </c>
      <c r="W94" s="2053">
        <f t="shared" si="10"/>
        <v>0</v>
      </c>
      <c r="X94" s="2033">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3">
        <f t="shared" si="10"/>
        <v>0</v>
      </c>
      <c r="AN94" s="2053">
        <f t="shared" si="10"/>
        <v>0</v>
      </c>
      <c r="AO94" s="2053">
        <f t="shared" si="10"/>
        <v>0</v>
      </c>
      <c r="AP94" s="2033">
        <f t="shared" si="10"/>
        <v>0</v>
      </c>
      <c r="AQ94" s="561">
        <f t="shared" si="10"/>
        <v>0</v>
      </c>
      <c r="AR94" s="561">
        <f t="shared" si="10"/>
        <v>0</v>
      </c>
      <c r="AS94" s="561">
        <f t="shared" si="10"/>
        <v>0</v>
      </c>
      <c r="AT94" s="561">
        <f t="shared" si="10"/>
        <v>0</v>
      </c>
      <c r="AU94" s="561">
        <f t="shared" si="10"/>
        <v>0</v>
      </c>
      <c r="AV94" s="2013">
        <f t="shared" si="10"/>
        <v>0</v>
      </c>
      <c r="AW94" s="2053">
        <f t="shared" si="10"/>
        <v>0</v>
      </c>
      <c r="AX94" s="2053">
        <f t="shared" si="10"/>
        <v>0</v>
      </c>
      <c r="AY94" s="2033">
        <f t="shared" si="10"/>
        <v>0</v>
      </c>
      <c r="AZ94" s="561">
        <f t="shared" si="10"/>
        <v>0</v>
      </c>
      <c r="BA94" s="561">
        <f t="shared" si="10"/>
        <v>0</v>
      </c>
      <c r="BB94" s="561">
        <f t="shared" si="10"/>
        <v>0</v>
      </c>
      <c r="BC94" s="2013">
        <f t="shared" si="10"/>
        <v>0</v>
      </c>
      <c r="BD94" s="2053">
        <f t="shared" si="10"/>
        <v>0</v>
      </c>
      <c r="BE94" s="2033">
        <f t="shared" si="10"/>
        <v>0</v>
      </c>
      <c r="BF94" s="561">
        <f t="shared" si="10"/>
        <v>0</v>
      </c>
      <c r="BG94" s="561">
        <f t="shared" si="10"/>
        <v>0</v>
      </c>
      <c r="BH94" s="561">
        <f t="shared" si="10"/>
        <v>0</v>
      </c>
      <c r="BI94" s="561">
        <f t="shared" si="10"/>
        <v>0</v>
      </c>
      <c r="BJ94" s="561">
        <f t="shared" si="10"/>
        <v>0</v>
      </c>
      <c r="BK94" s="561">
        <f t="shared" si="10"/>
        <v>0</v>
      </c>
      <c r="BL94" s="2013">
        <f t="shared" si="10"/>
        <v>0</v>
      </c>
      <c r="BM94" s="2053">
        <f t="shared" si="10"/>
        <v>0</v>
      </c>
      <c r="BN94" s="2032">
        <f t="shared" si="10"/>
        <v>0</v>
      </c>
      <c r="BO94" s="2053">
        <f t="shared" si="10"/>
        <v>0</v>
      </c>
      <c r="BP94" s="2053">
        <f t="shared" si="10"/>
        <v>0</v>
      </c>
      <c r="BQ94" s="2033">
        <f t="shared" si="10"/>
        <v>0</v>
      </c>
      <c r="BR94" s="561">
        <f t="shared" si="10"/>
        <v>0</v>
      </c>
      <c r="BS94" s="2013">
        <f t="shared" si="10"/>
        <v>0</v>
      </c>
      <c r="BT94" s="2122">
        <f t="shared" si="10"/>
        <v>0</v>
      </c>
      <c r="BU94" s="2053">
        <f t="shared" si="10"/>
        <v>0</v>
      </c>
      <c r="BV94" s="2104">
        <f t="shared" si="10"/>
        <v>0</v>
      </c>
      <c r="BW94" s="2122">
        <f t="shared" si="10"/>
        <v>0</v>
      </c>
      <c r="BX94" s="2053">
        <f t="shared" ref="BX94:CW94" si="11">SUM(BX11:BX93)</f>
        <v>0</v>
      </c>
      <c r="BY94" s="2032">
        <f t="shared" si="11"/>
        <v>0</v>
      </c>
      <c r="BZ94" s="2053">
        <f t="shared" si="11"/>
        <v>0</v>
      </c>
      <c r="CA94" s="2053">
        <f t="shared" si="11"/>
        <v>0</v>
      </c>
      <c r="CB94" s="2053"/>
      <c r="CC94" s="2053">
        <f t="shared" si="11"/>
        <v>0</v>
      </c>
      <c r="CD94" s="2033">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3">
        <f t="shared" si="11"/>
        <v>0</v>
      </c>
      <c r="CR94" s="2053">
        <f t="shared" si="11"/>
        <v>0</v>
      </c>
      <c r="CS94" s="2104">
        <f t="shared" si="11"/>
        <v>0</v>
      </c>
      <c r="CT94" s="2053">
        <f t="shared" si="11"/>
        <v>0</v>
      </c>
      <c r="CU94" s="2053">
        <f t="shared" si="11"/>
        <v>0</v>
      </c>
      <c r="CV94" s="2122">
        <f t="shared" si="11"/>
        <v>0</v>
      </c>
      <c r="CW94" s="2122">
        <f t="shared" si="11"/>
        <v>0</v>
      </c>
      <c r="CX94" s="2056"/>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615">
        <f>D94</f>
        <v>0</v>
      </c>
      <c r="M98" s="2615"/>
      <c r="N98" s="2615"/>
      <c r="O98" s="2615"/>
      <c r="P98" s="2615"/>
      <c r="Q98" s="2615"/>
      <c r="R98" s="2615"/>
      <c r="S98" s="2615"/>
      <c r="T98" s="2615"/>
      <c r="U98" s="2615"/>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3" t="s">
        <v>360</v>
      </c>
      <c r="B101" s="1634"/>
      <c r="C101" s="1644">
        <f>D94</f>
        <v>0</v>
      </c>
      <c r="D101" s="1644">
        <f>D94</f>
        <v>0</v>
      </c>
      <c r="E101" s="1636" t="s">
        <v>1829</v>
      </c>
      <c r="F101" s="1634"/>
      <c r="G101" s="1645"/>
      <c r="H101" s="1638"/>
      <c r="I101" s="1634"/>
      <c r="J101" s="1639">
        <f>B101*1.03</f>
        <v>0</v>
      </c>
      <c r="K101" s="1639"/>
      <c r="L101" s="2615">
        <f>D94</f>
        <v>0</v>
      </c>
      <c r="M101" s="2615"/>
      <c r="N101" s="2615"/>
      <c r="O101" s="2615"/>
      <c r="P101" s="2615"/>
      <c r="Q101" s="2615"/>
      <c r="R101" s="2615"/>
      <c r="S101" s="2615"/>
      <c r="T101" s="2615"/>
      <c r="U101" s="2615"/>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5" t="s">
        <v>4848</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643" t="s">
        <v>3944</v>
      </c>
      <c r="B4" s="2645" t="s">
        <v>3945</v>
      </c>
      <c r="C4" s="2645" t="s">
        <v>3790</v>
      </c>
      <c r="D4" s="2611" t="s">
        <v>2027</v>
      </c>
      <c r="E4" s="2611" t="s">
        <v>507</v>
      </c>
      <c r="F4" s="2611" t="s">
        <v>505</v>
      </c>
      <c r="G4" s="2611" t="s">
        <v>832</v>
      </c>
      <c r="H4" s="2611" t="s">
        <v>506</v>
      </c>
      <c r="I4" s="2611" t="s">
        <v>1151</v>
      </c>
      <c r="J4" s="2611" t="s">
        <v>3798</v>
      </c>
      <c r="K4" s="2611" t="s">
        <v>3931</v>
      </c>
      <c r="L4" s="2657" t="s">
        <v>3946</v>
      </c>
      <c r="M4" s="2659" t="s">
        <v>2285</v>
      </c>
      <c r="N4" s="2624"/>
      <c r="O4" s="2624"/>
      <c r="P4" s="2624"/>
      <c r="Q4" s="2624"/>
      <c r="R4" s="2660" t="s">
        <v>3902</v>
      </c>
      <c r="S4" s="2661"/>
      <c r="T4" s="2661"/>
      <c r="U4" s="2661"/>
      <c r="V4" s="2661"/>
      <c r="W4" s="2661"/>
      <c r="X4" s="2661"/>
      <c r="Y4" s="2661"/>
      <c r="Z4" s="566" t="s">
        <v>2606</v>
      </c>
      <c r="AA4" s="577"/>
      <c r="AB4" s="577"/>
      <c r="AC4" s="578"/>
      <c r="AD4" s="2611" t="s">
        <v>3947</v>
      </c>
      <c r="AE4" s="2611" t="s">
        <v>2393</v>
      </c>
      <c r="AF4" s="2611" t="s">
        <v>2396</v>
      </c>
      <c r="AG4" s="2611" t="s">
        <v>2399</v>
      </c>
      <c r="AH4" s="2611" t="s">
        <v>2400</v>
      </c>
      <c r="AI4" s="2654" t="s">
        <v>3948</v>
      </c>
      <c r="AJ4" s="579" t="s">
        <v>2183</v>
      </c>
      <c r="AK4" s="580"/>
      <c r="AL4" s="2648" t="s">
        <v>3949</v>
      </c>
      <c r="AM4" s="2648" t="s">
        <v>3950</v>
      </c>
      <c r="AN4" s="2648" t="s">
        <v>3951</v>
      </c>
      <c r="AO4" s="2648" t="s">
        <v>3952</v>
      </c>
      <c r="AP4" s="2648" t="s">
        <v>3953</v>
      </c>
      <c r="AQ4" s="2648" t="s">
        <v>3954</v>
      </c>
      <c r="AR4" s="2650" t="s">
        <v>3955</v>
      </c>
      <c r="AS4" s="2651"/>
      <c r="AT4" s="2651"/>
      <c r="AU4" s="2651"/>
      <c r="AV4" s="2651"/>
      <c r="AW4" s="2652"/>
      <c r="AX4" s="2653" t="s">
        <v>3956</v>
      </c>
      <c r="AY4" s="2653"/>
      <c r="AZ4" s="2653"/>
      <c r="BA4" s="2653"/>
      <c r="BB4" s="567" t="s">
        <v>3957</v>
      </c>
      <c r="BC4" s="581"/>
      <c r="BD4" s="567"/>
      <c r="BE4" s="568" t="s">
        <v>2605</v>
      </c>
      <c r="BF4" s="581"/>
      <c r="BG4" s="567"/>
      <c r="BH4" s="2648" t="s">
        <v>3958</v>
      </c>
      <c r="BI4" s="2648" t="s">
        <v>3959</v>
      </c>
      <c r="BJ4" s="2648" t="s">
        <v>3960</v>
      </c>
      <c r="BK4" s="2648" t="s">
        <v>2862</v>
      </c>
      <c r="BL4" s="2645" t="s">
        <v>3961</v>
      </c>
      <c r="BM4" s="2645" t="s">
        <v>3962</v>
      </c>
      <c r="BN4" s="2646" t="s">
        <v>2610</v>
      </c>
    </row>
    <row r="5" spans="1:209" s="543" customFormat="1" ht="142.5" customHeight="1">
      <c r="A5" s="2644"/>
      <c r="B5" s="2603"/>
      <c r="C5" s="2603"/>
      <c r="D5" s="2633"/>
      <c r="E5" s="2633"/>
      <c r="F5" s="2633"/>
      <c r="G5" s="2633"/>
      <c r="H5" s="2633"/>
      <c r="I5" s="2633"/>
      <c r="J5" s="2633"/>
      <c r="K5" s="2633"/>
      <c r="L5" s="2658"/>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633"/>
      <c r="AE5" s="2633"/>
      <c r="AF5" s="2633"/>
      <c r="AG5" s="2633"/>
      <c r="AH5" s="2633"/>
      <c r="AI5" s="2655"/>
      <c r="AJ5" s="570" t="s">
        <v>3967</v>
      </c>
      <c r="AK5" s="570" t="s">
        <v>3968</v>
      </c>
      <c r="AL5" s="2631"/>
      <c r="AM5" s="2631"/>
      <c r="AN5" s="2631"/>
      <c r="AO5" s="2631"/>
      <c r="AP5" s="2631"/>
      <c r="AQ5" s="2631"/>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631"/>
      <c r="BI5" s="2631"/>
      <c r="BJ5" s="2631"/>
      <c r="BK5" s="2631"/>
      <c r="BL5" s="2649"/>
      <c r="BM5" s="2649"/>
      <c r="BN5" s="2647"/>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639" t="s">
        <v>3985</v>
      </c>
      <c r="B35" s="2640"/>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639" t="s">
        <v>3985</v>
      </c>
      <c r="B67" s="2640"/>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641" t="s">
        <v>3927</v>
      </c>
      <c r="B69" s="2642"/>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656" t="s">
        <v>3986</v>
      </c>
      <c r="B71" s="2656"/>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656" t="s">
        <v>3987</v>
      </c>
      <c r="B72" s="2656"/>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656" t="s">
        <v>3988</v>
      </c>
      <c r="B73" s="2656"/>
      <c r="C73" s="645">
        <f>E69</f>
        <v>0</v>
      </c>
      <c r="D73" s="646"/>
      <c r="E73" s="646"/>
      <c r="F73" s="646"/>
      <c r="G73" s="646"/>
      <c r="H73" s="646"/>
      <c r="R73" s="647"/>
      <c r="U73" s="641"/>
      <c r="W73" s="641"/>
      <c r="AE73" s="531"/>
      <c r="AF73" s="531"/>
      <c r="AG73" s="531"/>
      <c r="AH73" s="531"/>
    </row>
    <row r="74" spans="1:209" ht="18.899999999999999" customHeight="1">
      <c r="A74" s="2656" t="s">
        <v>3989</v>
      </c>
      <c r="B74" s="2656"/>
      <c r="C74" s="645">
        <f>F69</f>
        <v>0</v>
      </c>
      <c r="D74" s="646"/>
      <c r="E74" s="646"/>
      <c r="F74" s="646"/>
      <c r="G74" s="646"/>
      <c r="H74" s="646"/>
      <c r="R74" s="647"/>
      <c r="U74" s="641"/>
      <c r="W74" s="641"/>
      <c r="AE74" s="531"/>
      <c r="AF74" s="531"/>
      <c r="AG74" s="531"/>
      <c r="AH74" s="531"/>
    </row>
    <row r="75" spans="1:209" ht="18.899999999999999" customHeight="1">
      <c r="A75" s="2656" t="s">
        <v>3990</v>
      </c>
      <c r="B75" s="2656"/>
      <c r="C75" s="645">
        <f>G69</f>
        <v>0</v>
      </c>
      <c r="D75" s="646"/>
      <c r="E75" s="646"/>
      <c r="F75" s="646"/>
      <c r="G75" s="646"/>
      <c r="H75" s="646"/>
      <c r="R75" s="647"/>
      <c r="U75" s="641"/>
      <c r="W75" s="641"/>
      <c r="AE75" s="531"/>
      <c r="AF75" s="531"/>
      <c r="AG75" s="531"/>
      <c r="AH75" s="531"/>
    </row>
    <row r="76" spans="1:209" ht="18.899999999999999" customHeight="1">
      <c r="A76" s="2656" t="s">
        <v>3991</v>
      </c>
      <c r="B76" s="2656"/>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656" t="s">
        <v>3992</v>
      </c>
      <c r="B77" s="2656"/>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3993</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3.8"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3.8"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643" t="s">
        <v>3944</v>
      </c>
      <c r="B4" s="2645" t="s">
        <v>3995</v>
      </c>
      <c r="C4" s="2645" t="s">
        <v>3790</v>
      </c>
      <c r="D4" s="2611" t="s">
        <v>3996</v>
      </c>
      <c r="E4" s="2611" t="s">
        <v>3997</v>
      </c>
      <c r="F4" s="2611" t="s">
        <v>2027</v>
      </c>
      <c r="G4" s="2611" t="s">
        <v>2210</v>
      </c>
      <c r="H4" s="2611" t="s">
        <v>116</v>
      </c>
      <c r="I4" s="2611" t="s">
        <v>1153</v>
      </c>
      <c r="J4" s="2611" t="s">
        <v>1152</v>
      </c>
      <c r="K4" s="2611" t="s">
        <v>1151</v>
      </c>
      <c r="L4" s="2611" t="s">
        <v>2270</v>
      </c>
      <c r="M4" s="2611" t="s">
        <v>2269</v>
      </c>
      <c r="N4" s="2611" t="s">
        <v>2268</v>
      </c>
      <c r="O4" s="2611" t="s">
        <v>3798</v>
      </c>
      <c r="P4" s="2611" t="s">
        <v>3931</v>
      </c>
      <c r="Q4" s="2657" t="s">
        <v>3800</v>
      </c>
      <c r="R4" s="2659" t="s">
        <v>3998</v>
      </c>
      <c r="S4" s="2624"/>
      <c r="T4" s="2624"/>
      <c r="U4" s="2664"/>
      <c r="V4" s="2660" t="s">
        <v>3902</v>
      </c>
      <c r="W4" s="2661"/>
      <c r="X4" s="2661"/>
      <c r="Y4" s="2661"/>
      <c r="Z4" s="2661"/>
      <c r="AA4" s="2661"/>
      <c r="AB4" s="2661"/>
      <c r="AC4" s="2661"/>
      <c r="AD4" s="2661"/>
      <c r="AE4" s="2661"/>
      <c r="AF4" s="2661"/>
      <c r="AG4" s="2661"/>
      <c r="AH4" s="2661"/>
      <c r="AI4" s="2661"/>
      <c r="AJ4" s="2661"/>
      <c r="AK4" s="2661"/>
      <c r="AL4" s="2661"/>
      <c r="AM4" s="2661"/>
      <c r="AN4" s="2661"/>
      <c r="AO4" s="2661"/>
      <c r="AP4" s="2661"/>
      <c r="AQ4" s="2661"/>
      <c r="AR4" s="2661"/>
      <c r="AS4" s="2661"/>
      <c r="AT4" s="2661"/>
      <c r="AU4" s="2665"/>
      <c r="AV4" s="665"/>
      <c r="AW4" s="525" t="s">
        <v>3999</v>
      </c>
      <c r="AX4" s="665"/>
      <c r="AY4" s="665"/>
      <c r="AZ4" s="665"/>
      <c r="BA4" s="542"/>
      <c r="BB4" s="665"/>
      <c r="BC4" s="542"/>
      <c r="BD4" s="665"/>
      <c r="BE4" s="665"/>
      <c r="BF4" s="653" t="s">
        <v>3905</v>
      </c>
      <c r="BG4" s="665"/>
      <c r="BH4" s="665"/>
      <c r="BI4" s="665"/>
      <c r="BJ4" s="665"/>
      <c r="BK4" s="665"/>
      <c r="BL4" s="665"/>
      <c r="BM4" s="665"/>
      <c r="BN4" s="665"/>
      <c r="BO4" s="665"/>
      <c r="BP4" s="2611" t="s">
        <v>2393</v>
      </c>
      <c r="BQ4" s="2611" t="s">
        <v>2398</v>
      </c>
      <c r="BR4" s="2611" t="s">
        <v>2397</v>
      </c>
      <c r="BS4" s="2611" t="s">
        <v>2396</v>
      </c>
      <c r="BT4" s="2611" t="s">
        <v>4000</v>
      </c>
      <c r="BU4" s="2611" t="s">
        <v>4001</v>
      </c>
      <c r="BV4" s="2654" t="s">
        <v>3948</v>
      </c>
      <c r="BW4" s="579" t="s">
        <v>4002</v>
      </c>
      <c r="BX4" s="666"/>
      <c r="BY4" s="666"/>
      <c r="BZ4" s="580"/>
      <c r="CA4" s="2662" t="s">
        <v>4003</v>
      </c>
      <c r="CB4" s="2662" t="s">
        <v>3950</v>
      </c>
      <c r="CC4" s="2667" t="s">
        <v>3955</v>
      </c>
      <c r="CD4" s="2668"/>
      <c r="CE4" s="2668"/>
      <c r="CF4" s="2668"/>
      <c r="CG4" s="2668"/>
      <c r="CH4" s="2668"/>
      <c r="CI4" s="2668"/>
      <c r="CJ4" s="2668"/>
      <c r="CK4" s="2668"/>
      <c r="CL4" s="667" t="s">
        <v>475</v>
      </c>
      <c r="CM4" s="668"/>
      <c r="CN4" s="2648" t="s">
        <v>4004</v>
      </c>
      <c r="CO4" s="2648" t="s">
        <v>3958</v>
      </c>
      <c r="CP4" s="2648" t="s">
        <v>3959</v>
      </c>
      <c r="CQ4" s="2648" t="s">
        <v>3960</v>
      </c>
      <c r="CR4" s="2648" t="s">
        <v>2862</v>
      </c>
      <c r="CS4" s="2645" t="s">
        <v>3961</v>
      </c>
      <c r="CT4" s="2645" t="s">
        <v>4005</v>
      </c>
      <c r="CU4" s="2645" t="s">
        <v>3421</v>
      </c>
      <c r="CV4" s="2645" t="s">
        <v>4006</v>
      </c>
      <c r="CW4" s="2645" t="s">
        <v>4007</v>
      </c>
      <c r="CX4" s="2666" t="s">
        <v>4008</v>
      </c>
      <c r="CY4" s="2646" t="s">
        <v>2610</v>
      </c>
    </row>
    <row r="5" spans="1:234" s="543" customFormat="1" ht="142.5" customHeight="1">
      <c r="A5" s="2644"/>
      <c r="B5" s="2603"/>
      <c r="C5" s="2603"/>
      <c r="D5" s="2633"/>
      <c r="E5" s="2633"/>
      <c r="F5" s="2633"/>
      <c r="G5" s="2633"/>
      <c r="H5" s="2633"/>
      <c r="I5" s="2633"/>
      <c r="J5" s="2633"/>
      <c r="K5" s="2633"/>
      <c r="L5" s="2633"/>
      <c r="M5" s="2633"/>
      <c r="N5" s="2633"/>
      <c r="O5" s="2633"/>
      <c r="P5" s="2633"/>
      <c r="Q5" s="2658"/>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633"/>
      <c r="BQ5" s="2633"/>
      <c r="BR5" s="2633"/>
      <c r="BS5" s="2633"/>
      <c r="BT5" s="2633"/>
      <c r="BU5" s="2633"/>
      <c r="BV5" s="2655"/>
      <c r="BW5" s="570" t="s">
        <v>4010</v>
      </c>
      <c r="BX5" s="570" t="s">
        <v>4011</v>
      </c>
      <c r="BY5" s="570" t="s">
        <v>2040</v>
      </c>
      <c r="BZ5" s="570" t="s">
        <v>1452</v>
      </c>
      <c r="CA5" s="2663"/>
      <c r="CB5" s="2663"/>
      <c r="CC5" s="571" t="s">
        <v>3969</v>
      </c>
      <c r="CD5" s="571" t="s">
        <v>4012</v>
      </c>
      <c r="CE5" s="571" t="s">
        <v>3970</v>
      </c>
      <c r="CF5" s="571" t="s">
        <v>4013</v>
      </c>
      <c r="CG5" s="571" t="s">
        <v>4014</v>
      </c>
      <c r="CH5" s="571" t="s">
        <v>3971</v>
      </c>
      <c r="CI5" s="571" t="s">
        <v>3972</v>
      </c>
      <c r="CJ5" s="571" t="s">
        <v>4015</v>
      </c>
      <c r="CK5" s="571" t="s">
        <v>4016</v>
      </c>
      <c r="CL5" s="571" t="s">
        <v>4017</v>
      </c>
      <c r="CM5" s="571" t="s">
        <v>4018</v>
      </c>
      <c r="CN5" s="2631"/>
      <c r="CO5" s="2631"/>
      <c r="CP5" s="2631"/>
      <c r="CQ5" s="2631"/>
      <c r="CR5" s="2631"/>
      <c r="CS5" s="2649"/>
      <c r="CT5" s="2649"/>
      <c r="CU5" s="2649"/>
      <c r="CV5" s="2649"/>
      <c r="CW5" s="2649"/>
      <c r="CX5" s="2610"/>
      <c r="CY5" s="2647"/>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656" t="s">
        <v>3986</v>
      </c>
      <c r="B316" s="2656"/>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656" t="s">
        <v>4064</v>
      </c>
      <c r="B317" s="2656"/>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656" t="s">
        <v>3988</v>
      </c>
      <c r="B318" s="2656"/>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656" t="s">
        <v>4065</v>
      </c>
      <c r="B319" s="2656"/>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656" t="s">
        <v>4066</v>
      </c>
      <c r="B320" s="2656"/>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656" t="s">
        <v>3992</v>
      </c>
      <c r="B321" s="2656"/>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4068</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90625" defaultRowHeight="18.899999999999999" customHeight="1"/>
  <cols>
    <col min="1" max="1" width="12.1796875" style="573" customWidth="1"/>
    <col min="2" max="2" width="13.08984375" style="531" customWidth="1"/>
    <col min="3" max="3" width="5" style="531" customWidth="1"/>
    <col min="4" max="9" width="6.453125" style="531" customWidth="1"/>
    <col min="10" max="10" width="4.90625" style="531" customWidth="1"/>
    <col min="11" max="13" width="6.453125" style="531" customWidth="1"/>
    <col min="14" max="14" width="6.36328125" style="531" customWidth="1"/>
    <col min="15" max="15" width="3.90625" style="531" customWidth="1"/>
    <col min="16" max="16" width="6.453125" style="531" customWidth="1"/>
    <col min="17" max="18" width="4.81640625" style="531" customWidth="1"/>
    <col min="19" max="20" width="4.453125" style="531" customWidth="1"/>
    <col min="21" max="22" width="3.90625" style="531" customWidth="1"/>
    <col min="23" max="23" width="6.6328125" style="531" customWidth="1"/>
    <col min="24" max="24" width="4.453125" style="531" customWidth="1"/>
    <col min="25" max="28" width="4.36328125" style="531" customWidth="1"/>
    <col min="29" max="29" width="3.90625" style="531" customWidth="1"/>
    <col min="30" max="30" width="4.6328125" style="531" customWidth="1"/>
    <col min="31" max="49" width="4.36328125" style="531" customWidth="1"/>
    <col min="50" max="50" width="5.08984375" style="531" customWidth="1"/>
    <col min="51" max="58" width="3.90625" style="531" customWidth="1"/>
    <col min="59" max="59" width="5.1796875" style="531" customWidth="1"/>
    <col min="60" max="68" width="3.90625" style="531" customWidth="1"/>
    <col min="69" max="69" width="3.90625" style="532" customWidth="1"/>
    <col min="70" max="70" width="6.453125" style="532" customWidth="1"/>
    <col min="71" max="71" width="3.81640625" style="532" customWidth="1"/>
    <col min="72" max="74" width="4.36328125" style="532" customWidth="1"/>
    <col min="75" max="75" width="4.36328125" style="531" customWidth="1"/>
    <col min="76" max="76" width="4.81640625" style="531" customWidth="1"/>
    <col min="77" max="77" width="4.36328125" style="531" customWidth="1"/>
    <col min="78" max="78" width="4.453125" style="531" customWidth="1"/>
    <col min="79" max="79" width="4.36328125" style="531" customWidth="1"/>
    <col min="80" max="80" width="4.81640625" style="531" customWidth="1"/>
    <col min="81" max="82" width="4.36328125" style="531" customWidth="1"/>
    <col min="83" max="83" width="4.81640625" style="531" customWidth="1"/>
    <col min="84" max="84" width="4.08984375" style="531" customWidth="1"/>
    <col min="85" max="85" width="4.90625" style="531" customWidth="1"/>
    <col min="86" max="86" width="3.90625" style="531" customWidth="1"/>
    <col min="87" max="87" width="5.453125" style="531" customWidth="1"/>
    <col min="88" max="88" width="3.90625" style="531" customWidth="1"/>
    <col min="89" max="94" width="4.08984375" style="531" customWidth="1"/>
    <col min="95" max="95" width="6.6328125" style="531" customWidth="1"/>
    <col min="96" max="97" width="4.453125" style="531" customWidth="1"/>
    <col min="98" max="98" width="4.08984375" style="531" customWidth="1"/>
    <col min="99" max="99" width="4.453125" style="531" customWidth="1"/>
    <col min="100" max="100" width="4.08984375" style="531" customWidth="1"/>
    <col min="101" max="101" width="6.453125" style="531" customWidth="1"/>
    <col min="102" max="102" width="4.1796875" style="531" customWidth="1"/>
    <col min="103" max="103" width="6.1796875" style="824" customWidth="1"/>
    <col min="104" max="104" width="4.453125" style="531" customWidth="1"/>
    <col min="105" max="105" width="3.90625" style="531" customWidth="1"/>
    <col min="106" max="106" width="4.81640625" style="531" customWidth="1"/>
    <col min="107" max="107" width="6.6328125" style="531" customWidth="1"/>
    <col min="108" max="108" width="4.453125" style="531" customWidth="1"/>
    <col min="109" max="109" width="4.08984375" style="531" customWidth="1"/>
    <col min="110" max="110" width="5.90625" style="531" customWidth="1"/>
    <col min="111" max="111" width="4.81640625" style="531" customWidth="1"/>
    <col min="112" max="112" width="4.08984375" style="531" customWidth="1"/>
    <col min="113" max="113" width="6.36328125" style="531" customWidth="1"/>
    <col min="114" max="114" width="4.08984375" style="531" customWidth="1"/>
    <col min="115" max="115" width="4.81640625" style="531" customWidth="1"/>
    <col min="116" max="116" width="5.81640625" style="531" customWidth="1"/>
    <col min="117" max="117" width="3.36328125" style="531" customWidth="1"/>
    <col min="118" max="118" width="5.81640625" style="531" customWidth="1"/>
    <col min="119" max="119" width="4.1796875" style="531" customWidth="1"/>
    <col min="120" max="124" width="4.36328125" style="531" customWidth="1"/>
    <col min="125" max="125" width="5.453125" style="531" customWidth="1"/>
    <col min="126" max="126" width="6" style="533" customWidth="1"/>
    <col min="127" max="16384" width="8.90625" style="531"/>
  </cols>
  <sheetData>
    <row r="2" spans="1:256" s="539" customFormat="1" ht="17.399999999999999">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684" t="s">
        <v>3944</v>
      </c>
      <c r="B4" s="2676" t="s">
        <v>3995</v>
      </c>
      <c r="C4" s="2676" t="s">
        <v>3790</v>
      </c>
      <c r="D4" s="2669" t="s">
        <v>1036</v>
      </c>
      <c r="E4" s="2669" t="s">
        <v>187</v>
      </c>
      <c r="F4" s="2669" t="s">
        <v>2027</v>
      </c>
      <c r="G4" s="2669" t="s">
        <v>2210</v>
      </c>
      <c r="H4" s="2669" t="s">
        <v>116</v>
      </c>
      <c r="I4" s="2669" t="s">
        <v>1153</v>
      </c>
      <c r="J4" s="2669" t="s">
        <v>1152</v>
      </c>
      <c r="K4" s="2669" t="s">
        <v>1151</v>
      </c>
      <c r="L4" s="2669" t="s">
        <v>2270</v>
      </c>
      <c r="M4" s="2669" t="s">
        <v>2269</v>
      </c>
      <c r="N4" s="2669" t="s">
        <v>2268</v>
      </c>
      <c r="O4" s="2669" t="s">
        <v>3798</v>
      </c>
      <c r="P4" s="2669" t="s">
        <v>3931</v>
      </c>
      <c r="Q4" s="2669" t="s">
        <v>3800</v>
      </c>
      <c r="R4" s="2671" t="s">
        <v>3998</v>
      </c>
      <c r="S4" s="2672"/>
      <c r="T4" s="2672"/>
      <c r="U4" s="2672"/>
      <c r="V4" s="2673"/>
      <c r="W4" s="2671" t="s">
        <v>3902</v>
      </c>
      <c r="X4" s="2672"/>
      <c r="Y4" s="2672"/>
      <c r="Z4" s="2672"/>
      <c r="AA4" s="2672"/>
      <c r="AB4" s="2672"/>
      <c r="AC4" s="2672"/>
      <c r="AD4" s="2672"/>
      <c r="AE4" s="2672"/>
      <c r="AF4" s="2672"/>
      <c r="AG4" s="2672"/>
      <c r="AH4" s="2672"/>
      <c r="AI4" s="2672"/>
      <c r="AJ4" s="2672"/>
      <c r="AK4" s="2672"/>
      <c r="AL4" s="2672"/>
      <c r="AM4" s="2672"/>
      <c r="AN4" s="2672"/>
      <c r="AO4" s="2672"/>
      <c r="AP4" s="2672"/>
      <c r="AQ4" s="2672"/>
      <c r="AR4" s="2672"/>
      <c r="AS4" s="2672"/>
      <c r="AT4" s="2672"/>
      <c r="AU4" s="2672"/>
      <c r="AV4" s="2673"/>
      <c r="AW4" s="945"/>
      <c r="AX4" s="948" t="s">
        <v>3802</v>
      </c>
      <c r="AY4" s="945"/>
      <c r="AZ4" s="945"/>
      <c r="BA4" s="945"/>
      <c r="BB4" s="945"/>
      <c r="BC4" s="945"/>
      <c r="BD4" s="945"/>
      <c r="BE4" s="945"/>
      <c r="BF4" s="945"/>
      <c r="BG4" s="945" t="s">
        <v>3905</v>
      </c>
      <c r="BH4" s="653"/>
      <c r="BI4" s="653"/>
      <c r="BJ4" s="653"/>
      <c r="BK4" s="653"/>
      <c r="BL4" s="653"/>
      <c r="BM4" s="653"/>
      <c r="BN4" s="653"/>
      <c r="BO4" s="653"/>
      <c r="BP4" s="653"/>
      <c r="BQ4" s="2669" t="s">
        <v>2393</v>
      </c>
      <c r="BR4" s="2669" t="s">
        <v>2398</v>
      </c>
      <c r="BS4" s="2669" t="s">
        <v>4586</v>
      </c>
      <c r="BT4" s="2669" t="s">
        <v>2393</v>
      </c>
      <c r="BU4" s="2669" t="s">
        <v>2399</v>
      </c>
      <c r="BV4" s="2669" t="s">
        <v>2400</v>
      </c>
      <c r="BW4" s="2676" t="s">
        <v>3948</v>
      </c>
      <c r="BX4" s="566" t="s">
        <v>2183</v>
      </c>
      <c r="BY4" s="577"/>
      <c r="BZ4" s="577"/>
      <c r="CA4" s="578"/>
      <c r="CB4" s="2681" t="s">
        <v>4003</v>
      </c>
      <c r="CC4" s="2681" t="s">
        <v>3950</v>
      </c>
      <c r="CD4" s="2681" t="s">
        <v>3951</v>
      </c>
      <c r="CE4" s="2681" t="s">
        <v>3952</v>
      </c>
      <c r="CF4" s="2681" t="s">
        <v>3953</v>
      </c>
      <c r="CG4" s="2681" t="s">
        <v>4070</v>
      </c>
      <c r="CH4" s="2678" t="s">
        <v>3955</v>
      </c>
      <c r="CI4" s="2679"/>
      <c r="CJ4" s="2679"/>
      <c r="CK4" s="2679"/>
      <c r="CL4" s="2679"/>
      <c r="CM4" s="2679"/>
      <c r="CN4" s="2679"/>
      <c r="CO4" s="2679"/>
      <c r="CP4" s="2679"/>
      <c r="CQ4" s="2679"/>
      <c r="CR4" s="2679"/>
      <c r="CS4" s="2679"/>
      <c r="CT4" s="2679"/>
      <c r="CU4" s="2680"/>
      <c r="CV4" s="2678" t="s">
        <v>3956</v>
      </c>
      <c r="CW4" s="2679"/>
      <c r="CX4" s="2679"/>
      <c r="CY4" s="2679"/>
      <c r="CZ4" s="2680"/>
      <c r="DA4" s="2678" t="s">
        <v>3957</v>
      </c>
      <c r="DB4" s="2679"/>
      <c r="DC4" s="2679"/>
      <c r="DD4" s="2680"/>
      <c r="DE4" s="2678" t="s">
        <v>2605</v>
      </c>
      <c r="DF4" s="2679"/>
      <c r="DG4" s="2679"/>
      <c r="DH4" s="2680"/>
      <c r="DI4" s="2678" t="s">
        <v>475</v>
      </c>
      <c r="DJ4" s="2680"/>
      <c r="DK4" s="2681" t="s">
        <v>4004</v>
      </c>
      <c r="DL4" s="2681" t="s">
        <v>3958</v>
      </c>
      <c r="DM4" s="2681" t="s">
        <v>3959</v>
      </c>
      <c r="DN4" s="2681" t="s">
        <v>3960</v>
      </c>
      <c r="DO4" s="2681" t="s">
        <v>2862</v>
      </c>
      <c r="DP4" s="2676" t="s">
        <v>4071</v>
      </c>
      <c r="DQ4" s="2676" t="s">
        <v>4582</v>
      </c>
      <c r="DR4" s="2676" t="s">
        <v>4583</v>
      </c>
      <c r="DS4" s="2676" t="s">
        <v>4584</v>
      </c>
      <c r="DT4" s="2676" t="s">
        <v>4007</v>
      </c>
      <c r="DU4" s="2676" t="s">
        <v>4160</v>
      </c>
      <c r="DV4" s="2674" t="s">
        <v>2610</v>
      </c>
    </row>
    <row r="5" spans="1:256" s="543" customFormat="1" ht="100.2">
      <c r="A5" s="2685"/>
      <c r="B5" s="2686"/>
      <c r="C5" s="2686"/>
      <c r="D5" s="2670"/>
      <c r="E5" s="2670"/>
      <c r="F5" s="2670"/>
      <c r="G5" s="2670"/>
      <c r="H5" s="2670"/>
      <c r="I5" s="2670"/>
      <c r="J5" s="2670"/>
      <c r="K5" s="2670"/>
      <c r="L5" s="2670"/>
      <c r="M5" s="2670"/>
      <c r="N5" s="2670"/>
      <c r="O5" s="2670"/>
      <c r="P5" s="2670"/>
      <c r="Q5" s="2670"/>
      <c r="R5" s="826" t="s">
        <v>301</v>
      </c>
      <c r="S5" s="826" t="s">
        <v>232</v>
      </c>
      <c r="T5" s="826" t="s">
        <v>185</v>
      </c>
      <c r="U5" s="826" t="s">
        <v>300</v>
      </c>
      <c r="V5" s="946" t="s">
        <v>4348</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70"/>
      <c r="BR5" s="2670"/>
      <c r="BS5" s="2670"/>
      <c r="BT5" s="2670"/>
      <c r="BU5" s="2670"/>
      <c r="BV5" s="2670"/>
      <c r="BW5" s="2677"/>
      <c r="BX5" s="826" t="s">
        <v>4010</v>
      </c>
      <c r="BY5" s="826" t="s">
        <v>4011</v>
      </c>
      <c r="BZ5" s="826" t="s">
        <v>3967</v>
      </c>
      <c r="CA5" s="826" t="s">
        <v>4580</v>
      </c>
      <c r="CB5" s="2682"/>
      <c r="CC5" s="2682"/>
      <c r="CD5" s="2682"/>
      <c r="CE5" s="2682"/>
      <c r="CF5" s="2682"/>
      <c r="CG5" s="2682"/>
      <c r="CH5" s="815" t="s">
        <v>3969</v>
      </c>
      <c r="CI5" s="815" t="s">
        <v>3974</v>
      </c>
      <c r="CJ5" s="815" t="s">
        <v>3970</v>
      </c>
      <c r="CK5" s="815" t="s">
        <v>4013</v>
      </c>
      <c r="CL5" s="815" t="s">
        <v>4014</v>
      </c>
      <c r="CM5" s="815" t="s">
        <v>4349</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4321</v>
      </c>
      <c r="CZ5" s="815" t="s">
        <v>3978</v>
      </c>
      <c r="DA5" s="815" t="s">
        <v>4075</v>
      </c>
      <c r="DB5" s="815" t="s">
        <v>4076</v>
      </c>
      <c r="DC5" s="815" t="s">
        <v>3981</v>
      </c>
      <c r="DD5" s="815" t="s">
        <v>3980</v>
      </c>
      <c r="DE5" s="815" t="s">
        <v>4077</v>
      </c>
      <c r="DF5" s="815" t="s">
        <v>4078</v>
      </c>
      <c r="DG5" s="815" t="s">
        <v>3984</v>
      </c>
      <c r="DH5" s="815" t="s">
        <v>3983</v>
      </c>
      <c r="DI5" s="815" t="s">
        <v>4161</v>
      </c>
      <c r="DJ5" s="815" t="s">
        <v>4581</v>
      </c>
      <c r="DK5" s="2682"/>
      <c r="DL5" s="2682"/>
      <c r="DM5" s="2682"/>
      <c r="DN5" s="2682"/>
      <c r="DO5" s="2682"/>
      <c r="DP5" s="2677"/>
      <c r="DQ5" s="2677"/>
      <c r="DR5" s="2677"/>
      <c r="DS5" s="2677"/>
      <c r="DT5" s="2677"/>
      <c r="DU5" s="2677"/>
      <c r="DV5" s="2675"/>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3.8"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t="s">
        <v>4799</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3.8">
      <c r="A9" s="1678" t="s">
        <v>5155</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3.8">
      <c r="A10" s="1678" t="s">
        <v>5156</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3.8">
      <c r="A11" s="1678" t="s">
        <v>5157</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3.8">
      <c r="A12" s="1678" t="s">
        <v>5158</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3.8">
      <c r="A13" s="1678" t="s">
        <v>5159</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3.8">
      <c r="A14" s="1678" t="s">
        <v>5160</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3.8">
      <c r="A15" s="1678" t="s">
        <v>5161</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3.8">
      <c r="A16" s="1678" t="s">
        <v>5162</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3.8">
      <c r="A17" s="1678" t="s">
        <v>5163</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3.8">
      <c r="A18" s="1678" t="s">
        <v>5164</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3.8">
      <c r="A19" s="1678" t="s">
        <v>5165</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3.8">
      <c r="A20" s="1678" t="s">
        <v>5166</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3.8">
      <c r="A21" s="1678" t="s">
        <v>5167</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3.8">
      <c r="A22" s="1678" t="s">
        <v>5168</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c r="A23" s="1678" t="s">
        <v>5169</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c r="A24" s="1678" t="s">
        <v>5170</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3.8">
      <c r="A25" s="1678" t="s">
        <v>5171</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3.8"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3.8"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3.8"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3.8"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3.8"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3.8"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3.8"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3.8"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3.8"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3.8"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3.8"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3.8"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3.8"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3.8"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3.8"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3.8"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3.8"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3.8"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3.8"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3.8"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3.8"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3.8"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3.8"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3.8"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3.8"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3.8"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3.8"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3.8"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3.8"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3.8"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3.8"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3.8"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3.8"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3.8"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3.8"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3.8"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3.8"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3.8"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3.8"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3.8"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3.8"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3.8"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3.8"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3.8"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3.8"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3.8"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3.8"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3.8"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3.8"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3.8"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3.8"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3.8"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3.8"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3.8"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3.8"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3.8"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3.8"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3.8"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3.8"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3.8"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3.8"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3.8"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3.8"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3.8"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3.8"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3.8"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3.8"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3.8"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3.8"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3.8"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3.8"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3.8"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3.8"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3.8"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3.8"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3.8"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3.8"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3.8"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3.8"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3.8"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3.8"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3.8"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3.8"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3.8"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3.8"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3.8"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3.8"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3.8"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3.8"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3.8"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3.8"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3.8"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3.8"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3.8"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3.8"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3.8"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3.8"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3.8"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3.8"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3.8"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3.8"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3.8"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3.8"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3.8"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3.8"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3.8"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3.8"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3.8"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3.8"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3.8"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3.8"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3.8"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3.8"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3.8"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5"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683" t="s">
        <v>4162</v>
      </c>
      <c r="B343" s="2683"/>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683" t="s">
        <v>4163</v>
      </c>
      <c r="B344" s="2683"/>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683" t="s">
        <v>4164</v>
      </c>
      <c r="B345" s="2683"/>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683" t="s">
        <v>4165</v>
      </c>
      <c r="B346" s="2683"/>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683" t="s">
        <v>4166</v>
      </c>
      <c r="B347" s="2683"/>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683" t="s">
        <v>4167</v>
      </c>
      <c r="B348" s="2683"/>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4169</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2" zoomScale="85" zoomScaleNormal="85" workbookViewId="0">
      <pane xSplit="1" topLeftCell="B1" activePane="topRight" state="frozen"/>
      <selection activeCell="A5" sqref="A5"/>
      <selection pane="topRight" activeCell="GP8" sqref="GP8"/>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6.90625" style="472" customWidth="1"/>
    <col min="23" max="24" width="3.90625" style="770" hidden="1" customWidth="1"/>
    <col min="25" max="25" width="4.81640625" style="770" hidden="1" customWidth="1"/>
    <col min="26"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81640625" style="770" hidden="1" customWidth="1"/>
    <col min="86" max="86" width="4.36328125" style="770" customWidth="1"/>
    <col min="87" max="91" width="4.36328125" style="770" hidden="1" customWidth="1"/>
    <col min="92" max="95" width="4.36328125" style="472" hidden="1" customWidth="1"/>
    <col min="96" max="97" width="4.36328125" style="472" customWidth="1"/>
    <col min="98" max="99" width="4.36328125" style="472" hidden="1" customWidth="1"/>
    <col min="100" max="101" width="4.36328125" style="472" customWidth="1"/>
    <col min="102" max="105" width="4.36328125" style="472" hidden="1" customWidth="1"/>
    <col min="106" max="106" width="4.36328125" style="472" customWidth="1"/>
    <col min="107" max="108" width="4.36328125" style="770" hidden="1" customWidth="1"/>
    <col min="109" max="110" width="4.36328125" style="770" customWidth="1"/>
    <col min="111" max="113" width="4.36328125" style="770" hidden="1" customWidth="1"/>
    <col min="114" max="114" width="4.36328125" style="770" customWidth="1"/>
    <col min="115" max="116" width="4.36328125" style="770" hidden="1" customWidth="1"/>
    <col min="117" max="117" width="4.36328125" style="770" customWidth="1"/>
    <col min="118" max="121" width="4.36328125" style="770" hidden="1" customWidth="1"/>
    <col min="122" max="128" width="4.36328125" style="472" hidden="1" customWidth="1"/>
    <col min="129" max="131" width="4.36328125" style="770" hidden="1" customWidth="1"/>
    <col min="132" max="132" width="4.36328125" style="771" customWidth="1"/>
    <col min="133" max="133" width="4.36328125" style="472" customWidth="1"/>
    <col min="134" max="136" width="4.36328125" style="472" hidden="1" customWidth="1"/>
    <col min="137" max="137" width="4.453125" style="472" customWidth="1"/>
    <col min="138" max="153" width="4.36328125" style="472" hidden="1" customWidth="1"/>
    <col min="154" max="156" width="4.36328125" style="472" customWidth="1"/>
    <col min="157" max="191" width="4.36328125" style="472" hidden="1" customWidth="1"/>
    <col min="192" max="192" width="4.36328125" style="770" hidden="1" customWidth="1"/>
    <col min="193" max="193" width="9.08984375" style="772" customWidth="1"/>
    <col min="194" max="195" width="4.453125" customWidth="1"/>
    <col min="196" max="196" width="4.453125" style="770" customWidth="1"/>
    <col min="197" max="16384" width="8.90625" style="770"/>
  </cols>
  <sheetData>
    <row r="1" spans="1:235" s="2270" customFormat="1" ht="69" customHeight="1" outlineLevel="1">
      <c r="A1" s="2270" t="str">
        <f t="shared" ref="A1" si="0">IF(LEN(A9)&gt;0,A9,A8)</f>
        <v>Số trụ</v>
      </c>
      <c r="B1" s="2272" t="str">
        <f t="shared" ref="B1:AD1" si="1">IF(LEN(B10)&gt;0,B10,IF(LEN(B9)&gt;0,B9,B8))</f>
        <v>AC50</v>
      </c>
      <c r="C1" s="2272" t="str">
        <f t="shared" si="1"/>
        <v>Cộng dồn 3ACXV50 + AC50</v>
      </c>
      <c r="D1" s="2272" t="str">
        <f t="shared" si="1"/>
        <v>Cộng dồn 2xAC50  thu hồi</v>
      </c>
      <c r="E1" s="2272" t="str">
        <f t="shared" si="1"/>
        <v>Cộng dồn 3xAC70+AC50</v>
      </c>
      <c r="F1" s="2272" t="str">
        <f t="shared" si="1"/>
        <v>Cộng dồn 3xAC95+AC50</v>
      </c>
      <c r="G1" s="2272" t="str">
        <f t="shared" si="1"/>
        <v>Cộng dồn 3xAC120+AC70</v>
      </c>
      <c r="H1" s="2272" t="str">
        <f t="shared" si="1"/>
        <v>Cộng dồn 3xAC150+AC95</v>
      </c>
      <c r="I1" s="2272" t="str">
        <f t="shared" si="1"/>
        <v>Cộng dồn 3xAC185+AC120</v>
      </c>
      <c r="J1" s="2272" t="str">
        <f t="shared" si="1"/>
        <v>Cộng dồn 3xAC240+AC150</v>
      </c>
      <c r="K1" s="2272" t="str">
        <f t="shared" si="1"/>
        <v>Cộng dồn 3CXV25+AC50</v>
      </c>
      <c r="L1" s="2272" t="str">
        <f t="shared" si="1"/>
        <v>Cộng dồn 3AXV50mm2+AC50mm2</v>
      </c>
      <c r="M1" s="2272" t="str">
        <f t="shared" si="1"/>
        <v>Cộng dồn 3AXV70+AC50</v>
      </c>
      <c r="N1" s="2272" t="str">
        <f t="shared" si="1"/>
        <v>Cộng dồn 3AXV95+AC50</v>
      </c>
      <c r="O1" s="2272" t="str">
        <f t="shared" si="1"/>
        <v>Cộng dồn 3AXV120+AC70</v>
      </c>
      <c r="P1" s="2272" t="str">
        <f t="shared" si="1"/>
        <v>Cộng dồn 3AXV185+AC120</v>
      </c>
      <c r="Q1" s="2272" t="str">
        <f t="shared" si="1"/>
        <v>Cộng dồn 3AXV240+AC150</v>
      </c>
      <c r="R1" s="2272" t="str">
        <f t="shared" si="1"/>
        <v>Cộng dồn C/XLPE/PVC25+M25</v>
      </c>
      <c r="S1" s="2272" t="str">
        <f t="shared" si="1"/>
        <v>Cộng dồn C/XLPE/PVC50+M25</v>
      </c>
      <c r="T1" s="2272" t="str">
        <f t="shared" si="1"/>
        <v>Hướng: T (trái), P (phải)</v>
      </c>
      <c r="U1" s="2272" t="str">
        <f t="shared" si="1"/>
        <v>góc (độ)</v>
      </c>
      <c r="V1" s="2272" t="str">
        <f t="shared" si="1"/>
        <v>Hình thức trụ</v>
      </c>
      <c r="W1" s="2272" t="str">
        <f t="shared" si="1"/>
        <v>BTLT HH</v>
      </c>
      <c r="X1" s="2272" t="str">
        <f t="shared" si="1"/>
        <v>BTLT 10.5</v>
      </c>
      <c r="Y1" s="2272" t="str">
        <f t="shared" si="1"/>
        <v>BTLT 12HH</v>
      </c>
      <c r="Z1" s="2272" t="str">
        <f t="shared" si="1"/>
        <v>BTLT 12</v>
      </c>
      <c r="AA1" s="2272" t="str">
        <f t="shared" si="1"/>
        <v>BTLT 12 TC</v>
      </c>
      <c r="AB1" s="2272" t="str">
        <f t="shared" si="1"/>
        <v>BTLT 14</v>
      </c>
      <c r="AC1" s="2272" t="str">
        <f t="shared" si="1"/>
        <v>BTLT 20</v>
      </c>
      <c r="AD1" s="2272" t="str">
        <f t="shared" si="1"/>
        <v>M8a</v>
      </c>
      <c r="AE1" s="2272" t="str">
        <f>IF(LEN(AE10)&gt;0,AE10,IF(LEN(AE9)&gt;0,AE9,AE8))</f>
        <v>M12</v>
      </c>
      <c r="AF1" s="2272" t="str">
        <f t="shared" ref="AF1:CQ1" si="2">IF(LEN(AF10)&gt;0,AF10,IF(LEN(AF9)&gt;0,AF9,AF8))</f>
        <v>M12a</v>
      </c>
      <c r="AG1" s="2272" t="str">
        <f t="shared" si="2"/>
        <v>M12b</v>
      </c>
      <c r="AH1" s="2272" t="str">
        <f t="shared" si="2"/>
        <v>M12aa</v>
      </c>
      <c r="AI1" s="2272" t="str">
        <f t="shared" si="2"/>
        <v>M12ba</v>
      </c>
      <c r="AJ1" s="2272" t="str">
        <f t="shared" si="2"/>
        <v>M12bb</v>
      </c>
      <c r="AK1" s="2272" t="str">
        <f t="shared" si="2"/>
        <v>M12-2a</v>
      </c>
      <c r="AL1" s="2272" t="str">
        <f t="shared" si="2"/>
        <v>M12-2b</v>
      </c>
      <c r="AM1" s="2272" t="str">
        <f t="shared" si="2"/>
        <v>M12-2bn</v>
      </c>
      <c r="AN1" s="2272" t="str">
        <f t="shared" si="2"/>
        <v>M12b-aa(hh)</v>
      </c>
      <c r="AO1" s="2272" t="str">
        <f t="shared" si="2"/>
        <v>M12 CN</v>
      </c>
      <c r="AP1" s="2272" t="str">
        <f t="shared" si="2"/>
        <v>M12 PĐ</v>
      </c>
      <c r="AQ1" s="2272" t="str">
        <f t="shared" si="2"/>
        <v>M12BT ĐƠN</v>
      </c>
      <c r="AR1" s="2272" t="str">
        <f t="shared" si="2"/>
        <v>M12BT P500</v>
      </c>
      <c r="AS1" s="2272" t="str">
        <f t="shared" si="2"/>
        <v>M12BT ĐÔI</v>
      </c>
      <c r="AT1" s="2272" t="str">
        <f t="shared" si="2"/>
        <v>M14</v>
      </c>
      <c r="AU1" s="2272" t="str">
        <f t="shared" si="2"/>
        <v>M14a</v>
      </c>
      <c r="AV1" s="2272" t="str">
        <f t="shared" si="2"/>
        <v>M14b</v>
      </c>
      <c r="AW1" s="2272" t="str">
        <f t="shared" si="2"/>
        <v>M14BT ĐƠN</v>
      </c>
      <c r="AX1" s="2272" t="str">
        <f t="shared" si="2"/>
        <v>M14aa</v>
      </c>
      <c r="AY1" s="2272" t="str">
        <f t="shared" si="2"/>
        <v>M14ba</v>
      </c>
      <c r="AZ1" s="2272" t="str">
        <f t="shared" si="2"/>
        <v>M14bb</v>
      </c>
      <c r="BA1" s="2272" t="str">
        <f t="shared" si="2"/>
        <v>M14-2a</v>
      </c>
      <c r="BB1" s="2272" t="str">
        <f t="shared" si="2"/>
        <v>M14-2b</v>
      </c>
      <c r="BC1" s="2272" t="str">
        <f t="shared" si="2"/>
        <v>M14-2bn</v>
      </c>
      <c r="BD1" s="2272" t="str">
        <f t="shared" si="2"/>
        <v>M14-4b</v>
      </c>
      <c r="BE1" s="2272" t="str">
        <f t="shared" si="2"/>
        <v>BTCL-14-500</v>
      </c>
      <c r="BF1" s="2272" t="str">
        <f t="shared" si="2"/>
        <v>M20-4b</v>
      </c>
      <c r="BG1" s="2272" t="str">
        <f t="shared" si="2"/>
        <v>CX10-B</v>
      </c>
      <c r="BH1" s="2272" t="str">
        <f t="shared" si="2"/>
        <v>CL10-B</v>
      </c>
      <c r="BI1" s="2272" t="str">
        <f t="shared" si="2"/>
        <v>CXX10-B</v>
      </c>
      <c r="BJ1" s="2272" t="str">
        <f t="shared" si="2"/>
        <v>CX12-B</v>
      </c>
      <c r="BK1" s="2272" t="str">
        <f t="shared" si="2"/>
        <v>CL12-B</v>
      </c>
      <c r="BL1" s="2272" t="str">
        <f t="shared" si="2"/>
        <v>CXX12-B</v>
      </c>
      <c r="BM1" s="2272" t="str">
        <f t="shared" si="2"/>
        <v>CX14-B</v>
      </c>
      <c r="BN1" s="2272" t="str">
        <f t="shared" si="2"/>
        <v>CL14-B</v>
      </c>
      <c r="BO1" s="2272" t="str">
        <f t="shared" si="2"/>
        <v>CXX14-B</v>
      </c>
      <c r="BP1" s="2272" t="str">
        <f t="shared" si="2"/>
        <v>CX20-B</v>
      </c>
      <c r="BQ1" s="2272" t="str">
        <f t="shared" si="2"/>
        <v>CK-B</v>
      </c>
      <c r="BR1" s="2272" t="str">
        <f t="shared" si="2"/>
        <v>CKK-B</v>
      </c>
      <c r="BS1" s="2272" t="str">
        <f t="shared" si="2"/>
        <v>Khoảng cách</v>
      </c>
      <c r="BT1" s="2272" t="str">
        <f t="shared" si="2"/>
        <v>NXX</v>
      </c>
      <c r="BU1" s="2272" t="str">
        <f t="shared" si="2"/>
        <v>NXL</v>
      </c>
      <c r="BV1" s="2272" t="str">
        <f t="shared" si="2"/>
        <v xml:space="preserve">MNX12-2 </v>
      </c>
      <c r="BW1" s="2272" t="str">
        <f t="shared" si="2"/>
        <v>MNL12-2</v>
      </c>
      <c r="BX1" s="2272" t="str">
        <f t="shared" si="2"/>
        <v xml:space="preserve">MNX12-4 </v>
      </c>
      <c r="BY1" s="2272" t="str">
        <f t="shared" si="2"/>
        <v xml:space="preserve">MNL12-4 </v>
      </c>
      <c r="BZ1" s="2272" t="str">
        <f t="shared" si="2"/>
        <v xml:space="preserve">MNX15-4 </v>
      </c>
      <c r="CA1" s="2272" t="str">
        <f t="shared" si="2"/>
        <v>MNL15-4</v>
      </c>
      <c r="CB1" s="2272" t="str">
        <f t="shared" si="2"/>
        <v xml:space="preserve">MNX15-6 </v>
      </c>
      <c r="CC1" s="2272" t="str">
        <f t="shared" si="2"/>
        <v xml:space="preserve">MNL15-6 </v>
      </c>
      <c r="CD1" s="2272" t="str">
        <f t="shared" si="2"/>
        <v xml:space="preserve">MNX18-6 </v>
      </c>
      <c r="CE1" s="2272" t="str">
        <f t="shared" si="2"/>
        <v xml:space="preserve">MNL18-6 </v>
      </c>
      <c r="CF1" s="2272" t="str">
        <f t="shared" si="2"/>
        <v>Tiếp địa lặp lại (trụ 10.5m)</v>
      </c>
      <c r="CG1" s="2272" t="str">
        <f t="shared" si="2"/>
        <v>Tiếp địa lặp lại (trụ 12m)</v>
      </c>
      <c r="CH1" s="2272" t="str">
        <f t="shared" si="2"/>
        <v>TDLL12BS</v>
      </c>
      <c r="CI1" s="2272" t="str">
        <f t="shared" si="2"/>
        <v>Tiếp địa mái tole</v>
      </c>
      <c r="CJ1" s="2272" t="str">
        <f t="shared" si="2"/>
        <v>Tiếp địa trụ đo đếm</v>
      </c>
      <c r="CK1" s="2272" t="str">
        <f t="shared" si="2"/>
        <v>Tiếp địa Recloser</v>
      </c>
      <c r="CL1" s="2272" t="str">
        <f t="shared" si="2"/>
        <v>Tiếp địa lặp lại (trụ 14m)</v>
      </c>
      <c r="CM1" s="2272" t="str">
        <f t="shared" si="2"/>
        <v>Tiếp địa lặp lại (trụ 20m)</v>
      </c>
      <c r="CN1" s="2272" t="str">
        <f t="shared" si="2"/>
        <v>X-20Đ</v>
      </c>
      <c r="CO1" s="2272" t="str">
        <f t="shared" si="2"/>
        <v>X-22K-Đ</v>
      </c>
      <c r="CP1" s="2272" t="str">
        <f t="shared" si="2"/>
        <v>X-22K-K</v>
      </c>
      <c r="CQ1" s="2272" t="str">
        <f t="shared" si="2"/>
        <v>X-22Đ</v>
      </c>
      <c r="CR1" s="2272" t="str">
        <f t="shared" ref="CR1:FC1" si="3">IF(LEN(CR10)&gt;0,CR10,IF(LEN(CR9)&gt;0,CR9,CR8))</f>
        <v>X-22K-Đ-C920</v>
      </c>
      <c r="CS1" s="2272" t="str">
        <f t="shared" si="3"/>
        <v>X-22K-K-C920</v>
      </c>
      <c r="CT1" s="2272" t="str">
        <f t="shared" si="3"/>
        <v>X-1,66K</v>
      </c>
      <c r="CU1" s="2272" t="str">
        <f t="shared" si="3"/>
        <v>X-1,66Đ</v>
      </c>
      <c r="CV1" s="2272" t="str">
        <f t="shared" si="3"/>
        <v>X-21KL</v>
      </c>
      <c r="CW1" s="2272" t="str">
        <f t="shared" si="3"/>
        <v>X-21ĐL</v>
      </c>
      <c r="CX1" s="2272" t="str">
        <f t="shared" si="3"/>
        <v>X-20ĐL2/3</v>
      </c>
      <c r="CY1" s="2272" t="str">
        <f t="shared" si="3"/>
        <v>X-20KL2/3</v>
      </c>
      <c r="CZ1" s="2272" t="str">
        <f t="shared" si="3"/>
        <v>X-24Đ</v>
      </c>
      <c r="DA1" s="2272" t="str">
        <f t="shared" si="3"/>
        <v>X-24KP500</v>
      </c>
      <c r="DB1" s="2272" t="str">
        <f t="shared" si="3"/>
        <v>X-24COMPOSITE</v>
      </c>
      <c r="DC1" s="2272" t="str">
        <f t="shared" si="3"/>
        <v>Bộ sứ đỉnh SĐI</v>
      </c>
      <c r="DD1" s="2272" t="str">
        <f t="shared" si="3"/>
        <v>Bộ sứ đỉnh SĐG</v>
      </c>
      <c r="DE1" s="2272" t="str">
        <f t="shared" si="3"/>
        <v>SĐU</v>
      </c>
      <c r="DF1" s="2272" t="str">
        <f t="shared" si="3"/>
        <v>CĐTply-X</v>
      </c>
      <c r="DG1" s="2272" t="str">
        <f t="shared" si="3"/>
        <v xml:space="preserve">Chuỗi Polymer lắp vào trụ CĐT </v>
      </c>
      <c r="DH1" s="2272" t="str">
        <f t="shared" si="3"/>
        <v>Ốc xiết cáp cỡ 25mm2</v>
      </c>
      <c r="DI1" s="2272" t="str">
        <f t="shared" si="3"/>
        <v>Ốc xiết cáp cỡ 50mm2</v>
      </c>
      <c r="DJ1" s="2272" t="str">
        <f t="shared" si="3"/>
        <v>Đth-U</v>
      </c>
      <c r="DK1" s="2272" t="str">
        <f t="shared" si="3"/>
        <v>Bộ đỡ dây T.H  trụ ghép: Đth-U-g</v>
      </c>
      <c r="DL1" s="2272" t="str">
        <f t="shared" si="3"/>
        <v>Bộ đỡ dây T.H : Đth-UX</v>
      </c>
      <c r="DM1" s="2272" t="str">
        <f t="shared" si="3"/>
        <v>Nth-T</v>
      </c>
      <c r="DN1" s="2272" t="str">
        <f t="shared" si="3"/>
        <v>Bộ néo dây T.H vao xa: Nth-X</v>
      </c>
      <c r="DO1" s="2272" t="str">
        <f t="shared" si="3"/>
        <v>Bộ khoá néo dây T.H vao xa: Nth- X</v>
      </c>
      <c r="DP1" s="2272" t="str">
        <f t="shared" si="3"/>
        <v>Bộ khóa néo T.H vào trụ : Nth-T-g</v>
      </c>
      <c r="DQ1" s="2272" t="str">
        <f t="shared" si="3"/>
        <v>Bộ khóa néo T.H vào trụ : Nth-T</v>
      </c>
      <c r="DR1" s="2272" t="str">
        <f t="shared" si="3"/>
        <v>Kẹp 2 rãnh cỡ dây 50mm2</v>
      </c>
      <c r="DS1" s="2272" t="str">
        <f t="shared" si="3"/>
        <v>Kẹp 2 rãnh cỡ dây 70mm2</v>
      </c>
      <c r="DT1" s="2272" t="str">
        <f t="shared" si="3"/>
        <v>Kẹp 2 rãnh cỡ dây 95mm2</v>
      </c>
      <c r="DU1" s="2272" t="str">
        <f t="shared" si="3"/>
        <v>Kẹp 2 rãnh cỡ dây 120mm2</v>
      </c>
      <c r="DV1" s="2272" t="str">
        <f t="shared" si="3"/>
        <v>Kẹp 2 rãnh cỡ dây 150mm2</v>
      </c>
      <c r="DW1" s="2272" t="str">
        <f t="shared" si="3"/>
        <v>Kẹp 2rãnh cỡ dây 185mm2</v>
      </c>
      <c r="DX1" s="2272" t="str">
        <f t="shared" si="3"/>
        <v>Kẹp 2rãnh cỡ dây 240mm2</v>
      </c>
      <c r="DY1" s="2272" t="str">
        <f t="shared" si="3"/>
        <v>Rack 2 sứ hạ thế + bulon</v>
      </c>
      <c r="DZ1" s="2272" t="str">
        <f t="shared" si="3"/>
        <v>Rack 3 sứ hạ thế + bulon</v>
      </c>
      <c r="EA1" s="2272" t="str">
        <f t="shared" si="3"/>
        <v>Rack 4 sứ hạ thế + bulon</v>
      </c>
      <c r="EB1" s="2272" t="str">
        <f t="shared" si="3"/>
        <v xml:space="preserve">KQ2/0 </v>
      </c>
      <c r="EC1" s="2272" t="str">
        <f t="shared" si="3"/>
        <v>KH2/0</v>
      </c>
      <c r="ED1" s="2272" t="str">
        <f t="shared" si="3"/>
        <v xml:space="preserve">KQ4/0 </v>
      </c>
      <c r="EE1" s="2272" t="str">
        <f t="shared" si="3"/>
        <v>KH4/0</v>
      </c>
      <c r="EF1" s="2272" t="str">
        <f t="shared" si="3"/>
        <v>Kẹp ép cỡ 35mm2</v>
      </c>
      <c r="EG1" s="2272" t="str">
        <f t="shared" si="3"/>
        <v>ke50</v>
      </c>
      <c r="EH1" s="2272" t="str">
        <f t="shared" si="3"/>
        <v>Kẹp ép cỡ 70mm2</v>
      </c>
      <c r="EI1" s="2272" t="str">
        <f t="shared" si="3"/>
        <v>Kẹp ép cỡ 95mm2</v>
      </c>
      <c r="EJ1" s="2272" t="str">
        <f t="shared" si="3"/>
        <v>ke120</v>
      </c>
      <c r="EK1" s="2272" t="str">
        <f t="shared" si="3"/>
        <v>ke150</v>
      </c>
      <c r="EL1" s="2272" t="str">
        <f t="shared" si="3"/>
        <v>Kẹp ép cỡ 185mm2</v>
      </c>
      <c r="EM1" s="2272" t="str">
        <f t="shared" si="3"/>
        <v>Kẹp ép cỡ 240mm2</v>
      </c>
      <c r="EN1" s="2272" t="str">
        <f t="shared" si="3"/>
        <v>Kẹp APC 2 rảnh</v>
      </c>
      <c r="EO1" s="2272" t="str">
        <f t="shared" si="3"/>
        <v>Đầu cốt ép cỡ dây 50mm2</v>
      </c>
      <c r="EP1" s="2272" t="str">
        <f t="shared" si="3"/>
        <v>Đầu cốt ép cỡ dây 95mm2</v>
      </c>
      <c r="EQ1" s="2272" t="str">
        <f t="shared" si="3"/>
        <v>Đầu cốt ép cỡ dây 120mm2</v>
      </c>
      <c r="ER1" s="2272" t="str">
        <f t="shared" si="3"/>
        <v>Đầu cốt ép cỡ dây 150mm2</v>
      </c>
      <c r="ES1" s="2272" t="str">
        <f t="shared" si="3"/>
        <v>Đầu cốt ép cỡ dây 185mm2</v>
      </c>
      <c r="ET1" s="2272" t="str">
        <f t="shared" si="3"/>
        <v>Đầu cốt ép cỡ dây 240mm2</v>
      </c>
      <c r="EU1" s="2272" t="str">
        <f t="shared" si="3"/>
        <v>LBFCO100</v>
      </c>
      <c r="EV1" s="2272" t="str">
        <f t="shared" si="3"/>
        <v>LBFCO200</v>
      </c>
      <c r="EW1" s="2272" t="str">
        <f t="shared" si="3"/>
        <v>FCO200</v>
      </c>
      <c r="EX1" s="2272" t="str">
        <f t="shared" si="3"/>
        <v>FCO100-22</v>
      </c>
      <c r="EY1" s="2272" t="str">
        <f t="shared" si="3"/>
        <v>ssf50</v>
      </c>
      <c r="EZ1" s="2272" t="str">
        <f t="shared" si="3"/>
        <v>ttf50</v>
      </c>
      <c r="FA1" s="2272" t="str">
        <f t="shared" si="3"/>
        <v>BMOC16300</v>
      </c>
      <c r="FB1" s="2272" t="str">
        <f t="shared" si="3"/>
        <v>KNGUNG95</v>
      </c>
      <c r="FC1" s="2272" t="str">
        <f t="shared" si="3"/>
        <v>Ống co nhiệt ф65/25</v>
      </c>
      <c r="FD1" s="2272" t="str">
        <f t="shared" ref="FD1:GJ1" si="4">IF(LEN(FD10)&gt;0,FD10,IF(LEN(FD9)&gt;0,FD9,FD8))</f>
        <v>DS3p</v>
      </c>
      <c r="FE1" s="2272" t="str">
        <f t="shared" si="4"/>
        <v>LBS</v>
      </c>
      <c r="FF1" s="2272" t="str">
        <f t="shared" si="4"/>
        <v>LTD</v>
      </c>
      <c r="FG1" s="2272" t="str">
        <f t="shared" si="4"/>
        <v>LA 12kV 10kA</v>
      </c>
      <c r="FH1" s="2272" t="str">
        <f t="shared" si="4"/>
        <v>LA 18kV 10kA</v>
      </c>
      <c r="FI1" s="2272" t="str">
        <f t="shared" si="4"/>
        <v>Tháo sứ đứng</v>
      </c>
      <c r="FJ1" s="2272" t="str">
        <f t="shared" si="4"/>
        <v>Tháo sứ đỉnh thẳng</v>
      </c>
      <c r="FK1" s="2272" t="str">
        <f t="shared" si="4"/>
        <v>Tháo sứ đỉnh góc</v>
      </c>
      <c r="FL1" s="2272" t="str">
        <f t="shared" si="4"/>
        <v>Tháo và lắp sứ thủy tinh 2 bát</v>
      </c>
      <c r="FM1" s="2272" t="str">
        <f t="shared" si="4"/>
        <v>Tháo và lắp sứ treo Polymer</v>
      </c>
      <c r="FN1" s="2272" t="str">
        <f t="shared" si="4"/>
        <v>Tháo và lắp Ulevit và sứ ống chỉ</v>
      </c>
      <c r="FO1" s="2272" t="str">
        <f t="shared" si="4"/>
        <v>Tháo và lắp sứ đứng + chân sứ</v>
      </c>
      <c r="FP1" s="2272" t="str">
        <f t="shared" si="4"/>
        <v>Tháo và lắp rack 2 sứ</v>
      </c>
      <c r="FQ1" s="2272" t="str">
        <f t="shared" si="4"/>
        <v>Tháo và lắp rack 3 sứ</v>
      </c>
      <c r="FR1" s="2272" t="str">
        <f t="shared" si="4"/>
        <v>Tháo và lắp rack 4 sứ</v>
      </c>
      <c r="FS1" s="2272" t="str">
        <f t="shared" si="4"/>
        <v>Tháo bộ chằng xuống đơn CX-12B</v>
      </c>
      <c r="FT1" s="2272" t="str">
        <f t="shared" si="4"/>
        <v>Tháo bộ chằng lệch đơn CL-12B</v>
      </c>
      <c r="FU1" s="2272" t="str">
        <f t="shared" si="4"/>
        <v>Tháo bộ chằng lệch hạ thế</v>
      </c>
      <c r="FV1" s="2272" t="str">
        <f t="shared" si="4"/>
        <v>Nhổ và trồng trụ 12m</v>
      </c>
      <c r="FW1" s="2272" t="str">
        <f t="shared" si="4"/>
        <v>Nhổ thu hồi trụ 10,5m</v>
      </c>
      <c r="FX1" s="2272" t="str">
        <f t="shared" si="4"/>
        <v>Nhổ và trồng trụ 8,4m</v>
      </c>
      <c r="FY1" s="2272" t="str">
        <f t="shared" si="4"/>
        <v>Nhổ trụ 8,4m</v>
      </c>
      <c r="FZ1" s="2272" t="str">
        <f t="shared" si="4"/>
        <v>Tháo thu hồi giá đỡ FCO</v>
      </c>
      <c r="GA1" s="2272" t="str">
        <f t="shared" si="4"/>
        <v>Tháo và lắp giá đỡ FCO</v>
      </c>
      <c r="GB1" s="2272" t="str">
        <f t="shared" si="4"/>
        <v>Tháo FCO</v>
      </c>
      <c r="GC1" s="2272" t="str">
        <f t="shared" si="4"/>
        <v>Tháo và lắp FCO</v>
      </c>
      <c r="GD1" s="2272" t="str">
        <f t="shared" si="4"/>
        <v>Tháo và lắp LA</v>
      </c>
      <c r="GE1" s="2272" t="str">
        <f t="shared" si="4"/>
        <v>Tháo lắp  TU</v>
      </c>
      <c r="GF1" s="2272" t="str">
        <f t="shared" si="4"/>
        <v>Tháo và lắp xà X-2.6K trụ PI</v>
      </c>
      <c r="GG1" s="2272" t="str">
        <f t="shared" si="4"/>
        <v>Tháo và lắp xà X-2.1K</v>
      </c>
      <c r="GH1" s="2272" t="str">
        <f t="shared" si="4"/>
        <v>Tháo lắp MBA 1 pha 50kVA</v>
      </c>
      <c r="GI1" s="2272" t="str">
        <f t="shared" si="4"/>
        <v>Tháo lắp MBA 1 pha 75kVA</v>
      </c>
      <c r="GJ1" s="2272" t="str">
        <f t="shared" si="4"/>
        <v>Vị trí vượt đường</v>
      </c>
      <c r="GK1" s="2270" t="str">
        <f t="shared" ref="GK1" si="5">IF(LEN(GK9)&gt;0,GK9,GK8)</f>
        <v>GHI CHÚ</v>
      </c>
      <c r="GL1" s="2271" t="s">
        <v>1492</v>
      </c>
      <c r="GM1" s="2271" t="s">
        <v>699</v>
      </c>
      <c r="GN1" s="2270" t="s">
        <v>550</v>
      </c>
      <c r="GO1" s="2270" t="s">
        <v>4372</v>
      </c>
      <c r="GP1" s="2270" t="s">
        <v>4765</v>
      </c>
      <c r="GQ1" s="2270" t="s">
        <v>4762</v>
      </c>
    </row>
    <row r="2" spans="1:235" ht="18.899999999999999" customHeight="1" outlineLevel="1">
      <c r="A2" s="770" t="s">
        <v>4408</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899999999999999"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899999999999999"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7" customFormat="1" ht="24.75" customHeight="1">
      <c r="A6" s="1965" t="str">
        <f>CT_tram!D20</f>
        <v>Công trình: Gói Thầu Số 07 (Xây Dựng): Hệ thống pano, đèn led trang trí, camera an ninh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6"/>
      <c r="GM6" s="1966"/>
      <c r="GV6" s="1968"/>
      <c r="GW6" s="1968"/>
      <c r="GX6" s="1968"/>
      <c r="GY6" s="1968"/>
      <c r="GZ6" s="1968"/>
      <c r="HA6" s="1968"/>
      <c r="HB6" s="1968"/>
      <c r="HC6" s="1968"/>
      <c r="HD6" s="1968"/>
      <c r="HE6" s="1968"/>
      <c r="HF6" s="1968"/>
      <c r="HG6" s="1968"/>
      <c r="HH6" s="1968"/>
      <c r="HI6" s="1968"/>
      <c r="HJ6" s="1968"/>
      <c r="HK6" s="1968"/>
      <c r="HL6" s="1968"/>
      <c r="HM6" s="1968"/>
      <c r="HN6" s="1968"/>
      <c r="HO6" s="1968"/>
      <c r="HP6" s="1968"/>
      <c r="HQ6" s="1968"/>
      <c r="HR6" s="1968"/>
      <c r="HS6" s="1968"/>
      <c r="HT6" s="1968"/>
      <c r="HU6" s="1968"/>
      <c r="HV6" s="1968"/>
      <c r="HW6" s="1968"/>
      <c r="HX6" s="1968"/>
      <c r="HY6" s="1968"/>
      <c r="HZ6" s="1968"/>
      <c r="IA6" s="1968"/>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709" t="s">
        <v>3789</v>
      </c>
      <c r="B8" s="2687" t="s">
        <v>3790</v>
      </c>
      <c r="C8" s="2702" t="s">
        <v>4360</v>
      </c>
      <c r="D8" s="2702" t="s">
        <v>4081</v>
      </c>
      <c r="E8" s="2702" t="s">
        <v>4082</v>
      </c>
      <c r="F8" s="2702" t="s">
        <v>4083</v>
      </c>
      <c r="G8" s="2702" t="s">
        <v>4084</v>
      </c>
      <c r="H8" s="2702" t="s">
        <v>4085</v>
      </c>
      <c r="I8" s="2702" t="s">
        <v>4086</v>
      </c>
      <c r="J8" s="2702" t="s">
        <v>4087</v>
      </c>
      <c r="K8" s="2702" t="s">
        <v>4088</v>
      </c>
      <c r="L8" s="2702" t="s">
        <v>4089</v>
      </c>
      <c r="M8" s="2702" t="s">
        <v>4090</v>
      </c>
      <c r="N8" s="2702" t="s">
        <v>4091</v>
      </c>
      <c r="O8" s="2702" t="s">
        <v>4092</v>
      </c>
      <c r="P8" s="2702" t="s">
        <v>4093</v>
      </c>
      <c r="Q8" s="2702" t="s">
        <v>4094</v>
      </c>
      <c r="R8" s="2702" t="s">
        <v>4095</v>
      </c>
      <c r="S8" s="2702" t="s">
        <v>4096</v>
      </c>
      <c r="T8" s="2687" t="s">
        <v>4097</v>
      </c>
      <c r="U8" s="2687" t="s">
        <v>4098</v>
      </c>
      <c r="V8" s="2687" t="s">
        <v>3800</v>
      </c>
      <c r="W8" s="2705" t="s">
        <v>2285</v>
      </c>
      <c r="X8" s="2705"/>
      <c r="Y8" s="2705"/>
      <c r="Z8" s="2705"/>
      <c r="AA8" s="2705"/>
      <c r="AB8" s="2705"/>
      <c r="AC8" s="2705"/>
      <c r="AD8" s="2712"/>
      <c r="AE8" s="2712"/>
      <c r="AF8" s="2712"/>
      <c r="AG8" s="2712"/>
      <c r="AH8" s="2712"/>
      <c r="AI8" s="2712"/>
      <c r="AJ8" s="2712"/>
      <c r="AK8" s="2712"/>
      <c r="AL8" s="2712"/>
      <c r="AM8" s="2712"/>
      <c r="AN8" s="2712"/>
      <c r="AO8" s="2712"/>
      <c r="AP8" s="2712"/>
      <c r="AQ8" s="2712"/>
      <c r="AR8" s="2712"/>
      <c r="AS8" s="2712"/>
      <c r="AT8" s="2712"/>
      <c r="AU8" s="2712"/>
      <c r="AV8" s="2712"/>
      <c r="AW8" s="2712"/>
      <c r="AX8" s="2712"/>
      <c r="AY8" s="2712"/>
      <c r="AZ8" s="2712"/>
      <c r="BA8" s="2712"/>
      <c r="BB8" s="2712"/>
      <c r="BC8" s="2712"/>
      <c r="BD8" s="2712"/>
      <c r="BE8" s="2712"/>
      <c r="BF8" s="2713"/>
      <c r="BG8" s="2704" t="s">
        <v>3802</v>
      </c>
      <c r="BH8" s="2704"/>
      <c r="BI8" s="2704"/>
      <c r="BJ8" s="2704"/>
      <c r="BK8" s="2704"/>
      <c r="BL8" s="2704"/>
      <c r="BM8" s="2704"/>
      <c r="BN8" s="2704"/>
      <c r="BO8" s="2704"/>
      <c r="BP8" s="2704"/>
      <c r="BQ8" s="2704"/>
      <c r="BR8" s="2704"/>
      <c r="BS8" s="2704"/>
      <c r="BT8" s="2705" t="s">
        <v>3803</v>
      </c>
      <c r="BU8" s="2705"/>
      <c r="BV8" s="2705"/>
      <c r="BW8" s="2705"/>
      <c r="BX8" s="2705"/>
      <c r="BY8" s="2705"/>
      <c r="BZ8" s="2705"/>
      <c r="CA8" s="2705"/>
      <c r="CB8" s="2705"/>
      <c r="CC8" s="2705"/>
      <c r="CD8" s="2705"/>
      <c r="CE8" s="2705"/>
      <c r="CF8" s="2691" t="s">
        <v>2399</v>
      </c>
      <c r="CG8" s="2691" t="s">
        <v>2400</v>
      </c>
      <c r="CH8" s="2691" t="s">
        <v>2401</v>
      </c>
      <c r="CI8" s="2691" t="s">
        <v>2405</v>
      </c>
      <c r="CJ8" s="2691" t="s">
        <v>2406</v>
      </c>
      <c r="CK8" s="2691" t="s">
        <v>4099</v>
      </c>
      <c r="CL8" s="2691" t="s">
        <v>2403</v>
      </c>
      <c r="CM8" s="2691" t="s">
        <v>2404</v>
      </c>
      <c r="CN8" s="2707" t="s">
        <v>4100</v>
      </c>
      <c r="CO8" s="2704"/>
      <c r="CP8" s="2707"/>
      <c r="CQ8" s="2708"/>
      <c r="CR8" s="2708"/>
      <c r="CS8" s="2708"/>
      <c r="CT8" s="2708"/>
      <c r="CU8" s="2708"/>
      <c r="CV8" s="2708"/>
      <c r="CW8" s="2708"/>
      <c r="CX8" s="2704"/>
      <c r="CY8" s="2704"/>
      <c r="CZ8" s="2708"/>
      <c r="DA8" s="2708"/>
      <c r="DB8" s="2707"/>
      <c r="DC8" s="2687" t="s">
        <v>3907</v>
      </c>
      <c r="DD8" s="2687" t="s">
        <v>3908</v>
      </c>
      <c r="DE8" s="2689" t="s">
        <v>3909</v>
      </c>
      <c r="DF8" s="2689" t="s">
        <v>4101</v>
      </c>
      <c r="DG8" s="2689" t="s">
        <v>4102</v>
      </c>
      <c r="DH8" s="2687" t="s">
        <v>3604</v>
      </c>
      <c r="DI8" s="2687" t="s">
        <v>4103</v>
      </c>
      <c r="DJ8" s="2689" t="s">
        <v>3810</v>
      </c>
      <c r="DK8" s="2687" t="s">
        <v>4104</v>
      </c>
      <c r="DL8" s="2687" t="s">
        <v>3811</v>
      </c>
      <c r="DM8" s="2689" t="s">
        <v>3812</v>
      </c>
      <c r="DN8" s="2687" t="s">
        <v>4633</v>
      </c>
      <c r="DO8" s="2687" t="s">
        <v>4567</v>
      </c>
      <c r="DP8" s="2687" t="s">
        <v>4105</v>
      </c>
      <c r="DQ8" s="2687" t="s">
        <v>4106</v>
      </c>
      <c r="DR8" s="2691" t="s">
        <v>4107</v>
      </c>
      <c r="DS8" s="2691" t="s">
        <v>4108</v>
      </c>
      <c r="DT8" s="2691" t="s">
        <v>4109</v>
      </c>
      <c r="DU8" s="2691" t="s">
        <v>4110</v>
      </c>
      <c r="DV8" s="2691" t="s">
        <v>4111</v>
      </c>
      <c r="DW8" s="2691" t="s">
        <v>4112</v>
      </c>
      <c r="DX8" s="2691" t="s">
        <v>4113</v>
      </c>
      <c r="DY8" s="2687" t="s">
        <v>4114</v>
      </c>
      <c r="DZ8" s="2687" t="s">
        <v>4115</v>
      </c>
      <c r="EA8" s="2687" t="s">
        <v>4116</v>
      </c>
      <c r="EB8" s="2687" t="s">
        <v>4634</v>
      </c>
      <c r="EC8" s="2687" t="s">
        <v>1739</v>
      </c>
      <c r="ED8" s="2687" t="s">
        <v>2901</v>
      </c>
      <c r="EE8" s="2687" t="s">
        <v>406</v>
      </c>
      <c r="EF8" s="2687" t="s">
        <v>4117</v>
      </c>
      <c r="EG8" s="2693" t="s">
        <v>3816</v>
      </c>
      <c r="EH8" s="2687" t="s">
        <v>3817</v>
      </c>
      <c r="EI8" s="2687" t="s">
        <v>4118</v>
      </c>
      <c r="EJ8" s="2687" t="s">
        <v>3818</v>
      </c>
      <c r="EK8" s="2687" t="s">
        <v>3819</v>
      </c>
      <c r="EL8" s="2687" t="s">
        <v>4119</v>
      </c>
      <c r="EM8" s="2687" t="s">
        <v>4120</v>
      </c>
      <c r="EN8" s="2687" t="s">
        <v>4121</v>
      </c>
      <c r="EO8" s="2691" t="s">
        <v>3821</v>
      </c>
      <c r="EP8" s="2691" t="s">
        <v>3823</v>
      </c>
      <c r="EQ8" s="2691" t="s">
        <v>3824</v>
      </c>
      <c r="ER8" s="2691" t="s">
        <v>3825</v>
      </c>
      <c r="ES8" s="2691" t="s">
        <v>3826</v>
      </c>
      <c r="ET8" s="2691" t="s">
        <v>3827</v>
      </c>
      <c r="EU8" s="2691" t="s">
        <v>1736</v>
      </c>
      <c r="EV8" s="2691" t="s">
        <v>1380</v>
      </c>
      <c r="EW8" s="2691" t="s">
        <v>675</v>
      </c>
      <c r="EX8" s="2691" t="s">
        <v>1904</v>
      </c>
      <c r="EY8" s="2700" t="s">
        <v>4671</v>
      </c>
      <c r="EZ8" s="2700" t="s">
        <v>4672</v>
      </c>
      <c r="FA8" s="2697" t="s">
        <v>4807</v>
      </c>
      <c r="FB8" s="2697" t="s">
        <v>4808</v>
      </c>
      <c r="FC8" s="2697" t="s">
        <v>4809</v>
      </c>
      <c r="FD8" s="2697" t="s">
        <v>1927</v>
      </c>
      <c r="FE8" s="2691" t="s">
        <v>394</v>
      </c>
      <c r="FF8" s="2691" t="s">
        <v>790</v>
      </c>
      <c r="FG8" s="2691" t="s">
        <v>1196</v>
      </c>
      <c r="FH8" s="2691" t="s">
        <v>1195</v>
      </c>
      <c r="FI8" s="2687" t="s">
        <v>2557</v>
      </c>
      <c r="FJ8" s="2687" t="s">
        <v>4122</v>
      </c>
      <c r="FK8" s="2687" t="s">
        <v>4123</v>
      </c>
      <c r="FL8" s="2687" t="s">
        <v>4124</v>
      </c>
      <c r="FM8" s="2687" t="s">
        <v>4125</v>
      </c>
      <c r="FN8" s="2687" t="s">
        <v>4126</v>
      </c>
      <c r="FO8" s="2687" t="s">
        <v>3923</v>
      </c>
      <c r="FP8" s="2687" t="s">
        <v>4127</v>
      </c>
      <c r="FQ8" s="2687" t="s">
        <v>4128</v>
      </c>
      <c r="FR8" s="2687" t="s">
        <v>4129</v>
      </c>
      <c r="FS8" s="2687" t="s">
        <v>4130</v>
      </c>
      <c r="FT8" s="2687" t="s">
        <v>4131</v>
      </c>
      <c r="FU8" s="2687" t="s">
        <v>4132</v>
      </c>
      <c r="FV8" s="2687" t="s">
        <v>4133</v>
      </c>
      <c r="FW8" s="2687" t="s">
        <v>4134</v>
      </c>
      <c r="FX8" s="2687" t="s">
        <v>2414</v>
      </c>
      <c r="FY8" s="2687" t="s">
        <v>2411</v>
      </c>
      <c r="FZ8" s="2687" t="s">
        <v>4135</v>
      </c>
      <c r="GA8" s="2687" t="s">
        <v>4136</v>
      </c>
      <c r="GB8" s="2687" t="s">
        <v>4137</v>
      </c>
      <c r="GC8" s="2687" t="s">
        <v>4138</v>
      </c>
      <c r="GD8" s="2687" t="s">
        <v>3853</v>
      </c>
      <c r="GE8" s="2687" t="s">
        <v>4139</v>
      </c>
      <c r="GF8" s="2687" t="s">
        <v>4140</v>
      </c>
      <c r="GG8" s="2687" t="s">
        <v>4141</v>
      </c>
      <c r="GH8" s="2687" t="s">
        <v>4142</v>
      </c>
      <c r="GI8" s="2687" t="s">
        <v>4143</v>
      </c>
      <c r="GJ8" s="2691" t="s">
        <v>3941</v>
      </c>
      <c r="GK8" s="2695"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710"/>
      <c r="B9" s="2711"/>
      <c r="C9" s="2703"/>
      <c r="D9" s="2703"/>
      <c r="E9" s="2703"/>
      <c r="F9" s="2703"/>
      <c r="G9" s="2703"/>
      <c r="H9" s="2703"/>
      <c r="I9" s="2703"/>
      <c r="J9" s="2703"/>
      <c r="K9" s="2703"/>
      <c r="L9" s="2703"/>
      <c r="M9" s="2703"/>
      <c r="N9" s="2703"/>
      <c r="O9" s="2703"/>
      <c r="P9" s="2703"/>
      <c r="Q9" s="2703"/>
      <c r="R9" s="2703"/>
      <c r="S9" s="2706"/>
      <c r="T9" s="2688"/>
      <c r="U9" s="2688"/>
      <c r="V9" s="2688"/>
      <c r="W9" s="1027" t="s">
        <v>2265</v>
      </c>
      <c r="X9" s="1027" t="s">
        <v>300</v>
      </c>
      <c r="Y9" s="1027" t="s">
        <v>4566</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699"/>
      <c r="CG9" s="2699"/>
      <c r="CH9" s="2699"/>
      <c r="CI9" s="2699"/>
      <c r="CJ9" s="2699"/>
      <c r="CK9" s="2699"/>
      <c r="CL9" s="2699"/>
      <c r="CM9" s="2699"/>
      <c r="CN9" s="1028" t="s">
        <v>2299</v>
      </c>
      <c r="CO9" s="1028" t="s">
        <v>2303</v>
      </c>
      <c r="CP9" s="1028" t="s">
        <v>533</v>
      </c>
      <c r="CQ9" s="1028" t="s">
        <v>2302</v>
      </c>
      <c r="CR9" s="2265" t="s">
        <v>4864</v>
      </c>
      <c r="CS9" s="2265" t="s">
        <v>4865</v>
      </c>
      <c r="CT9" s="1028" t="s">
        <v>1296</v>
      </c>
      <c r="CU9" s="1028" t="s">
        <v>2317</v>
      </c>
      <c r="CV9" s="1028" t="s">
        <v>895</v>
      </c>
      <c r="CW9" s="1028" t="s">
        <v>2300</v>
      </c>
      <c r="CX9" s="1028" t="s">
        <v>2301</v>
      </c>
      <c r="CY9" s="1028" t="s">
        <v>2127</v>
      </c>
      <c r="CZ9" s="1028" t="s">
        <v>2304</v>
      </c>
      <c r="DA9" s="1028" t="s">
        <v>1874</v>
      </c>
      <c r="DB9" s="1028" t="s">
        <v>896</v>
      </c>
      <c r="DC9" s="2688"/>
      <c r="DD9" s="2688"/>
      <c r="DE9" s="2690"/>
      <c r="DF9" s="2690"/>
      <c r="DG9" s="2690"/>
      <c r="DH9" s="2688"/>
      <c r="DI9" s="2688"/>
      <c r="DJ9" s="2690"/>
      <c r="DK9" s="2688"/>
      <c r="DL9" s="2688"/>
      <c r="DM9" s="2690"/>
      <c r="DN9" s="2688"/>
      <c r="DO9" s="2688"/>
      <c r="DP9" s="2688"/>
      <c r="DQ9" s="2688"/>
      <c r="DR9" s="2692"/>
      <c r="DS9" s="2692"/>
      <c r="DT9" s="2692"/>
      <c r="DU9" s="2692"/>
      <c r="DV9" s="2692"/>
      <c r="DW9" s="2692"/>
      <c r="DX9" s="2692"/>
      <c r="DY9" s="2688"/>
      <c r="DZ9" s="2688"/>
      <c r="EA9" s="2688"/>
      <c r="EB9" s="2688"/>
      <c r="EC9" s="2688"/>
      <c r="ED9" s="2688"/>
      <c r="EE9" s="2688"/>
      <c r="EF9" s="2688"/>
      <c r="EG9" s="2694"/>
      <c r="EH9" s="2688"/>
      <c r="EI9" s="2688"/>
      <c r="EJ9" s="2688"/>
      <c r="EK9" s="2688"/>
      <c r="EL9" s="2688"/>
      <c r="EM9" s="2688"/>
      <c r="EN9" s="2688"/>
      <c r="EO9" s="2692"/>
      <c r="EP9" s="2692"/>
      <c r="EQ9" s="2692"/>
      <c r="ER9" s="2692"/>
      <c r="ES9" s="2692"/>
      <c r="ET9" s="2692"/>
      <c r="EU9" s="2692"/>
      <c r="EV9" s="2692"/>
      <c r="EW9" s="2692"/>
      <c r="EX9" s="2692"/>
      <c r="EY9" s="2701"/>
      <c r="EZ9" s="2701"/>
      <c r="FA9" s="2698"/>
      <c r="FB9" s="2698"/>
      <c r="FC9" s="2698"/>
      <c r="FD9" s="2698"/>
      <c r="FE9" s="2692"/>
      <c r="FF9" s="2692"/>
      <c r="FG9" s="2692"/>
      <c r="FH9" s="2692"/>
      <c r="FI9" s="2688"/>
      <c r="FJ9" s="2688"/>
      <c r="FK9" s="2688"/>
      <c r="FL9" s="2688"/>
      <c r="FM9" s="2688"/>
      <c r="FN9" s="2688"/>
      <c r="FO9" s="2688"/>
      <c r="FP9" s="2688"/>
      <c r="FQ9" s="2688"/>
      <c r="FR9" s="2688"/>
      <c r="FS9" s="2688"/>
      <c r="FT9" s="2688"/>
      <c r="FU9" s="2688"/>
      <c r="FV9" s="2688"/>
      <c r="FW9" s="2688"/>
      <c r="FX9" s="2688"/>
      <c r="FY9" s="2688"/>
      <c r="FZ9" s="2688"/>
      <c r="GA9" s="2688"/>
      <c r="GB9" s="2688"/>
      <c r="GC9" s="2688"/>
      <c r="GD9" s="2688"/>
      <c r="GE9" s="2688"/>
      <c r="GF9" s="2688"/>
      <c r="GG9" s="2688"/>
      <c r="GH9" s="2688"/>
      <c r="GI9" s="2688"/>
      <c r="GJ9" s="2699"/>
      <c r="GK9" s="2696"/>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67" t="s">
        <v>4869</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68"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19" t="s">
        <v>4494</v>
      </c>
      <c r="EC10" s="2220" t="s">
        <v>1482</v>
      </c>
      <c r="ED10" s="2219" t="s">
        <v>4528</v>
      </c>
      <c r="EE10" s="2220"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4757</v>
      </c>
      <c r="EZ10" s="1033" t="s">
        <v>4756</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95" customHeight="1">
      <c r="A11" s="2213"/>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95" customHeight="1">
      <c r="A12" s="2214"/>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95" customHeight="1">
      <c r="A13" s="2214"/>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95" customHeight="1">
      <c r="A14" s="2214"/>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95" customHeight="1">
      <c r="A15" s="2214"/>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95" customHeight="1">
      <c r="A16" s="2214"/>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95" customHeight="1">
      <c r="A17" s="2214"/>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95" customHeight="1">
      <c r="A18" s="2214"/>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95" customHeight="1">
      <c r="A19" s="2214"/>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95" customHeight="1">
      <c r="A20" s="2214"/>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95" customHeight="1">
      <c r="A21" s="2214"/>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95" customHeight="1">
      <c r="A22" s="2214"/>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95" customHeight="1">
      <c r="A23" s="2214"/>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95" customHeight="1">
      <c r="A24" s="2214"/>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95" customHeight="1">
      <c r="A25" s="2214"/>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95" customHeight="1">
      <c r="A26" s="2214"/>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899999999999999" hidden="1" customHeight="1">
      <c r="A27" s="2214"/>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899999999999999" hidden="1" customHeight="1">
      <c r="A28" s="2215"/>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899999999999999" hidden="1" customHeight="1">
      <c r="A29" s="2215"/>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899999999999999" hidden="1" customHeight="1">
      <c r="A30" s="2215"/>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899999999999999" hidden="1" customHeight="1">
      <c r="A31" s="2214"/>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899999999999999" hidden="1" customHeight="1">
      <c r="A32" s="2214"/>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899999999999999" hidden="1" customHeight="1">
      <c r="A33" s="2215"/>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899999999999999" hidden="1" customHeight="1">
      <c r="A34" s="2216"/>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899999999999999" hidden="1" customHeight="1">
      <c r="A35" s="2216"/>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899999999999999" hidden="1" customHeight="1">
      <c r="A36" s="2216"/>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899999999999999" hidden="1" customHeight="1">
      <c r="A37" s="2216"/>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899999999999999" hidden="1" customHeight="1">
      <c r="A38" s="2216"/>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899999999999999" hidden="1" customHeight="1">
      <c r="A39" s="2216"/>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899999999999999" hidden="1" customHeight="1">
      <c r="A40" s="2216"/>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899999999999999" hidden="1" customHeight="1">
      <c r="A41" s="2216"/>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899999999999999" hidden="1" customHeight="1">
      <c r="A42" s="2216"/>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899999999999999" hidden="1" customHeight="1">
      <c r="A43" s="2216"/>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899999999999999" hidden="1" customHeight="1">
      <c r="A44" s="2217"/>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899999999999999" hidden="1" customHeight="1">
      <c r="A45" s="2218"/>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899999999999999" hidden="1" customHeight="1">
      <c r="A46" s="2216"/>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399999999999999"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399999999999999" thickTop="1">
      <c r="W115" s="472"/>
      <c r="X115" s="472"/>
      <c r="Y115" s="472"/>
      <c r="Z115" s="472"/>
      <c r="AA115" s="472"/>
      <c r="AB115" s="472"/>
      <c r="AC115" s="472"/>
      <c r="BG115" s="472"/>
      <c r="BH115" s="472"/>
      <c r="BI115" s="472"/>
      <c r="BJ115" s="472"/>
      <c r="BK115" s="472"/>
      <c r="BL115" s="472"/>
    </row>
    <row r="116" spans="1:195" ht="16.8">
      <c r="W116" s="472"/>
      <c r="X116" s="472"/>
      <c r="Y116" s="472"/>
      <c r="Z116" s="472"/>
      <c r="AA116" s="472"/>
      <c r="AB116" s="472"/>
      <c r="AC116" s="472"/>
      <c r="BG116" s="472"/>
      <c r="BH116" s="472"/>
      <c r="BI116" s="472"/>
      <c r="BJ116" s="472"/>
      <c r="BK116" s="472"/>
      <c r="BL116" s="472"/>
    </row>
    <row r="117" spans="1:195" ht="16.8">
      <c r="B117" s="789"/>
      <c r="C117" s="791"/>
      <c r="W117" s="472"/>
      <c r="X117" s="472"/>
      <c r="Y117" s="472"/>
      <c r="Z117" s="472"/>
      <c r="AA117" s="472"/>
      <c r="AB117" s="472"/>
      <c r="AC117" s="472"/>
      <c r="BG117" s="472"/>
      <c r="BH117" s="472"/>
      <c r="BI117" s="472"/>
      <c r="BJ117" s="472"/>
      <c r="BK117" s="472"/>
      <c r="BL117" s="472"/>
    </row>
    <row r="118" spans="1:195" ht="16.8">
      <c r="B118" s="789"/>
      <c r="C118" s="791"/>
      <c r="W118" s="472"/>
      <c r="X118" s="472"/>
      <c r="Y118" s="472"/>
      <c r="Z118" s="472"/>
      <c r="AA118" s="472"/>
      <c r="AB118" s="472"/>
      <c r="AC118" s="472"/>
      <c r="BG118" s="472"/>
      <c r="BH118" s="472"/>
      <c r="BI118" s="472"/>
      <c r="BJ118" s="472"/>
      <c r="BK118" s="472"/>
      <c r="BL118" s="472"/>
    </row>
    <row r="119" spans="1:195" ht="16.8">
      <c r="B119" s="789"/>
      <c r="C119" s="791"/>
      <c r="W119" s="472"/>
      <c r="X119" s="472"/>
      <c r="Y119" s="472"/>
      <c r="Z119" s="472"/>
      <c r="AA119" s="472"/>
      <c r="AB119" s="472"/>
      <c r="AC119" s="472"/>
      <c r="BG119" s="472"/>
      <c r="BH119" s="472"/>
      <c r="BI119" s="472"/>
      <c r="BJ119" s="472"/>
      <c r="BK119" s="472"/>
      <c r="BL119" s="472"/>
    </row>
    <row r="120" spans="1:195" ht="16.8">
      <c r="W120" s="472"/>
      <c r="X120" s="472"/>
      <c r="Y120" s="472"/>
      <c r="Z120" s="472"/>
      <c r="AA120" s="472"/>
      <c r="AB120" s="472"/>
      <c r="AC120" s="472"/>
      <c r="BG120" s="472"/>
      <c r="BH120" s="472"/>
      <c r="BI120" s="472"/>
      <c r="BJ120" s="472"/>
      <c r="BK120" s="472"/>
      <c r="BL120" s="472"/>
    </row>
    <row r="121" spans="1:195" ht="16.8">
      <c r="W121" s="472"/>
      <c r="X121" s="472"/>
      <c r="Y121" s="472"/>
      <c r="Z121" s="472"/>
      <c r="AA121" s="472"/>
      <c r="AB121" s="472"/>
      <c r="AC121" s="472"/>
      <c r="BG121" s="472"/>
      <c r="BH121" s="472"/>
      <c r="BI121" s="472"/>
      <c r="BJ121" s="472"/>
      <c r="BK121" s="472"/>
      <c r="BL121" s="472"/>
    </row>
    <row r="122" spans="1:195" ht="16.8">
      <c r="W122" s="472"/>
      <c r="X122" s="472"/>
      <c r="Y122" s="472"/>
      <c r="Z122" s="472"/>
      <c r="AA122" s="472"/>
      <c r="AB122" s="472"/>
      <c r="AC122" s="472"/>
      <c r="BG122" s="472"/>
      <c r="BH122" s="472"/>
      <c r="BI122" s="472"/>
      <c r="BJ122" s="472"/>
      <c r="BK122" s="472"/>
      <c r="BL122" s="472"/>
    </row>
    <row r="123" spans="1:195" ht="16.8">
      <c r="W123" s="472"/>
      <c r="X123" s="472"/>
      <c r="Y123" s="472"/>
      <c r="Z123" s="472"/>
      <c r="AA123" s="472"/>
      <c r="AB123" s="472"/>
      <c r="AC123" s="472"/>
      <c r="BG123" s="472"/>
      <c r="BH123" s="472"/>
      <c r="BI123" s="472"/>
      <c r="BJ123" s="472"/>
      <c r="BK123" s="472"/>
      <c r="BL123" s="472"/>
    </row>
    <row r="124" spans="1:195" ht="16.8">
      <c r="W124" s="472"/>
      <c r="X124" s="472"/>
      <c r="Y124" s="472"/>
      <c r="Z124" s="472"/>
      <c r="AA124" s="472"/>
      <c r="AB124" s="472"/>
      <c r="AC124" s="472"/>
      <c r="BG124" s="472"/>
      <c r="BH124" s="472"/>
      <c r="BI124" s="472"/>
      <c r="BJ124" s="472"/>
      <c r="BK124" s="472"/>
      <c r="BL124" s="472"/>
    </row>
    <row r="125" spans="1:195" ht="16.8">
      <c r="W125" s="472"/>
      <c r="X125" s="472"/>
      <c r="Y125" s="472"/>
      <c r="Z125" s="472"/>
      <c r="AA125" s="472"/>
      <c r="AB125" s="472"/>
      <c r="AC125" s="472"/>
      <c r="BG125" s="472"/>
      <c r="BH125" s="472"/>
      <c r="BI125" s="472"/>
      <c r="BJ125" s="472"/>
      <c r="BK125" s="472"/>
      <c r="BL125" s="472"/>
    </row>
    <row r="126" spans="1:195" ht="16.8">
      <c r="W126" s="472"/>
      <c r="X126" s="472"/>
      <c r="Y126" s="472"/>
      <c r="Z126" s="472"/>
      <c r="AA126" s="472"/>
      <c r="AB126" s="472"/>
      <c r="AC126" s="472"/>
      <c r="BG126" s="472"/>
      <c r="BH126" s="472"/>
      <c r="BI126" s="472"/>
      <c r="BJ126" s="472"/>
      <c r="BK126" s="472"/>
      <c r="BL126" s="472"/>
    </row>
    <row r="127" spans="1:195" ht="16.8">
      <c r="W127" s="472"/>
      <c r="X127" s="472"/>
      <c r="Y127" s="472"/>
      <c r="Z127" s="472"/>
      <c r="AA127" s="472"/>
      <c r="AB127" s="472"/>
      <c r="AC127" s="472"/>
      <c r="BG127" s="472"/>
      <c r="BH127" s="472"/>
      <c r="BI127" s="472"/>
      <c r="BJ127" s="472"/>
      <c r="BK127" s="472"/>
      <c r="BL127" s="472"/>
    </row>
    <row r="128" spans="1:195"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K112" xr:uid="{00000000-0009-0000-0000-00000B000000}">
    <filterColumn colId="0">
      <customFilters>
        <customFilter operator="notEqual" val=" "/>
      </customFilters>
    </filterColumn>
  </autoFilter>
  <mergeCells count="122">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FA8:FA9"/>
    <mergeCell ref="FB8:FB9"/>
    <mergeCell ref="FN8:FN9"/>
    <mergeCell ref="FS8:FS9"/>
    <mergeCell ref="FT8:FT9"/>
    <mergeCell ref="EV8:EV9"/>
    <mergeCell ref="ET8:ET9"/>
    <mergeCell ref="EZ8:EZ9"/>
    <mergeCell ref="EW8:EW9"/>
    <mergeCell ref="FC8:FC9"/>
    <mergeCell ref="EU8:EU9"/>
    <mergeCell ref="FJ8:FJ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s>
  <phoneticPr fontId="0" type="noConversion"/>
  <conditionalFormatting sqref="GN114:XFD114 FD114:GK114 A114:EZ114">
    <cfRule type="cellIs" dxfId="92" priority="11" operator="greaterThan">
      <formula>0</formula>
    </cfRule>
    <cfRule type="cellIs" dxfId="91" priority="12" operator="greaterThan">
      <formula>0</formula>
    </cfRule>
    <cfRule type="cellIs" dxfId="90" priority="13" operator="greaterThan">
      <formula>"0$L$5"</formula>
    </cfRule>
  </conditionalFormatting>
  <conditionalFormatting sqref="FC114">
    <cfRule type="cellIs" dxfId="89" priority="8" operator="greaterThan">
      <formula>0</formula>
    </cfRule>
    <cfRule type="cellIs" dxfId="88" priority="9" operator="greaterThan">
      <formula>0</formula>
    </cfRule>
    <cfRule type="cellIs" dxfId="87" priority="10" operator="greaterThan">
      <formula>"0$L$5"</formula>
    </cfRule>
  </conditionalFormatting>
  <conditionalFormatting sqref="FB114">
    <cfRule type="cellIs" dxfId="86" priority="5" operator="greaterThan">
      <formula>0</formula>
    </cfRule>
    <cfRule type="cellIs" dxfId="85" priority="6" operator="greaterThan">
      <formula>0</formula>
    </cfRule>
    <cfRule type="cellIs" dxfId="84" priority="7" operator="greaterThan">
      <formula>"0$L$5"</formula>
    </cfRule>
  </conditionalFormatting>
  <conditionalFormatting sqref="FA114">
    <cfRule type="cellIs" dxfId="83" priority="2" operator="greaterThan">
      <formula>0</formula>
    </cfRule>
    <cfRule type="cellIs" dxfId="82" priority="3" operator="greaterThan">
      <formula>0</formula>
    </cfRule>
    <cfRule type="cellIs" dxfId="81" priority="4" operator="greaterThan">
      <formula>"0$L$5"</formula>
    </cfRule>
  </conditionalFormatting>
  <conditionalFormatting sqref="A2:XFD3">
    <cfRule type="cellIs" dxfId="80"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4144</v>
      </c>
      <c r="C5" s="101"/>
      <c r="D5" s="101"/>
      <c r="E5" s="101"/>
    </row>
    <row r="6" spans="1:13">
      <c r="F6" s="104"/>
      <c r="G6" s="103"/>
      <c r="H6" s="104"/>
      <c r="I6" s="104"/>
    </row>
    <row r="7" spans="1:13" ht="27.6">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3.8">
      <c r="A8" s="93" t="s">
        <v>2292</v>
      </c>
      <c r="B8" s="94"/>
      <c r="C8" s="94" t="s">
        <v>4147</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3.8">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3.8">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3.8">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3.8">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3.8">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3.8">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3.8">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3.8">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3.8">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3.8">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3.8">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chitiet!B1766</f>
        <v>R1</v>
      </c>
      <c r="B139" s="18"/>
      <c r="C139" s="16" t="e">
        <f t="shared" si="16"/>
        <v>#NAME?</v>
      </c>
      <c r="D139" s="19" t="e">
        <f t="shared" si="17"/>
        <v>#NAME?</v>
      </c>
      <c r="E139" s="29" t="e">
        <f>E138</f>
        <v>#NAME?</v>
      </c>
      <c r="F139" s="4"/>
      <c r="G139" s="7" t="e">
        <f>G138</f>
        <v>#NAME?</v>
      </c>
      <c r="H139" s="4"/>
      <c r="I139" s="4"/>
      <c r="J139" s="4"/>
    </row>
    <row r="140" spans="1:10" s="1" customFormat="1" ht="13.8">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chitiet!B1769</f>
        <v>R1</v>
      </c>
      <c r="B142" s="18"/>
      <c r="C142" s="16" t="e">
        <f t="shared" si="16"/>
        <v>#NAME?</v>
      </c>
      <c r="D142" s="19" t="e">
        <f t="shared" si="17"/>
        <v>#NAME?</v>
      </c>
      <c r="E142" s="29" t="e">
        <f>E141</f>
        <v>#NAME?</v>
      </c>
      <c r="F142" s="4"/>
      <c r="G142" s="7" t="e">
        <f>G141</f>
        <v>#NAME?</v>
      </c>
      <c r="H142" s="4"/>
      <c r="I142" s="4"/>
      <c r="J142" s="4"/>
    </row>
    <row r="143" spans="1:10" s="1" customFormat="1" ht="13.8">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chitiet!B1772</f>
        <v>R1</v>
      </c>
      <c r="B145" s="18"/>
      <c r="C145" s="16" t="e">
        <f t="shared" si="16"/>
        <v>#NAME?</v>
      </c>
      <c r="D145" s="19" t="e">
        <f t="shared" si="17"/>
        <v>#NAME?</v>
      </c>
      <c r="E145" s="19" t="e">
        <f>E144</f>
        <v>#NAME?</v>
      </c>
      <c r="F145" s="4"/>
      <c r="G145" s="7" t="e">
        <f>G144</f>
        <v>#NAME?</v>
      </c>
      <c r="H145" s="4"/>
      <c r="I145" s="4"/>
      <c r="J145" s="4"/>
    </row>
    <row r="146" spans="1:10" s="1" customFormat="1" ht="13.8">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chitiet!B1774</f>
        <v>ke50</v>
      </c>
      <c r="B147" s="18"/>
      <c r="C147" s="16" t="e">
        <f t="shared" si="16"/>
        <v>#NAME?</v>
      </c>
      <c r="D147" s="19" t="e">
        <f t="shared" si="17"/>
        <v>#NAME?</v>
      </c>
      <c r="E147" s="32" t="e">
        <f>E146*2</f>
        <v>#NAME?</v>
      </c>
      <c r="F147" s="4"/>
      <c r="G147" s="7" t="e">
        <f>G146</f>
        <v>#NAME?</v>
      </c>
      <c r="H147" s="4"/>
      <c r="I147" s="4"/>
      <c r="J147" s="4"/>
    </row>
    <row r="148" spans="1:10" ht="13.8">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chitiet!B1784</f>
        <v>kn50</v>
      </c>
      <c r="B153" s="18"/>
      <c r="C153" s="16" t="e">
        <f t="shared" si="16"/>
        <v>#NAME?</v>
      </c>
      <c r="D153" s="19" t="e">
        <f t="shared" si="17"/>
        <v>#NAME?</v>
      </c>
      <c r="E153" s="29" t="e">
        <f>E152</f>
        <v>#NAME?</v>
      </c>
      <c r="F153" s="4"/>
      <c r="G153" s="7" t="e">
        <f>G152</f>
        <v>#NAME?</v>
      </c>
      <c r="H153" s="4"/>
      <c r="I153" s="4"/>
      <c r="J153" s="4"/>
    </row>
    <row r="154" spans="1:10" s="1" customFormat="1" ht="13.8">
      <c r="A154" s="9" t="str">
        <f>chitiet!B1785</f>
        <v>MT</v>
      </c>
      <c r="B154" s="18"/>
      <c r="C154" s="16" t="e">
        <f t="shared" si="16"/>
        <v>#NAME?</v>
      </c>
      <c r="D154" s="19" t="e">
        <f t="shared" si="17"/>
        <v>#NAME?</v>
      </c>
      <c r="E154" s="29" t="e">
        <f>E153*2</f>
        <v>#NAME?</v>
      </c>
      <c r="F154" s="4"/>
      <c r="G154" s="7" t="e">
        <f>G153</f>
        <v>#NAME?</v>
      </c>
      <c r="H154" s="4"/>
      <c r="I154" s="4"/>
      <c r="J154" s="4"/>
    </row>
    <row r="155" spans="1:10" s="1" customFormat="1" ht="13.8">
      <c r="A155" s="9" t="str">
        <f>chitiet!B1786</f>
        <v>KE50</v>
      </c>
      <c r="B155" s="18"/>
      <c r="C155" s="16" t="e">
        <f t="shared" si="16"/>
        <v>#NAME?</v>
      </c>
      <c r="D155" s="19" t="e">
        <f t="shared" si="17"/>
        <v>#NAME?</v>
      </c>
      <c r="E155" s="29" t="e">
        <f>E153*0</f>
        <v>#NAME?</v>
      </c>
      <c r="F155" s="4"/>
      <c r="G155" s="7"/>
      <c r="H155" s="4"/>
      <c r="I155" s="4"/>
      <c r="J155" s="4"/>
    </row>
    <row r="156" spans="1:10" ht="13.8">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chitiet!B1788</f>
        <v>SD</v>
      </c>
      <c r="B157" s="114"/>
      <c r="C157" s="125" t="e">
        <f t="shared" si="16"/>
        <v>#NAME?</v>
      </c>
      <c r="D157" s="126" t="e">
        <f t="shared" si="17"/>
        <v>#NAME?</v>
      </c>
      <c r="E157" s="126" t="e">
        <f>E156</f>
        <v>#NAME?</v>
      </c>
      <c r="F157" s="105"/>
      <c r="G157" s="113" t="e">
        <f>G156</f>
        <v>#NAME?</v>
      </c>
      <c r="H157" s="105"/>
      <c r="I157" s="105"/>
      <c r="J157" s="105"/>
    </row>
    <row r="158" spans="1:10" ht="13.8">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chitiet!B1791</f>
        <v>SD</v>
      </c>
      <c r="B160" s="18"/>
      <c r="C160" s="37" t="e">
        <f t="shared" si="16"/>
        <v>#NAME?</v>
      </c>
      <c r="D160" s="29" t="e">
        <f t="shared" si="17"/>
        <v>#NAME?</v>
      </c>
      <c r="E160" s="29" t="e">
        <f>E159</f>
        <v>#NAME?</v>
      </c>
      <c r="F160" s="4"/>
      <c r="G160" s="7" t="e">
        <f>G159</f>
        <v>#NAME?</v>
      </c>
      <c r="H160" s="4"/>
      <c r="I160" s="4"/>
      <c r="J160" s="4"/>
    </row>
    <row r="161" spans="1:10" s="1" customFormat="1" ht="13.8">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chitiet!B1795</f>
        <v>SD</v>
      </c>
      <c r="B164" s="18"/>
      <c r="C164" s="37" t="e">
        <f t="shared" si="16"/>
        <v>#NAME?</v>
      </c>
      <c r="D164" s="32" t="e">
        <f t="shared" si="17"/>
        <v>#NAME?</v>
      </c>
      <c r="E164" s="29" t="e">
        <f>E163*2</f>
        <v>#NAME?</v>
      </c>
      <c r="F164" s="4"/>
      <c r="G164" s="7" t="e">
        <f>G163</f>
        <v>#NAME?</v>
      </c>
      <c r="H164" s="4"/>
      <c r="I164" s="4"/>
      <c r="J164" s="4"/>
    </row>
    <row r="165" spans="1:10" s="1" customFormat="1" ht="14.4">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chitiet!B1799</f>
        <v>St</v>
      </c>
      <c r="B168" s="18"/>
      <c r="C168" s="37" t="e">
        <f t="shared" si="16"/>
        <v>#NAME?</v>
      </c>
      <c r="D168" s="29" t="e">
        <f t="shared" si="17"/>
        <v>#NAME?</v>
      </c>
      <c r="E168" s="29"/>
      <c r="F168" s="4"/>
      <c r="G168" s="7" t="e">
        <f>G167</f>
        <v>#NAME?</v>
      </c>
      <c r="H168" s="4"/>
      <c r="I168" s="4"/>
      <c r="J168" s="4"/>
    </row>
    <row r="169" spans="1:10" s="1" customFormat="1" ht="13.8">
      <c r="A169" s="9" t="str">
        <f>chitiet!B1800</f>
        <v>MT</v>
      </c>
      <c r="B169" s="18"/>
      <c r="C169" s="37" t="e">
        <f t="shared" si="16"/>
        <v>#NAME?</v>
      </c>
      <c r="D169" s="29" t="e">
        <f t="shared" si="17"/>
        <v>#NAME?</v>
      </c>
      <c r="E169" s="29"/>
      <c r="F169" s="4"/>
      <c r="G169" s="7" t="e">
        <f>G168</f>
        <v>#NAME?</v>
      </c>
      <c r="H169" s="4"/>
      <c r="I169" s="4"/>
      <c r="J169" s="4"/>
    </row>
    <row r="170" spans="1:10" s="1" customFormat="1" ht="13.8">
      <c r="A170" s="9" t="str">
        <f>chitiet!B1801</f>
        <v>VT</v>
      </c>
      <c r="B170" s="18"/>
      <c r="C170" s="37" t="e">
        <f t="shared" si="16"/>
        <v>#NAME?</v>
      </c>
      <c r="D170" s="29" t="e">
        <f t="shared" si="17"/>
        <v>#NAME?</v>
      </c>
      <c r="E170" s="29"/>
      <c r="F170" s="4"/>
      <c r="G170" s="7" t="e">
        <f>G169</f>
        <v>#NAME?</v>
      </c>
      <c r="H170" s="4"/>
      <c r="I170" s="4"/>
      <c r="J170" s="4"/>
    </row>
    <row r="171" spans="1:10" s="1" customFormat="1" ht="13.8">
      <c r="A171" s="9" t="str">
        <f>chitiet!B1802</f>
        <v>MND</v>
      </c>
      <c r="B171" s="18"/>
      <c r="C171" s="37" t="e">
        <f t="shared" si="16"/>
        <v>#NAME?</v>
      </c>
      <c r="D171" s="29" t="e">
        <f t="shared" si="17"/>
        <v>#NAME?</v>
      </c>
      <c r="E171" s="29"/>
      <c r="F171" s="4"/>
      <c r="G171" s="7" t="e">
        <f>G170</f>
        <v>#NAME?</v>
      </c>
      <c r="H171" s="4"/>
      <c r="I171" s="4"/>
      <c r="J171" s="4"/>
    </row>
    <row r="172" spans="1:10" s="1" customFormat="1" ht="13.8">
      <c r="A172" s="9" t="str">
        <f>chitiet!B1803</f>
        <v>Bm16300</v>
      </c>
      <c r="B172" s="18"/>
      <c r="C172" s="37" t="e">
        <f t="shared" si="16"/>
        <v>#NAME?</v>
      </c>
      <c r="D172" s="29" t="e">
        <f t="shared" si="17"/>
        <v>#NAME?</v>
      </c>
      <c r="E172" s="29"/>
      <c r="F172" s="4"/>
      <c r="G172" s="7" t="e">
        <f>G171</f>
        <v>#NAME?</v>
      </c>
      <c r="H172" s="4"/>
      <c r="I172" s="4"/>
      <c r="J172" s="4"/>
    </row>
    <row r="173" spans="1:10" ht="13.8">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3.8">
      <c r="A175" s="120" t="str">
        <f>chitiet!B1809</f>
        <v>MT</v>
      </c>
      <c r="B175" s="114"/>
      <c r="C175" s="125" t="e">
        <f t="shared" si="16"/>
        <v>#NAME?</v>
      </c>
      <c r="D175" s="126" t="e">
        <f t="shared" si="17"/>
        <v>#NAME?</v>
      </c>
      <c r="E175" s="126">
        <f>chitiet!D1809</f>
        <v>2</v>
      </c>
      <c r="F175" s="105"/>
      <c r="G175" s="113">
        <f t="shared" si="19"/>
        <v>1</v>
      </c>
      <c r="H175" s="105"/>
      <c r="I175" s="105"/>
      <c r="J175" s="105"/>
    </row>
    <row r="176" spans="1:10" ht="13.8">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3.8">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3.8">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4.4">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3.8">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3.8">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3.8">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3.8">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3.8">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3.8">
      <c r="A186" s="120">
        <f>chitiet!B1824</f>
        <v>0</v>
      </c>
      <c r="B186" s="114">
        <f>IF(E186=0,"",COUNTIF($B$116:$B184,"&gt;0")+1)</f>
        <v>1</v>
      </c>
      <c r="C186" s="122" t="s">
        <v>4148</v>
      </c>
      <c r="D186" s="122"/>
      <c r="E186" s="122">
        <v>1</v>
      </c>
      <c r="F186" s="105"/>
      <c r="G186" s="113">
        <v>1</v>
      </c>
      <c r="H186" s="105"/>
      <c r="I186" s="105"/>
      <c r="J186" s="105"/>
    </row>
    <row r="187" spans="1:10" s="1" customFormat="1" ht="13.8">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3.8">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3.8">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3.8">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3.8">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3.8">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3.8">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3.8">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3.8">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3.8">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3.8">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3.8">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3.8">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3.8">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3.8">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3.8">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3.8">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3.8">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3.8">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3.8">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3.8">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3.8">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3.8">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3.8">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3.8">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3.8">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3.8">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3.8">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3.8">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3.8">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3.8">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3.8">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3.8">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3.8">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3.8">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3.8">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3.8">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3.8">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3.8">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3.8">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3.8">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3.8">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3.8">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3.8">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3.8">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3.8">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3.8">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3.8">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3.8">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3.8">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3.8">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3.8">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3.8">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3.8">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3.8">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3.8">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3.8">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3.8">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3.8">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3.8">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3.8">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3.8">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3.8">
      <c r="A249" s="12" t="s">
        <v>1902</v>
      </c>
      <c r="B249" s="15" t="s">
        <v>1903</v>
      </c>
      <c r="C249" s="97" t="s">
        <v>4149</v>
      </c>
      <c r="D249" s="98" t="s">
        <v>2309</v>
      </c>
      <c r="E249" s="29"/>
      <c r="F249" s="4"/>
      <c r="G249" s="7"/>
      <c r="H249" s="4"/>
      <c r="I249" s="4"/>
      <c r="J249" s="4"/>
    </row>
    <row r="250" spans="1:10" s="1" customFormat="1" ht="13.8">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3.8">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3.8">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3.8">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3.8">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3.8">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3.8">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3.8">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3.8">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3.8">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3.8">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3.8">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3.8">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3.8">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3.8">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3.8">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3.8">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3.8">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3.8">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3.8">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3.8">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3.8">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3.8">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3.8">
      <c r="A275" s="13" t="str">
        <f>chitiet!A2277</f>
        <v>TĐĐ</v>
      </c>
      <c r="B275" s="15" t="s">
        <v>1669</v>
      </c>
      <c r="C275" s="97" t="s">
        <v>2581</v>
      </c>
      <c r="D275" s="98" t="s">
        <v>2309</v>
      </c>
      <c r="E275" s="29"/>
      <c r="F275" s="4"/>
      <c r="G275" s="7"/>
      <c r="H275" s="4"/>
      <c r="I275" s="4"/>
      <c r="J275" s="4"/>
    </row>
    <row r="276" spans="1:10" s="1" customFormat="1" ht="13.8">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3.8">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3.8">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3.8">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3.8">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3.8">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3.8">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3.8">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3.8">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3.8">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3.8">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3.8">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3.8">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3.8">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3.8">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3.8">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3.8">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3.8">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3.8">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3.8">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3.8">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3.8">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3.8">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3.8">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4150</v>
      </c>
      <c r="D301" s="47"/>
      <c r="E301" s="48"/>
      <c r="F301" s="4"/>
      <c r="G301" s="4"/>
      <c r="H301" s="4"/>
      <c r="I301" s="4"/>
      <c r="J301" s="4"/>
    </row>
    <row r="302" spans="1:10" s="1" customFormat="1" ht="13.8">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3.8">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3.8">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4154</v>
      </c>
      <c r="D311" s="50"/>
      <c r="E311" s="50"/>
      <c r="F311" s="4"/>
      <c r="G311" s="7">
        <f>IF(E311&lt;&gt;0,1,0)</f>
        <v>0</v>
      </c>
      <c r="H311" s="4"/>
      <c r="I311" s="4"/>
      <c r="J311" s="4"/>
    </row>
    <row r="312" spans="1:10" s="1" customFormat="1" ht="13.8">
      <c r="A312" s="9"/>
      <c r="B312" s="44" t="str">
        <f>IF(E312=0,"",COUNTIF($B$116:$B311,"&gt;0")+1)</f>
        <v/>
      </c>
      <c r="C312" s="795" t="s">
        <v>4155</v>
      </c>
      <c r="D312" s="797" t="s">
        <v>2394</v>
      </c>
      <c r="E312" s="45"/>
      <c r="F312" s="4"/>
      <c r="G312" s="7">
        <f>IF(E312&lt;&gt;0,1,0)</f>
        <v>0</v>
      </c>
      <c r="H312" s="4"/>
      <c r="I312" s="4"/>
      <c r="J312" s="4"/>
    </row>
    <row r="313" spans="1:10" s="1" customFormat="1" ht="13.8">
      <c r="A313" s="4"/>
      <c r="B313" s="14"/>
      <c r="C313" s="148" t="s">
        <v>4156</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3.8">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3.8">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3.8">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3.8">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3.8">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3.8"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3.8"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3.8"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3.8"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3.8">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3.8">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3.8">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3.8">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3.8">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3.8"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3.8"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3.8"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3.8">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3.8">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3.8">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3.8">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3.8">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3.8">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3.8">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3.8">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3.8"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3.8"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3.8"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3.8"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3.8"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3.8"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3.8">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3.8">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3.8">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3.8">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3.8">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3.8">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3.8">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3.8">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3.8"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3.8">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3.8"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3.8"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3.8"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3.8"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3.8"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3.8">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3.8"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3.8"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3.8"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3.8">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3.8"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3.8"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3.8"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3.8"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3.8"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3.8"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3.8"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3.8"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3.8"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3.8"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3.8"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3.8"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3.8"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3.8"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3.8"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3.8">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3.8"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3.8">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3.8">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3.8">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3.8"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3.8">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3.8">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28"/>
  <sheetViews>
    <sheetView showZeros="0" topLeftCell="A986" zoomScale="85" zoomScaleNormal="85" workbookViewId="0">
      <selection activeCell="F1033" sqref="F1033:I1053"/>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2" customWidth="1"/>
    <col min="9" max="9" width="10.1796875" style="1921"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2"/>
      <c r="L1" s="87"/>
      <c r="M1" s="90"/>
    </row>
    <row r="2" spans="4:16" hidden="1" outlineLevel="1">
      <c r="F2" s="1290" t="s">
        <v>4448</v>
      </c>
      <c r="G2" s="1291" t="s">
        <v>4449</v>
      </c>
      <c r="H2" s="1923"/>
      <c r="I2" s="1857">
        <v>10</v>
      </c>
      <c r="J2" s="1292" t="s">
        <v>4442</v>
      </c>
      <c r="K2" s="1291" t="s">
        <v>4450</v>
      </c>
      <c r="L2" s="1291"/>
      <c r="M2" s="1292">
        <v>1</v>
      </c>
      <c r="N2" s="1292" t="s">
        <v>4451</v>
      </c>
      <c r="O2" s="1292">
        <v>1</v>
      </c>
      <c r="P2" s="1292" t="s">
        <v>4452</v>
      </c>
    </row>
    <row r="3" spans="4:16" hidden="1" outlineLevel="1">
      <c r="F3" s="1293">
        <v>36</v>
      </c>
      <c r="G3" s="1294" t="s">
        <v>4453</v>
      </c>
      <c r="H3" s="1923"/>
      <c r="I3" s="1858">
        <v>46</v>
      </c>
      <c r="J3" s="1292" t="s">
        <v>1829</v>
      </c>
      <c r="K3" s="1291" t="s">
        <v>4454</v>
      </c>
      <c r="L3" s="1291"/>
      <c r="M3" s="1292">
        <v>0</v>
      </c>
      <c r="N3" s="1292" t="s">
        <v>4455</v>
      </c>
      <c r="O3" s="1295"/>
    </row>
    <row r="4" spans="4:16" hidden="1" outlineLevel="1">
      <c r="F4" s="1293"/>
      <c r="G4" s="1294" t="s">
        <v>4456</v>
      </c>
      <c r="H4" s="1923"/>
      <c r="I4" s="1857">
        <v>3</v>
      </c>
      <c r="J4" s="1292" t="s">
        <v>858</v>
      </c>
      <c r="K4" s="1296" t="s">
        <v>4457</v>
      </c>
      <c r="L4" s="1291"/>
      <c r="M4" s="1292">
        <v>0</v>
      </c>
      <c r="N4" s="1297"/>
      <c r="O4" s="1295"/>
    </row>
    <row r="5" spans="4:16" hidden="1" outlineLevel="1">
      <c r="F5" s="1293"/>
      <c r="G5" s="1298" t="s">
        <v>4458</v>
      </c>
      <c r="H5" s="1857" t="s">
        <v>4459</v>
      </c>
      <c r="I5" s="1857" t="s">
        <v>4460</v>
      </c>
      <c r="J5" s="1298" t="s">
        <v>4461</v>
      </c>
      <c r="K5" s="1298" t="s">
        <v>4462</v>
      </c>
      <c r="L5" s="1292" t="s">
        <v>4460</v>
      </c>
      <c r="M5" s="1298" t="s">
        <v>4463</v>
      </c>
      <c r="N5" s="1299" t="s">
        <v>4464</v>
      </c>
      <c r="O5" s="1295"/>
    </row>
    <row r="6" spans="4:16" ht="15.6" hidden="1" outlineLevel="1">
      <c r="F6" s="1300"/>
      <c r="G6" s="1301">
        <v>18</v>
      </c>
      <c r="H6" s="1923" t="s">
        <v>2059</v>
      </c>
      <c r="I6" s="1859">
        <v>0</v>
      </c>
      <c r="J6" s="1302">
        <f>I6*15</f>
        <v>0</v>
      </c>
      <c r="K6" s="1303" t="s">
        <v>4465</v>
      </c>
      <c r="L6" s="1301">
        <v>0</v>
      </c>
      <c r="M6" s="1304">
        <f>L6*3*15</f>
        <v>0</v>
      </c>
      <c r="N6" s="2714">
        <f>I17+L17</f>
        <v>0</v>
      </c>
      <c r="O6" s="1295"/>
    </row>
    <row r="7" spans="4:16" ht="15.6" hidden="1" outlineLevel="1">
      <c r="D7" s="1305"/>
      <c r="F7" s="1306"/>
      <c r="G7" s="1302" t="s">
        <v>4466</v>
      </c>
      <c r="H7" s="1924" t="s">
        <v>2060</v>
      </c>
      <c r="I7" s="1859"/>
      <c r="J7" s="1302">
        <f>I7*25</f>
        <v>0</v>
      </c>
      <c r="K7" s="1303" t="s">
        <v>4467</v>
      </c>
      <c r="L7" s="1301">
        <v>0</v>
      </c>
      <c r="M7" s="1304">
        <f>L7*3*25</f>
        <v>0</v>
      </c>
      <c r="N7" s="2715"/>
      <c r="O7" s="1295"/>
      <c r="P7" s="1307"/>
    </row>
    <row r="8" spans="4:16" ht="15.6" hidden="1" outlineLevel="1">
      <c r="E8" s="89"/>
      <c r="F8" s="1293"/>
      <c r="G8" s="1301">
        <v>22</v>
      </c>
      <c r="H8" s="1924" t="s">
        <v>4468</v>
      </c>
      <c r="I8" s="1859">
        <v>0</v>
      </c>
      <c r="J8" s="1302">
        <f>I8*37.5</f>
        <v>0</v>
      </c>
      <c r="K8" s="1303" t="s">
        <v>4469</v>
      </c>
      <c r="L8" s="1301">
        <v>0</v>
      </c>
      <c r="M8" s="1304">
        <f>L8*3*37.5</f>
        <v>0</v>
      </c>
      <c r="N8" s="1299" t="s">
        <v>4470</v>
      </c>
      <c r="O8" s="1295"/>
    </row>
    <row r="9" spans="4:16" ht="15.6" hidden="1" outlineLevel="1">
      <c r="E9" s="1305"/>
      <c r="F9" s="1293"/>
      <c r="G9" s="1308"/>
      <c r="H9" s="1924" t="s">
        <v>2061</v>
      </c>
      <c r="I9" s="1859"/>
      <c r="J9" s="1302">
        <f>I9*50</f>
        <v>0</v>
      </c>
      <c r="K9" s="1303" t="s">
        <v>4471</v>
      </c>
      <c r="L9" s="1301"/>
      <c r="M9" s="1304">
        <f>L9*3*50</f>
        <v>0</v>
      </c>
      <c r="N9" s="2714">
        <f>J18+M18</f>
        <v>160</v>
      </c>
      <c r="O9" s="1295"/>
    </row>
    <row r="10" spans="4:16" ht="15.6" hidden="1" outlineLevel="1">
      <c r="E10" s="1305"/>
      <c r="F10" s="1293"/>
      <c r="G10" s="1309"/>
      <c r="H10" s="1925" t="s">
        <v>2062</v>
      </c>
      <c r="I10" s="1859"/>
      <c r="J10" s="1302">
        <f>I10*75</f>
        <v>0</v>
      </c>
      <c r="K10" s="1310" t="s">
        <v>4472</v>
      </c>
      <c r="L10" s="1301">
        <v>1</v>
      </c>
      <c r="M10" s="1304">
        <f>L10*160</f>
        <v>160</v>
      </c>
      <c r="N10" s="2716"/>
      <c r="O10" s="1295"/>
    </row>
    <row r="11" spans="4:16" ht="15.6" hidden="1" outlineLevel="1">
      <c r="E11" s="1305"/>
      <c r="F11" s="1293"/>
      <c r="G11" s="1309"/>
      <c r="H11" s="1925" t="s">
        <v>2063</v>
      </c>
      <c r="I11" s="1859"/>
      <c r="J11" s="1302">
        <f>I11*100</f>
        <v>0</v>
      </c>
      <c r="K11" s="1310" t="s">
        <v>4473</v>
      </c>
      <c r="L11" s="1301"/>
      <c r="M11" s="1304">
        <f>L11*250</f>
        <v>0</v>
      </c>
      <c r="N11" s="2716"/>
      <c r="O11" s="1295"/>
    </row>
    <row r="12" spans="4:16" ht="15.6" hidden="1" outlineLevel="1">
      <c r="E12" s="1305"/>
      <c r="F12" s="1293"/>
      <c r="G12" s="1309"/>
      <c r="H12" s="1926"/>
      <c r="I12" s="1859"/>
      <c r="J12" s="1311"/>
      <c r="K12" s="1310" t="s">
        <v>4474</v>
      </c>
      <c r="L12" s="1301"/>
      <c r="M12" s="1304">
        <f>L12*320</f>
        <v>0</v>
      </c>
      <c r="N12" s="2716"/>
      <c r="O12" s="1295"/>
    </row>
    <row r="13" spans="4:16" ht="15.6" hidden="1" outlineLevel="1">
      <c r="E13" s="1305"/>
      <c r="F13" s="1293"/>
      <c r="G13" s="1309"/>
      <c r="H13" s="1926"/>
      <c r="I13" s="1859"/>
      <c r="J13" s="1311"/>
      <c r="K13" s="1310" t="s">
        <v>4475</v>
      </c>
      <c r="L13" s="1301">
        <v>0</v>
      </c>
      <c r="M13" s="1304">
        <f>L13*400</f>
        <v>0</v>
      </c>
      <c r="N13" s="2716"/>
      <c r="O13" s="1295"/>
    </row>
    <row r="14" spans="4:16" ht="15.6" hidden="1" outlineLevel="1">
      <c r="E14" s="1305"/>
      <c r="F14" s="1293"/>
      <c r="G14" s="1309"/>
      <c r="H14" s="1926"/>
      <c r="I14" s="1859"/>
      <c r="J14" s="1311"/>
      <c r="K14" s="1310" t="s">
        <v>4476</v>
      </c>
      <c r="L14" s="1301">
        <v>0</v>
      </c>
      <c r="M14" s="1304">
        <f>L14*560</f>
        <v>0</v>
      </c>
      <c r="N14" s="2716"/>
      <c r="O14" s="1295"/>
    </row>
    <row r="15" spans="4:16" ht="15.6" hidden="1" outlineLevel="1">
      <c r="E15" s="1305"/>
      <c r="F15" s="1293"/>
      <c r="G15" s="1309"/>
      <c r="H15" s="1926"/>
      <c r="I15" s="1859"/>
      <c r="J15" s="1311"/>
      <c r="K15" s="1310" t="s">
        <v>4477</v>
      </c>
      <c r="L15" s="1301">
        <v>0</v>
      </c>
      <c r="M15" s="1304">
        <f>L15*630</f>
        <v>0</v>
      </c>
      <c r="N15" s="2716"/>
      <c r="O15" s="1295"/>
    </row>
    <row r="16" spans="4:16" ht="15.6" hidden="1" outlineLevel="1">
      <c r="E16" s="1305"/>
      <c r="F16" s="1293"/>
      <c r="G16" s="1312"/>
      <c r="H16" s="1925"/>
      <c r="I16" s="1859"/>
      <c r="J16" s="1311"/>
      <c r="K16" s="1313">
        <v>1000</v>
      </c>
      <c r="L16" s="1301">
        <v>0</v>
      </c>
      <c r="M16" s="1304">
        <f>L16*1000</f>
        <v>0</v>
      </c>
      <c r="N16" s="2717"/>
      <c r="O16" s="1295"/>
    </row>
    <row r="17" spans="1:23" ht="15.6" hidden="1" outlineLevel="1">
      <c r="E17" s="87">
        <f>chitiet!G5</f>
        <v>3</v>
      </c>
      <c r="F17" s="1293"/>
      <c r="G17" s="1314"/>
      <c r="H17" s="1925"/>
      <c r="I17" s="1859"/>
      <c r="J17" s="1315"/>
      <c r="K17" s="1316">
        <v>2000</v>
      </c>
      <c r="L17" s="1301">
        <v>0</v>
      </c>
      <c r="M17" s="1304">
        <f>L17*2000</f>
        <v>0</v>
      </c>
      <c r="N17" s="2715"/>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4862</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07 (Xây Dựng): Hệ thống pano, đèn led trang trí, camera an ninh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718" t="s">
        <v>1714</v>
      </c>
      <c r="E22" s="2718" t="s">
        <v>2608</v>
      </c>
      <c r="F22" s="2718" t="s">
        <v>2609</v>
      </c>
      <c r="G22" s="2718" t="s">
        <v>2604</v>
      </c>
      <c r="H22" s="1864" t="s">
        <v>4315</v>
      </c>
      <c r="I22" s="1865"/>
      <c r="J22" s="1069"/>
      <c r="K22" s="1070"/>
      <c r="L22" s="2720" t="s">
        <v>2610</v>
      </c>
      <c r="M22" s="977"/>
    </row>
    <row r="23" spans="1:23" s="1086" customFormat="1" ht="27" customHeight="1">
      <c r="A23" s="1156"/>
      <c r="B23" s="1327"/>
      <c r="C23" s="1327"/>
      <c r="D23" s="2719"/>
      <c r="E23" s="2719"/>
      <c r="F23" s="2719"/>
      <c r="G23" s="2719"/>
      <c r="H23" s="1044" t="s">
        <v>4314</v>
      </c>
      <c r="I23" s="1044" t="s">
        <v>4311</v>
      </c>
      <c r="J23" s="1071" t="s">
        <v>4312</v>
      </c>
      <c r="K23" s="1071" t="s">
        <v>4313</v>
      </c>
      <c r="L23" s="2721"/>
      <c r="M23" s="977">
        <v>160</v>
      </c>
      <c r="N23" s="1086" t="s">
        <v>512</v>
      </c>
    </row>
    <row r="24" spans="1:23" s="1086" customFormat="1" ht="25.2" customHeight="1">
      <c r="A24" s="1156" t="s">
        <v>512</v>
      </c>
      <c r="B24" s="1327"/>
      <c r="C24" s="1327"/>
      <c r="D24" s="1159"/>
      <c r="E24" s="1160"/>
      <c r="F24" s="1428" t="s">
        <v>3695</v>
      </c>
      <c r="G24" s="1162"/>
      <c r="H24" s="1866"/>
      <c r="I24" s="1866"/>
      <c r="J24" s="1162"/>
      <c r="K24" s="1162"/>
      <c r="L24" s="1163"/>
      <c r="M24" s="1071" t="s">
        <v>4382</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2" hidden="1" customHeight="1">
      <c r="A81" s="1156">
        <f t="shared" si="0"/>
        <v>0</v>
      </c>
      <c r="B81" s="1332" t="s">
        <v>4478</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4479</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4480</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4481</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2" hidden="1" customHeight="1">
      <c r="A102" s="1156">
        <f t="shared" si="3"/>
        <v>0</v>
      </c>
      <c r="B102" s="1322"/>
      <c r="C102" s="1322"/>
      <c r="D102" s="1164"/>
      <c r="E102" s="977"/>
      <c r="H102" s="1903"/>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2"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4829</v>
      </c>
      <c r="G128" s="1169" t="s">
        <v>2394</v>
      </c>
      <c r="H128" s="1868">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4577</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4777</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4363</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4482</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4572</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4553</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0"/>
      <c r="I193" s="1072"/>
      <c r="J193" s="1196"/>
      <c r="K193" s="1197"/>
      <c r="L193" s="1139"/>
      <c r="M193" s="977">
        <v>25</v>
      </c>
    </row>
    <row r="194" spans="1:14" s="1086" customFormat="1" ht="25.2" hidden="1" customHeight="1">
      <c r="A194" s="1156">
        <f t="shared" si="10"/>
        <v>0</v>
      </c>
      <c r="B194" s="1322"/>
      <c r="C194" s="1322"/>
      <c r="D194" s="1164"/>
      <c r="E194" s="977"/>
      <c r="H194" s="1903"/>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2" hidden="1" customHeight="1">
      <c r="A196" s="1156">
        <f t="shared" si="10"/>
        <v>0</v>
      </c>
      <c r="B196" s="1327"/>
      <c r="C196" s="1327"/>
      <c r="D196" s="1159"/>
      <c r="E196" s="1160"/>
      <c r="F196" s="1072" t="s">
        <v>3695</v>
      </c>
      <c r="G196" s="1162"/>
      <c r="H196" s="1866"/>
      <c r="I196" s="1262">
        <f t="shared" si="11"/>
        <v>0</v>
      </c>
      <c r="J196" s="1162"/>
      <c r="K196" s="1162"/>
      <c r="L196" s="1139"/>
      <c r="M196" s="977" t="s">
        <v>4383</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4383</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4383</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4383</v>
      </c>
    </row>
    <row r="200" spans="1:14" s="1086" customFormat="1" ht="25.2"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4383</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4383</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4383</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4383</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4383</v>
      </c>
    </row>
    <row r="205" spans="1:14" s="1086" customFormat="1" ht="25.2" hidden="1" customHeight="1">
      <c r="A205" s="1156">
        <f t="shared" si="10"/>
        <v>0</v>
      </c>
      <c r="B205" s="1327"/>
      <c r="C205" s="1327"/>
      <c r="D205" s="1184"/>
      <c r="E205" s="1185"/>
      <c r="F205" s="1072" t="s">
        <v>3696</v>
      </c>
      <c r="G205" s="1072"/>
      <c r="H205" s="1866"/>
      <c r="I205" s="1262">
        <f t="shared" si="11"/>
        <v>0</v>
      </c>
      <c r="J205" s="1072"/>
      <c r="K205" s="1072"/>
      <c r="L205" s="1139"/>
      <c r="M205" s="977" t="s">
        <v>4383</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4383</v>
      </c>
    </row>
    <row r="207" spans="1:14" s="1086" customFormat="1" ht="25.2"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4383</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4383</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4383</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4383</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4383</v>
      </c>
      <c r="N211" s="1190"/>
    </row>
    <row r="212" spans="1:14" s="1086" customFormat="1" ht="25.2"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4383</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4383</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4383</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4383</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4383</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4383</v>
      </c>
      <c r="N217" s="1190"/>
    </row>
    <row r="218" spans="1:14" s="1086" customFormat="1" ht="25.2"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4383</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4383</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4383</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4383</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4383</v>
      </c>
    </row>
    <row r="223" spans="1:14" s="1086" customFormat="1" ht="25.2"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4383</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4383</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4383</v>
      </c>
    </row>
    <row r="226" spans="1:13" s="1086" customFormat="1" ht="25.2"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4383</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4383</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4383</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4383</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4383</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4383</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4383</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4383</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4383</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4383</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4383</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4383</v>
      </c>
    </row>
    <row r="238" spans="1:13" s="1086" customFormat="1" ht="25.2"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4383</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4383</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4383</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4383</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4383</v>
      </c>
    </row>
    <row r="243" spans="1:13" s="1086" customFormat="1" ht="25.2"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4383</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4383</v>
      </c>
    </row>
    <row r="245" spans="1:13" s="1086" customFormat="1" ht="25.2" hidden="1" customHeight="1">
      <c r="A245" s="1156">
        <f t="shared" si="16"/>
        <v>0</v>
      </c>
      <c r="B245" s="1330" t="s">
        <v>4482</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4383</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4383</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4383</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4383</v>
      </c>
    </row>
    <row r="249" spans="1:13" s="1086" customFormat="1" ht="25.2"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4383</v>
      </c>
    </row>
    <row r="250" spans="1:13" s="1086" customFormat="1" ht="25.2" hidden="1" customHeight="1">
      <c r="A250" s="1156">
        <f>IF(A249&gt;0,1,0)</f>
        <v>0</v>
      </c>
      <c r="B250" s="1327"/>
      <c r="C250" s="1327"/>
      <c r="D250" s="1169"/>
      <c r="E250" s="1082"/>
      <c r="F250" s="1367" t="s">
        <v>2287</v>
      </c>
      <c r="G250" s="1169"/>
      <c r="H250" s="1868"/>
      <c r="I250" s="1262">
        <f t="shared" si="17"/>
        <v>0</v>
      </c>
      <c r="J250" s="1111"/>
      <c r="K250" s="1111"/>
      <c r="L250" s="1085"/>
      <c r="M250" s="977" t="s">
        <v>4383</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4383</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4383</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4383</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4383</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4383</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4383</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4383</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4383</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4383</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4383</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4383</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4383</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4383</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4383</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4383</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4383</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4383</v>
      </c>
    </row>
    <row r="268" spans="1:13" s="1086" customFormat="1" ht="25.2"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2" hidden="1" customHeight="1">
      <c r="A269" s="1156">
        <f t="shared" si="16"/>
        <v>0</v>
      </c>
      <c r="B269" s="1322"/>
      <c r="C269" s="1322"/>
      <c r="D269" s="1164"/>
      <c r="E269" s="977"/>
      <c r="H269" s="1903"/>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2"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1">
        <f>H277</f>
        <v>1</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4483</v>
      </c>
      <c r="G281" s="1162"/>
      <c r="H281" s="1866"/>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2" hidden="1" customHeight="1">
      <c r="A295" s="1156">
        <f t="shared" si="19"/>
        <v>0</v>
      </c>
      <c r="B295" s="1327"/>
      <c r="C295" s="1327"/>
      <c r="D295" s="2067"/>
      <c r="E295" s="2068"/>
      <c r="F295" s="1228" t="s">
        <v>3710</v>
      </c>
      <c r="G295" s="2067"/>
      <c r="H295" s="1229"/>
      <c r="I295" s="1929">
        <f t="shared" si="20"/>
        <v>0</v>
      </c>
      <c r="J295" s="1228"/>
      <c r="K295" s="2067"/>
      <c r="L295" s="1206"/>
      <c r="M295" s="977">
        <v>50</v>
      </c>
    </row>
    <row r="296" spans="1:14" s="1086" customFormat="1" ht="25.2" hidden="1" customHeight="1">
      <c r="A296" s="1156">
        <f>A297</f>
        <v>0</v>
      </c>
      <c r="B296" s="1327"/>
      <c r="C296" s="1327"/>
      <c r="D296" s="1184"/>
      <c r="E296" s="1072"/>
      <c r="F296" s="1072" t="s">
        <v>3696</v>
      </c>
      <c r="G296" s="1072"/>
      <c r="H296" s="1866"/>
      <c r="I296" s="2073">
        <f t="shared" si="20"/>
        <v>0</v>
      </c>
      <c r="J296" s="1072"/>
      <c r="K296" s="1072"/>
      <c r="L296" s="1158"/>
      <c r="M296" s="977">
        <v>50</v>
      </c>
    </row>
    <row r="297" spans="1:14" s="1086" customFormat="1" ht="25.2" hidden="1" customHeight="1">
      <c r="A297" s="1156">
        <f t="shared" si="19"/>
        <v>0</v>
      </c>
      <c r="B297" s="1327" t="s">
        <v>1615</v>
      </c>
      <c r="C297" s="1327"/>
      <c r="D297" s="2069">
        <f>IF(H309&gt;0,1,0)</f>
        <v>0</v>
      </c>
      <c r="E297" s="2070"/>
      <c r="F297" s="2071" t="str">
        <f>VLOOKUP($B297,DG!A:D,DG!$C$2,)</f>
        <v>Boulon 16x300+ 2 long đền vuông D18-50x50x3/Zn</v>
      </c>
      <c r="G297" s="2072" t="str">
        <f>VLOOKUP($B297,DG!A:D,DG!$D$2,)</f>
        <v>bộ</v>
      </c>
      <c r="H297" s="1232">
        <f>2*SUM(H272:H272)</f>
        <v>0</v>
      </c>
      <c r="I297" s="2066">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4781</v>
      </c>
      <c r="G309" s="1169" t="s">
        <v>2394</v>
      </c>
      <c r="H309" s="1868">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4577</v>
      </c>
      <c r="C311" s="1327">
        <v>1</v>
      </c>
      <c r="D311" s="1113"/>
      <c r="E311" s="1082">
        <f>VLOOKUP($B311,DG!A:D,DG!$B$2,)</f>
        <v>0</v>
      </c>
      <c r="F311" s="1083" t="str">
        <f>VLOOKUP($B311,DG!A:D,DG!$C$2,)</f>
        <v>Đà Composite 110x80x5x800</v>
      </c>
      <c r="G311" s="1082" t="str">
        <f>VLOOKUP($B311,DG!A:D,DG!$D$2,)</f>
        <v>cái</v>
      </c>
      <c r="H311" s="2061">
        <f>H$309*$C311</f>
        <v>0</v>
      </c>
      <c r="I311" s="2061">
        <f t="shared" ref="I311:K311" si="22">I$309*$C311</f>
        <v>0</v>
      </c>
      <c r="J311" s="2061">
        <f t="shared" si="22"/>
        <v>0</v>
      </c>
      <c r="K311" s="1170">
        <f t="shared" si="22"/>
        <v>0</v>
      </c>
      <c r="L311" s="1085"/>
      <c r="M311" s="977">
        <v>50</v>
      </c>
    </row>
    <row r="312" spans="1:14" s="1086" customFormat="1" ht="25.2" hidden="1" customHeight="1">
      <c r="A312" s="1156">
        <f t="shared" si="21"/>
        <v>0</v>
      </c>
      <c r="B312" s="1327" t="s">
        <v>4777</v>
      </c>
      <c r="C312" s="1327">
        <v>1</v>
      </c>
      <c r="D312" s="1113"/>
      <c r="E312" s="1082">
        <f>VLOOKUP($B312,DG!A:D,DG!$B$2,)</f>
        <v>0</v>
      </c>
      <c r="F312" s="1083" t="str">
        <f>VLOOKUP($B312,DG!A:D,DG!$C$2,)</f>
        <v>Thanh chống Composite 10x40x720</v>
      </c>
      <c r="G312" s="1082" t="str">
        <f>VLOOKUP($B312,DG!A:D,DG!$D$2,)</f>
        <v>cái</v>
      </c>
      <c r="H312" s="2061">
        <f t="shared" ref="H312:K314" si="23">H$309*$C312</f>
        <v>0</v>
      </c>
      <c r="I312" s="2061">
        <f t="shared" si="23"/>
        <v>0</v>
      </c>
      <c r="J312" s="2061">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1">
        <f t="shared" si="23"/>
        <v>0</v>
      </c>
      <c r="I313" s="2061">
        <f t="shared" si="23"/>
        <v>0</v>
      </c>
      <c r="J313" s="2061">
        <f t="shared" si="23"/>
        <v>0</v>
      </c>
      <c r="K313" s="1170">
        <f t="shared" si="23"/>
        <v>0</v>
      </c>
      <c r="L313" s="1085"/>
      <c r="M313" s="977">
        <v>50</v>
      </c>
    </row>
    <row r="314" spans="1:14" s="1086" customFormat="1" ht="25.2" hidden="1" customHeight="1">
      <c r="A314" s="1156">
        <f t="shared" si="21"/>
        <v>0</v>
      </c>
      <c r="B314" s="1327" t="s">
        <v>4363</v>
      </c>
      <c r="C314" s="1327">
        <v>1</v>
      </c>
      <c r="D314" s="1113"/>
      <c r="E314" s="1191"/>
      <c r="F314" s="1083" t="str">
        <f>VLOOKUP($B314,DG!A:D,DG!$C$2,)</f>
        <v>Boulon 14x150+ 2 long đền vuông D16-50x50x3/Zn</v>
      </c>
      <c r="G314" s="1082" t="str">
        <f>VLOOKUP($B314,DG!A:D,DG!$D$2,)</f>
        <v>bộ</v>
      </c>
      <c r="H314" s="2061">
        <f t="shared" si="23"/>
        <v>0</v>
      </c>
      <c r="I314" s="2061">
        <f t="shared" si="23"/>
        <v>0</v>
      </c>
      <c r="J314" s="2061">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4861</v>
      </c>
      <c r="G315" s="1169" t="s">
        <v>2394</v>
      </c>
      <c r="H315" s="1868">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62">
        <v>0.224</v>
      </c>
      <c r="D317" s="1113"/>
      <c r="E317" s="1082">
        <f>VLOOKUP($B317,DG!A:D,DG!$B$2,)</f>
        <v>0</v>
      </c>
      <c r="F317" s="1083" t="str">
        <f>VLOOKUP($B317,DG!A:D,DG!$C$2,)</f>
        <v>Cáp đồng trần M25mm2</v>
      </c>
      <c r="G317" s="1082" t="str">
        <f>VLOOKUP($B317,DG!A:D,DG!$D$2,)</f>
        <v>kg</v>
      </c>
      <c r="H317" s="2064">
        <v>13</v>
      </c>
      <c r="I317" s="2065">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2"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2"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2"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1">
        <f>+H318*3+12*2+4</f>
        <v>58</v>
      </c>
      <c r="I329" s="1262">
        <f t="shared" si="20"/>
        <v>0</v>
      </c>
      <c r="J329" s="1111"/>
      <c r="K329" s="1111"/>
      <c r="L329" s="1085"/>
      <c r="M329" s="977">
        <v>50</v>
      </c>
    </row>
    <row r="330" spans="1:13" s="1086" customFormat="1" ht="25.2"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1">
        <f>H318</f>
        <v>10</v>
      </c>
      <c r="I330" s="1262">
        <f t="shared" si="20"/>
        <v>0</v>
      </c>
      <c r="J330" s="1111"/>
      <c r="K330" s="1111"/>
      <c r="L330" s="1085"/>
      <c r="M330" s="977">
        <v>50</v>
      </c>
    </row>
    <row r="331" spans="1:13" s="1086" customFormat="1" ht="25.2"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3">
        <v>8.64</v>
      </c>
      <c r="I331" s="1262">
        <f t="shared" si="20"/>
        <v>0</v>
      </c>
      <c r="J331" s="1111"/>
      <c r="K331" s="1111"/>
      <c r="L331" s="1085"/>
      <c r="M331" s="977">
        <v>50</v>
      </c>
    </row>
    <row r="332" spans="1:13" s="1086" customFormat="1" ht="25.2"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1">
        <f>H331</f>
        <v>8.64</v>
      </c>
      <c r="I332" s="1262">
        <f t="shared" si="20"/>
        <v>0</v>
      </c>
      <c r="J332" s="1111"/>
      <c r="K332" s="1111"/>
      <c r="L332" s="1085"/>
      <c r="M332" s="977">
        <v>50</v>
      </c>
    </row>
    <row r="333" spans="1:13" s="1086" customFormat="1" ht="25.2"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2"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2"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2"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2"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2"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2"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2"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2"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2"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2"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2"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2"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2"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2"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2"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2"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2"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1">
        <v>20</v>
      </c>
      <c r="I350" s="2061">
        <f t="shared" ref="I350:K350" si="30">I$348*$C350</f>
        <v>0</v>
      </c>
      <c r="J350" s="2061">
        <f t="shared" si="30"/>
        <v>0</v>
      </c>
      <c r="K350" s="2061">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1"/>
      <c r="I351" s="2061"/>
      <c r="J351" s="2061">
        <f t="shared" ref="H351:K366" si="32">J$348*$C351</f>
        <v>0</v>
      </c>
      <c r="K351" s="2061">
        <f t="shared" si="32"/>
        <v>0</v>
      </c>
      <c r="L351" s="1085"/>
      <c r="M351" s="977">
        <v>50</v>
      </c>
    </row>
    <row r="352" spans="1:13" s="1086" customFormat="1" ht="25.2" hidden="1" customHeight="1">
      <c r="A352" s="1156">
        <f t="shared" si="31"/>
        <v>0</v>
      </c>
      <c r="B352" s="1327" t="s">
        <v>4553</v>
      </c>
      <c r="C352" s="1327">
        <v>2</v>
      </c>
      <c r="D352" s="1113"/>
      <c r="E352" s="1082" t="str">
        <f>VLOOKUP($B352,DG!A:D,DG!$B$2,)</f>
        <v>03.1401</v>
      </c>
      <c r="F352" s="1083" t="str">
        <f>VLOOKUP($B352,DG!A:D,DG!$C$2,)</f>
        <v xml:space="preserve">Cáp CVV 4x4mm2  </v>
      </c>
      <c r="G352" s="1082" t="str">
        <f>VLOOKUP($B352,DG!A:D,DG!$D$2,)</f>
        <v>mét</v>
      </c>
      <c r="H352" s="2061">
        <f t="shared" si="32"/>
        <v>0</v>
      </c>
      <c r="I352" s="2061">
        <f t="shared" si="32"/>
        <v>0</v>
      </c>
      <c r="J352" s="2061">
        <f t="shared" si="32"/>
        <v>0</v>
      </c>
      <c r="K352" s="2061">
        <f t="shared" si="32"/>
        <v>0</v>
      </c>
      <c r="L352" s="1085"/>
      <c r="M352" s="977">
        <v>50</v>
      </c>
    </row>
    <row r="353" spans="1:13" s="1086" customFormat="1" ht="25.2"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1">
        <f t="shared" si="32"/>
        <v>0</v>
      </c>
      <c r="I353" s="2061">
        <f t="shared" si="32"/>
        <v>0</v>
      </c>
      <c r="J353" s="2061">
        <f t="shared" si="32"/>
        <v>0</v>
      </c>
      <c r="K353" s="2061">
        <f t="shared" si="32"/>
        <v>0</v>
      </c>
      <c r="L353" s="1085"/>
      <c r="M353" s="977">
        <v>50</v>
      </c>
    </row>
    <row r="354" spans="1:13" s="1086" customFormat="1" ht="25.2"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1">
        <f t="shared" si="32"/>
        <v>0</v>
      </c>
      <c r="I354" s="2061">
        <f t="shared" si="32"/>
        <v>0</v>
      </c>
      <c r="J354" s="2061">
        <f t="shared" si="32"/>
        <v>0</v>
      </c>
      <c r="K354" s="2061">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1">
        <f t="shared" si="32"/>
        <v>0</v>
      </c>
      <c r="I355" s="2061">
        <f t="shared" si="32"/>
        <v>0</v>
      </c>
      <c r="J355" s="2061">
        <f t="shared" si="32"/>
        <v>0</v>
      </c>
      <c r="K355" s="2061">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1">
        <f t="shared" si="32"/>
        <v>0</v>
      </c>
      <c r="I356" s="2061">
        <f t="shared" si="32"/>
        <v>0</v>
      </c>
      <c r="J356" s="2061">
        <f t="shared" si="32"/>
        <v>0</v>
      </c>
      <c r="K356" s="2061">
        <f t="shared" si="32"/>
        <v>0</v>
      </c>
      <c r="L356" s="1085"/>
      <c r="M356" s="977">
        <v>50</v>
      </c>
    </row>
    <row r="357" spans="1:13" s="1086" customFormat="1" ht="25.2"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1">
        <v>7</v>
      </c>
      <c r="I357" s="2061">
        <f>H357</f>
        <v>7</v>
      </c>
      <c r="J357" s="2061">
        <f t="shared" si="32"/>
        <v>0</v>
      </c>
      <c r="K357" s="2061">
        <f t="shared" si="32"/>
        <v>0</v>
      </c>
      <c r="L357" s="1085"/>
      <c r="M357" s="977">
        <v>50</v>
      </c>
    </row>
    <row r="358" spans="1:13" s="1086" customFormat="1" ht="25.2"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1">
        <v>2</v>
      </c>
      <c r="I358" s="2061">
        <f t="shared" si="32"/>
        <v>0</v>
      </c>
      <c r="J358" s="2061">
        <f t="shared" si="32"/>
        <v>0</v>
      </c>
      <c r="K358" s="2061">
        <f t="shared" si="32"/>
        <v>0</v>
      </c>
      <c r="L358" s="1085"/>
      <c r="M358" s="977">
        <v>50</v>
      </c>
    </row>
    <row r="359" spans="1:13" s="1086" customFormat="1" ht="25.2"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1">
        <f t="shared" si="32"/>
        <v>0</v>
      </c>
      <c r="I359" s="2061">
        <f t="shared" si="32"/>
        <v>0</v>
      </c>
      <c r="J359" s="2061">
        <f t="shared" si="32"/>
        <v>0</v>
      </c>
      <c r="K359" s="2061">
        <f t="shared" si="32"/>
        <v>0</v>
      </c>
      <c r="L359" s="1085"/>
      <c r="M359" s="977">
        <v>50</v>
      </c>
    </row>
    <row r="360" spans="1:13" s="1086" customFormat="1" ht="25.2"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1">
        <f t="shared" si="32"/>
        <v>0</v>
      </c>
      <c r="I360" s="2061">
        <f t="shared" si="32"/>
        <v>0</v>
      </c>
      <c r="J360" s="2061">
        <f t="shared" si="32"/>
        <v>0</v>
      </c>
      <c r="K360" s="2061">
        <f t="shared" si="32"/>
        <v>0</v>
      </c>
      <c r="L360" s="1085"/>
      <c r="M360" s="977">
        <v>50</v>
      </c>
    </row>
    <row r="361" spans="1:13" s="1086" customFormat="1" ht="25.2"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1">
        <f t="shared" si="32"/>
        <v>0</v>
      </c>
      <c r="I361" s="2061">
        <f t="shared" si="32"/>
        <v>0</v>
      </c>
      <c r="J361" s="2061">
        <f t="shared" si="32"/>
        <v>0</v>
      </c>
      <c r="K361" s="2061">
        <f t="shared" si="32"/>
        <v>0</v>
      </c>
      <c r="L361" s="1085"/>
      <c r="M361" s="977">
        <v>50</v>
      </c>
    </row>
    <row r="362" spans="1:13" s="1086" customFormat="1" ht="25.2"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1">
        <f t="shared" si="32"/>
        <v>0</v>
      </c>
      <c r="I362" s="2061">
        <f t="shared" si="32"/>
        <v>0</v>
      </c>
      <c r="J362" s="2061">
        <f t="shared" si="32"/>
        <v>0</v>
      </c>
      <c r="K362" s="2061">
        <f t="shared" si="32"/>
        <v>0</v>
      </c>
      <c r="L362" s="1085"/>
      <c r="M362" s="977">
        <v>50</v>
      </c>
    </row>
    <row r="363" spans="1:13" s="1086" customFormat="1" ht="25.2" hidden="1" customHeight="1">
      <c r="A363" s="1156">
        <f t="shared" si="31"/>
        <v>0</v>
      </c>
      <c r="B363" s="1157" t="s">
        <v>672</v>
      </c>
      <c r="C363" s="1157">
        <v>1</v>
      </c>
      <c r="D363" s="1113"/>
      <c r="E363" s="1191"/>
      <c r="F363" s="1083" t="str">
        <f>VLOOKUP($B363,DG!A:D,DG!$C$2,)</f>
        <v>Băng keo cách điện</v>
      </c>
      <c r="G363" s="1082" t="str">
        <f>VLOOKUP($B363,DG!A:D,DG!$D$2,)</f>
        <v>cuộn</v>
      </c>
      <c r="H363" s="2061">
        <f t="shared" si="32"/>
        <v>0</v>
      </c>
      <c r="I363" s="2061">
        <f t="shared" si="32"/>
        <v>0</v>
      </c>
      <c r="J363" s="2061">
        <f t="shared" si="32"/>
        <v>0</v>
      </c>
      <c r="K363" s="2061">
        <f t="shared" si="32"/>
        <v>0</v>
      </c>
      <c r="L363" s="1085"/>
      <c r="M363" s="977">
        <v>50</v>
      </c>
    </row>
    <row r="364" spans="1:13" s="1086" customFormat="1" ht="25.2"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1">
        <f>H357</f>
        <v>7</v>
      </c>
      <c r="I364" s="2061">
        <f>H364</f>
        <v>7</v>
      </c>
      <c r="J364" s="2061">
        <f t="shared" si="32"/>
        <v>0</v>
      </c>
      <c r="K364" s="2061">
        <f t="shared" si="32"/>
        <v>0</v>
      </c>
      <c r="L364" s="1085"/>
      <c r="M364" s="977">
        <v>50</v>
      </c>
    </row>
    <row r="365" spans="1:13" s="1086" customFormat="1" ht="25.2"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1">
        <f>H350+H351</f>
        <v>20</v>
      </c>
      <c r="I365" s="2061">
        <f>H365</f>
        <v>20</v>
      </c>
      <c r="J365" s="2061">
        <f t="shared" si="32"/>
        <v>0</v>
      </c>
      <c r="K365" s="2061">
        <f t="shared" si="32"/>
        <v>0</v>
      </c>
      <c r="L365" s="1085"/>
      <c r="M365" s="977">
        <v>50</v>
      </c>
    </row>
    <row r="366" spans="1:13" s="1086" customFormat="1" ht="25.2"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1">
        <v>1</v>
      </c>
      <c r="I366" s="2061">
        <f>H366</f>
        <v>1</v>
      </c>
      <c r="J366" s="2061">
        <f t="shared" si="32"/>
        <v>0</v>
      </c>
      <c r="K366" s="2061">
        <f t="shared" si="32"/>
        <v>0</v>
      </c>
      <c r="L366" s="1101"/>
      <c r="M366" s="977">
        <v>50</v>
      </c>
    </row>
    <row r="367" spans="1:13" s="1086" customFormat="1" ht="25.2"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3"/>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2"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4544</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4545</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4" t="s">
        <v>4547</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4549</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4494</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4372</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4380</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4551</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2" hidden="1" customHeight="1">
      <c r="A429" s="1156">
        <f t="shared" si="35"/>
        <v>0</v>
      </c>
      <c r="B429" s="1327" t="s">
        <v>4552</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4553</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2" hidden="1" customHeight="1">
      <c r="A451" s="1156">
        <f t="shared" si="35"/>
        <v>0</v>
      </c>
      <c r="B451" s="1327"/>
      <c r="C451" s="1327"/>
      <c r="D451" s="1164"/>
      <c r="E451" s="1203"/>
      <c r="F451" s="1204"/>
      <c r="H451" s="1903"/>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2"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4777</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4">
        <f>53*H484*0.224</f>
        <v>0</v>
      </c>
      <c r="I486" s="2065">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2" hidden="1" customHeight="1">
      <c r="A512" s="1156">
        <f t="shared" si="44"/>
        <v>0</v>
      </c>
      <c r="B512" s="1327" t="s">
        <v>4805</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4553</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4806</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2" hidden="1" customHeight="1">
      <c r="A530" s="1156">
        <f t="shared" si="44"/>
        <v>0</v>
      </c>
      <c r="B530" s="1327"/>
      <c r="C530" s="1327"/>
      <c r="D530" s="1164"/>
      <c r="E530" s="1203"/>
      <c r="F530" s="1204"/>
      <c r="H530" s="1903"/>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2"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2" hidden="1" customHeight="1">
      <c r="A620" s="1156">
        <f t="shared" si="51"/>
        <v>0</v>
      </c>
      <c r="B620" s="1322"/>
      <c r="C620" s="1322"/>
      <c r="D620" s="1164"/>
      <c r="E620" s="1203"/>
      <c r="H620" s="1903"/>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4482</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2"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2"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2" hidden="1" customHeight="1">
      <c r="A715" s="1156">
        <f t="shared" si="54"/>
        <v>0</v>
      </c>
      <c r="B715" s="1322" t="s">
        <v>4384</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4374</v>
      </c>
      <c r="G751" s="1076" t="s">
        <v>2394</v>
      </c>
      <c r="H751" s="1889">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2" hidden="1" customHeight="1">
      <c r="A753" s="1156">
        <f t="shared" si="57"/>
        <v>0</v>
      </c>
      <c r="B753" s="1157" t="s">
        <v>4362</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4407</v>
      </c>
      <c r="G759" s="1076" t="s">
        <v>2394</v>
      </c>
      <c r="H759" s="1889"/>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2" hidden="1" customHeight="1">
      <c r="A806" s="1156">
        <f t="shared" si="59"/>
        <v>0</v>
      </c>
      <c r="B806" s="1327" t="s">
        <v>4376</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2" hidden="1" customHeight="1">
      <c r="A811" s="1156">
        <f t="shared" si="59"/>
        <v>0</v>
      </c>
      <c r="B811" s="1332" t="s">
        <v>4378</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4372</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4380</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4"/>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2"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2" hidden="1" customHeight="1">
      <c r="A822" s="1156">
        <f t="shared" si="59"/>
        <v>0</v>
      </c>
      <c r="B822" s="1328" t="s">
        <v>4423</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2" hidden="1" customHeight="1">
      <c r="A838" s="1156">
        <f t="shared" si="59"/>
        <v>0</v>
      </c>
      <c r="B838" s="1327" t="s">
        <v>4814</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4357</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56" t="s">
        <v>4818</v>
      </c>
      <c r="G911" s="2157" t="str">
        <f>VLOOKUP($B911,DG!A:D,DG!$D$2,)</f>
        <v>bộ</v>
      </c>
      <c r="H911" s="1900">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1"/>
      <c r="I930" s="1901"/>
      <c r="J930" s="1901"/>
      <c r="K930" s="1901"/>
      <c r="L930" s="1901"/>
      <c r="M930" s="977"/>
    </row>
    <row r="931" spans="1:13" s="1086" customFormat="1" ht="25.2"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3"/>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2"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2"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2"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2"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2"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2"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2"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2"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2"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2"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2"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4878</v>
      </c>
      <c r="G963" s="1120" t="s">
        <v>2394</v>
      </c>
      <c r="H963" s="1910"/>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2" customHeight="1">
      <c r="A971" s="1156">
        <f t="shared" ref="A971" si="80">IF(I971&gt;0,1,0)</f>
        <v>1</v>
      </c>
      <c r="B971" s="1327"/>
      <c r="C971" s="1327"/>
      <c r="D971" s="1087">
        <f>IF(H971&gt;0,D961+1,D961)</f>
        <v>1</v>
      </c>
      <c r="E971" s="1129"/>
      <c r="F971" s="1122" t="s">
        <v>4879</v>
      </c>
      <c r="G971" s="1120" t="s">
        <v>2394</v>
      </c>
      <c r="H971" s="1910">
        <v>1</v>
      </c>
      <c r="I971" s="1262">
        <f t="shared" si="79"/>
        <v>1</v>
      </c>
      <c r="J971" s="1130"/>
      <c r="K971" s="1130"/>
      <c r="L971" s="1085"/>
      <c r="M971" s="977">
        <v>160</v>
      </c>
    </row>
    <row r="972" spans="1:13" s="1086" customFormat="1" ht="25.2"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2" customHeight="1">
      <c r="A973" s="1156">
        <f t="shared" ref="A973:A986" si="81">IF(I973&gt;0,1,0)</f>
        <v>1</v>
      </c>
      <c r="B973" s="1157" t="s">
        <v>4882</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2" customHeight="1">
      <c r="A974" s="1156">
        <f t="shared" si="81"/>
        <v>1</v>
      </c>
      <c r="B974" s="1157" t="s">
        <v>4883</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2" customHeight="1">
      <c r="A975" s="1156">
        <f t="shared" ref="A975:A978" si="83">IF(I975&gt;0,1,0)</f>
        <v>1</v>
      </c>
      <c r="B975" s="1157" t="s">
        <v>4884</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2" customHeight="1">
      <c r="A976" s="1156">
        <f t="shared" si="83"/>
        <v>1</v>
      </c>
      <c r="B976" s="1157" t="s">
        <v>4885</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2" customHeight="1">
      <c r="A977" s="1156">
        <f t="shared" si="83"/>
        <v>1</v>
      </c>
      <c r="B977" s="1157" t="s">
        <v>4886</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2" customHeight="1">
      <c r="A978" s="1156">
        <f t="shared" si="83"/>
        <v>1</v>
      </c>
      <c r="B978" s="1157" t="s">
        <v>4887</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2" customHeight="1">
      <c r="A979" s="1156">
        <f t="shared" si="81"/>
        <v>1</v>
      </c>
      <c r="B979" s="1157" t="s">
        <v>4888</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2"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2"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2" customHeight="1">
      <c r="A982" s="1156">
        <f t="shared" si="81"/>
        <v>1</v>
      </c>
      <c r="B982" s="1327" t="s">
        <v>4890</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2" customHeight="1">
      <c r="A983" s="1156">
        <f t="shared" ref="A983" si="87">IF(I983&gt;0,1,0)</f>
        <v>1</v>
      </c>
      <c r="B983" s="1327" t="s">
        <v>4889</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2" customHeight="1">
      <c r="A984" s="1156">
        <f t="shared" si="81"/>
        <v>1</v>
      </c>
      <c r="B984" s="1327" t="s">
        <v>4891</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2" customHeight="1">
      <c r="A985" s="1156">
        <f t="shared" si="81"/>
        <v>1</v>
      </c>
      <c r="B985" s="1327" t="s">
        <v>2250</v>
      </c>
      <c r="C985" s="1327"/>
      <c r="D985" s="1081"/>
      <c r="E985" s="1094" t="str">
        <f>VLOOKUP($B985,DG!A:D,DG!$B$2,)</f>
        <v>05.6044</v>
      </c>
      <c r="F985" s="1083" t="s">
        <v>4894</v>
      </c>
      <c r="G985" s="1094" t="s">
        <v>2451</v>
      </c>
      <c r="H985" s="1874">
        <v>0.24</v>
      </c>
      <c r="I985" s="1262">
        <f t="shared" si="82"/>
        <v>0.24</v>
      </c>
      <c r="J985" s="1111"/>
      <c r="K985" s="1111"/>
      <c r="L985" s="1085"/>
      <c r="M985" s="977">
        <v>160</v>
      </c>
    </row>
    <row r="986" spans="1:13" s="1086" customFormat="1" ht="25.2"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2"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2"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2"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2"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2"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2"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2"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2" hidden="1" customHeight="1">
      <c r="A994" s="1156">
        <f t="shared" si="78"/>
        <v>0</v>
      </c>
      <c r="B994" s="1327"/>
      <c r="C994" s="1327"/>
      <c r="D994" s="1087">
        <f>IF(H994&gt;0,D987+1,D987)</f>
        <v>0</v>
      </c>
      <c r="E994" s="1088"/>
      <c r="F994" s="1133" t="s">
        <v>4485</v>
      </c>
      <c r="G994" s="1087" t="s">
        <v>2394</v>
      </c>
      <c r="H994" s="1890">
        <f>$H$963*2</f>
        <v>0</v>
      </c>
      <c r="I994" s="1262">
        <f t="shared" si="79"/>
        <v>0</v>
      </c>
      <c r="J994" s="1134"/>
      <c r="K994" s="1134"/>
      <c r="L994" s="1085"/>
      <c r="M994" s="977">
        <v>160</v>
      </c>
    </row>
    <row r="995" spans="1:13" s="1086" customFormat="1" ht="25.2"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2"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2"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2"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2"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2" hidden="1" customHeight="1">
      <c r="A1001" s="1156">
        <f t="shared" ref="A1001:A1006" si="89">IF(I1001&gt;0,1,0)</f>
        <v>0</v>
      </c>
      <c r="B1001" s="1327"/>
      <c r="C1001" s="1327"/>
      <c r="D1001" s="1087">
        <f>IF(H1001&gt;0,D994+1,D994)</f>
        <v>0</v>
      </c>
      <c r="E1001" s="1088"/>
      <c r="F1001" s="1133" t="s">
        <v>4492</v>
      </c>
      <c r="G1001" s="1087" t="s">
        <v>2394</v>
      </c>
      <c r="H1001" s="1890">
        <f>$H$963*1</f>
        <v>0</v>
      </c>
      <c r="I1001" s="1262">
        <f t="shared" ref="I1001:I1006" si="90">IF(M1001=$M$23,H1001+J1001-K1001,0)</f>
        <v>0</v>
      </c>
      <c r="J1001" s="1134"/>
      <c r="K1001" s="1134"/>
      <c r="L1001" s="1085"/>
      <c r="M1001" s="977">
        <v>160</v>
      </c>
    </row>
    <row r="1002" spans="1:13" s="1086" customFormat="1" ht="25.2"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2" hidden="1" customHeight="1">
      <c r="A1003" s="1156">
        <f t="shared" si="89"/>
        <v>0</v>
      </c>
      <c r="B1003" s="1334" t="s">
        <v>4486</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2"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2"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2"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2"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2"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2"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2"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2"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2"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2"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2"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2"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2"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2"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2"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2"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2"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2"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2"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2"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2"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2"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2"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2"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2"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2"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2"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2"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2"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2"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2"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2"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2"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2"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2"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2"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2"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2"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2"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2"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2"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2"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2"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2"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2"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2"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2"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3">
        <v>1.44</v>
      </c>
      <c r="I1050" s="1933">
        <f t="shared" si="79"/>
        <v>1.44</v>
      </c>
      <c r="J1050" s="1084"/>
      <c r="K1050" s="1084"/>
      <c r="L1050" s="1113"/>
      <c r="M1050" s="977">
        <v>160</v>
      </c>
    </row>
    <row r="1051" spans="1:13" s="1086" customFormat="1" ht="25.2"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78">
        <f>H1050</f>
        <v>1.44</v>
      </c>
      <c r="I1051" s="1933">
        <f t="shared" si="79"/>
        <v>1.44</v>
      </c>
      <c r="J1051" s="1084"/>
      <c r="K1051" s="1084"/>
      <c r="L1051" s="1113"/>
      <c r="M1051" s="977">
        <v>160</v>
      </c>
    </row>
    <row r="1052" spans="1:13" s="1086" customFormat="1" ht="25.2"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2"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2"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2"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2"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2" hidden="1" customHeight="1">
      <c r="A1057" s="1156">
        <f t="shared" si="91"/>
        <v>0</v>
      </c>
      <c r="B1057" s="1327" t="s">
        <v>4447</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2"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2"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2"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2"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2"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2" hidden="1" customHeight="1">
      <c r="A1063" s="1156">
        <f t="shared" si="91"/>
        <v>0</v>
      </c>
      <c r="B1063" s="1327" t="s">
        <v>4447</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2"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2"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2"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2"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2"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2" customHeight="1">
      <c r="A1069" s="1156">
        <f t="shared" ref="A1069" si="95">IF(I1069&gt;0,1,0)</f>
        <v>1</v>
      </c>
      <c r="B1069" s="1359" t="s">
        <v>4896</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2"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2"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2"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2"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2"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2"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2"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2"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2"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2"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2"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2"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2"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2"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2"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2"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2"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2"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2"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2"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2"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2"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2"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2"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2"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2"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2"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2"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2"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2"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2"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2"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2"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2"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2"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2"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2"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2"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2"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2"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2"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2"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2"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2"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2"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2" customHeight="1">
      <c r="A1115" s="1156">
        <f t="shared" si="97"/>
        <v>1</v>
      </c>
      <c r="B1115" s="1327" t="s">
        <v>4378</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2" customHeight="1">
      <c r="A1116" s="1156">
        <f t="shared" si="97"/>
        <v>1</v>
      </c>
      <c r="B1116" s="1327" t="s">
        <v>4372</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2" customHeight="1">
      <c r="A1117" s="1156">
        <f t="shared" ref="A1117" si="98">IF(I1117&gt;0,1,0)</f>
        <v>1</v>
      </c>
      <c r="B1117" s="1327" t="s">
        <v>4380</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2"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2"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79">
        <f>H1118</f>
        <v>3</v>
      </c>
      <c r="I1119" s="1262">
        <f t="shared" si="94"/>
        <v>3</v>
      </c>
      <c r="J1119" s="1084"/>
      <c r="K1119" s="1084"/>
      <c r="L1119" s="1113"/>
      <c r="M1119" s="977">
        <v>160</v>
      </c>
    </row>
    <row r="1120" spans="1:13" s="1086" customFormat="1" ht="25.2"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2"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79">
        <f>H1119</f>
        <v>3</v>
      </c>
      <c r="I1121" s="1262">
        <f t="shared" si="99"/>
        <v>3</v>
      </c>
      <c r="J1121" s="1084"/>
      <c r="K1121" s="1084"/>
      <c r="L1121" s="1113"/>
      <c r="M1121" s="977">
        <v>160</v>
      </c>
    </row>
    <row r="1122" spans="1:13" s="1086" customFormat="1" ht="25.2"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2"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2"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79">
        <f>H1109+H1110</f>
        <v>24</v>
      </c>
      <c r="I1124" s="1262">
        <f t="shared" si="99"/>
        <v>24</v>
      </c>
      <c r="J1124" s="1084"/>
      <c r="K1124" s="1084"/>
      <c r="L1124" s="1113"/>
      <c r="M1124" s="977">
        <v>160</v>
      </c>
    </row>
    <row r="1125" spans="1:13" s="1086" customFormat="1" ht="25.2"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2"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2"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2"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2"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2"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2"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2"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2"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2"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2"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2"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2"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2" customHeight="1">
      <c r="A1138" s="1156">
        <f t="shared" si="97"/>
        <v>1</v>
      </c>
      <c r="B1138" s="1327" t="s">
        <v>4493</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2"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2" customHeight="1">
      <c r="A1140" s="1156">
        <f t="shared" si="100"/>
        <v>1</v>
      </c>
      <c r="B1140" s="1327" t="s">
        <v>4635</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2" customHeight="1">
      <c r="A1141" s="1156">
        <f t="shared" si="97"/>
        <v>1</v>
      </c>
      <c r="B1141" s="1327" t="s">
        <v>4897</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2"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2"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2"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2"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2"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2"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2"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2"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2"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2"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2" hidden="1" customHeight="1">
      <c r="A1152" s="1156">
        <f t="shared" si="102"/>
        <v>0</v>
      </c>
      <c r="B1152" s="1327" t="s">
        <v>4378</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2" hidden="1" customHeight="1">
      <c r="A1153" s="1156">
        <f t="shared" si="102"/>
        <v>0</v>
      </c>
      <c r="B1153" s="1327" t="s">
        <v>4372</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2" hidden="1" customHeight="1">
      <c r="A1154" s="1156">
        <f t="shared" si="97"/>
        <v>0</v>
      </c>
      <c r="B1154" s="1327" t="s">
        <v>4380</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2"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2"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2"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2"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2"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2"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2"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2"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2"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2"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2"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2"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2"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2"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2"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2"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2"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2"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2"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2"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2"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2"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2"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2"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2"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2"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2"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2"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2"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2"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2"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2"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2" hidden="1" customHeight="1">
      <c r="A1187" s="1156">
        <f t="shared" si="104"/>
        <v>0</v>
      </c>
      <c r="B1187" s="1157"/>
      <c r="C1187" s="1157"/>
      <c r="D1187" s="1145"/>
      <c r="F1187" s="1146"/>
      <c r="H1187" s="1903"/>
      <c r="I1187" s="1262">
        <f t="shared" si="99"/>
        <v>0</v>
      </c>
      <c r="M1187" s="977"/>
    </row>
    <row r="1188" spans="1:13" s="1086" customFormat="1" ht="25.2"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2"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2" hidden="1" customHeight="1">
      <c r="A1190" s="1156">
        <f t="shared" si="104"/>
        <v>0</v>
      </c>
      <c r="B1190" s="1328" t="s">
        <v>4533</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2"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2" hidden="1" customHeight="1">
      <c r="A1192" s="1156">
        <f t="shared" si="104"/>
        <v>0</v>
      </c>
      <c r="B1192" s="1328" t="s">
        <v>4534</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2"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2"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2" hidden="1" customHeight="1">
      <c r="A1195" s="1156">
        <f t="shared" si="104"/>
        <v>0</v>
      </c>
      <c r="B1195" s="1328" t="s">
        <v>4636</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4594</v>
      </c>
      <c r="M1195" s="977">
        <v>250</v>
      </c>
    </row>
    <row r="1196" spans="1:13" s="1086" customFormat="1" ht="25.2"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2"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2"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2"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2"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2"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2"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2"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2"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2"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2"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2"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2"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2"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2"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2"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2"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2"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2"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2"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2"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2"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2"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2"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2"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2"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2"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2"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2"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2"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2"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2"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2"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2"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2"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2"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2"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2"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2"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2"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2"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2"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2"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2"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2"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2"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2"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2" hidden="1" customHeight="1">
      <c r="A1243" s="1156">
        <f t="shared" si="107"/>
        <v>0</v>
      </c>
      <c r="B1243" s="1347" t="s">
        <v>4357</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2"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2"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2"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2"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2"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2"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2" hidden="1" customHeight="1">
      <c r="A1250" s="1156">
        <f t="shared" si="107"/>
        <v>0</v>
      </c>
      <c r="B1250" s="1327"/>
      <c r="C1250" s="1327"/>
      <c r="D1250" s="1087">
        <f>IF(H1250&gt;0,D1241+1,D1241)</f>
        <v>2</v>
      </c>
      <c r="E1250" s="1088"/>
      <c r="F1250" s="1133" t="s">
        <v>4592</v>
      </c>
      <c r="G1250" s="1087" t="s">
        <v>2394</v>
      </c>
      <c r="H1250" s="1890">
        <v>1</v>
      </c>
      <c r="I1250" s="1262">
        <f t="shared" si="105"/>
        <v>0</v>
      </c>
      <c r="J1250" s="1134"/>
      <c r="K1250" s="1134"/>
      <c r="L1250" s="1085"/>
      <c r="M1250" s="977">
        <v>250</v>
      </c>
    </row>
    <row r="1251" spans="1:13" s="1086" customFormat="1" ht="25.2"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2"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4">
        <v>1</v>
      </c>
      <c r="I1252" s="1995">
        <f t="shared" ref="I1252:I1315" si="108">IF(M1252=$M$23,H1252+J1252-K1252,0)</f>
        <v>0</v>
      </c>
      <c r="J1252" s="1111"/>
      <c r="K1252" s="1111"/>
      <c r="L1252" s="1085"/>
      <c r="M1252" s="977">
        <v>250</v>
      </c>
    </row>
    <row r="1253" spans="1:13" s="1086" customFormat="1" ht="25.2"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2"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2"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2"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2"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2"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2"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4"/>
      <c r="I1259" s="1995">
        <f>H1259</f>
        <v>0</v>
      </c>
      <c r="J1259" s="1111"/>
      <c r="K1259" s="1111"/>
      <c r="L1259" s="1085"/>
      <c r="M1259" s="977">
        <v>250</v>
      </c>
    </row>
    <row r="1260" spans="1:13" s="1086" customFormat="1" ht="25.2"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2"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2"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2"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2"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2"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2"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2"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2"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2"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2"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2"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2"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2"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2"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2"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2"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2"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2"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2"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2"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2"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2"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2"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2"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2"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2"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2"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2"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2"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2"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2"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2"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2"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2"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2"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2"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2"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2"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2"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2"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2" hidden="1" customHeight="1">
      <c r="A1301" s="1156">
        <f t="shared" si="109"/>
        <v>0</v>
      </c>
      <c r="B1301" s="1327" t="s">
        <v>4441</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2"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2"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2"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2"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2"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2" hidden="1" customHeight="1">
      <c r="A1307" s="1156">
        <f t="shared" si="109"/>
        <v>0</v>
      </c>
      <c r="B1307" s="1327" t="s">
        <v>4441</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2"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2"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2"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2"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2"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2"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2"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2"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2"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2"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2" hidden="1" customHeight="1">
      <c r="A1318" s="1156">
        <f t="shared" si="109"/>
        <v>0</v>
      </c>
      <c r="B1318" s="1327" t="s">
        <v>4441</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2"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2"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2"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2"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2"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2"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2"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2"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2"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2"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2"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2"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2"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2"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2"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2"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2"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2"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2"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2"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2"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2"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2"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2"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2"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2"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2"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2"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2"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2"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2"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2"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2"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2"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2"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2"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2" hidden="1" customHeight="1">
      <c r="A1355" s="1156">
        <f t="shared" si="109"/>
        <v>0</v>
      </c>
      <c r="B1355" s="970" t="s">
        <v>4572</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2" hidden="1" customHeight="1">
      <c r="A1356" s="1156">
        <f>IF(I1356&gt;0,1,0)</f>
        <v>0</v>
      </c>
      <c r="B1356" s="970" t="s">
        <v>4378</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2" hidden="1" customHeight="1">
      <c r="A1357" s="1156">
        <f>IF(I1357&gt;0,1,0)</f>
        <v>0</v>
      </c>
      <c r="B1357" s="970" t="s">
        <v>4380</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2" hidden="1" customHeight="1">
      <c r="A1358" s="1156">
        <f t="shared" si="109"/>
        <v>0</v>
      </c>
      <c r="B1358" s="1157" t="s">
        <v>4595</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2" hidden="1" customHeight="1">
      <c r="A1359" s="1156">
        <f t="shared" si="109"/>
        <v>0</v>
      </c>
      <c r="B1359" s="970" t="s">
        <v>4596</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2"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2"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2"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2"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2"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2"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2"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2"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2"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2"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2"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2"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2"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2"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2"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2"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2"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2"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2"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2"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2"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2"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2"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2"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2"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2"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2"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2"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2"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2"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2"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2"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2"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2"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2"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2"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2"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2" hidden="1" customHeight="1">
      <c r="A1397" s="1156">
        <f t="shared" si="111"/>
        <v>0</v>
      </c>
      <c r="B1397" s="1349" t="s">
        <v>4635</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2"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2"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2"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2"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2"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2"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2"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2"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2"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2"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2"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2"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2"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2"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2"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2"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2"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2"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2"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2"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2"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2"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2"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2"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2"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2"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2"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2"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2"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2"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2"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2"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2"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2"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2"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2"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2" hidden="1" customHeight="1">
      <c r="A1434" s="1156">
        <f t="shared" si="118"/>
        <v>0</v>
      </c>
      <c r="B1434" s="1157"/>
      <c r="C1434" s="1157"/>
      <c r="D1434" s="1145"/>
      <c r="F1434" s="1146"/>
      <c r="H1434" s="1903"/>
      <c r="I1434" s="1262">
        <f t="shared" si="112"/>
        <v>0</v>
      </c>
      <c r="M1434" s="977"/>
    </row>
    <row r="1435" spans="1:13" s="1086" customFormat="1" ht="25.2"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2"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2"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2"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2" hidden="1" customHeight="1">
      <c r="A1439" s="1156">
        <f t="shared" si="118"/>
        <v>0</v>
      </c>
      <c r="B1439" s="1328" t="s">
        <v>4534</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2"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2"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2"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2"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2"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2"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2"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2"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2"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2"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2"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2"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2"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2"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2"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2"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2"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2"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2"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2"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2"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2"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2"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2"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2"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2"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2"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2"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2"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2"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2"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2"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2"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2"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2"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2" hidden="1" customHeight="1">
      <c r="A1475" s="1156">
        <f t="shared" si="118"/>
        <v>0</v>
      </c>
      <c r="B1475" s="1327"/>
      <c r="C1475" s="1327"/>
      <c r="D1475" s="1087">
        <f>IF(H1475&gt;0,D1466+1,D1466)</f>
        <v>0</v>
      </c>
      <c r="E1475" s="1088"/>
      <c r="F1475" s="1133" t="s">
        <v>4569</v>
      </c>
      <c r="G1475" s="1087" t="s">
        <v>2394</v>
      </c>
      <c r="H1475" s="1890">
        <f>H1466*2</f>
        <v>0</v>
      </c>
      <c r="I1475" s="1262">
        <f t="shared" si="120"/>
        <v>0</v>
      </c>
      <c r="J1475" s="1134"/>
      <c r="K1475" s="1134"/>
      <c r="L1475" s="1085"/>
      <c r="M1475" s="977">
        <v>320</v>
      </c>
    </row>
    <row r="1476" spans="1:13" s="1086" customFormat="1" ht="25.2"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2"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2"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2"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2"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2"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2"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2"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2"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2"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2"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2"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2"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2"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2"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2"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2"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2"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2"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2"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2"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2"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2"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2"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2"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2"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2"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2"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2"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2"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2"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2"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2"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2"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2"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2"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2"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2"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2"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2"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2"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2"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1">
        <f>54*0.224*H1515</f>
        <v>0</v>
      </c>
      <c r="I1517" s="1262">
        <f t="shared" si="122"/>
        <v>0</v>
      </c>
      <c r="J1517" s="1084"/>
      <c r="K1517" s="1084"/>
      <c r="L1517" s="1113"/>
      <c r="M1517" s="977">
        <v>320</v>
      </c>
    </row>
    <row r="1518" spans="1:13" s="1086" customFormat="1" ht="25.2"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2"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2"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2"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2"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2"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2"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2"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2"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2"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2"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2"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2"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2"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2"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2"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2"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2"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2" hidden="1" customHeight="1">
      <c r="A1536" s="1156">
        <f t="shared" si="121"/>
        <v>0</v>
      </c>
      <c r="B1536" s="1327"/>
      <c r="C1536" s="1327"/>
      <c r="D1536" s="1087">
        <f>IF(H1536&gt;0,D1515+1,D1515)</f>
        <v>1</v>
      </c>
      <c r="E1536" s="1088"/>
      <c r="F1536" s="1089" t="s">
        <v>4849</v>
      </c>
      <c r="G1536" s="1087" t="s">
        <v>2394</v>
      </c>
      <c r="H1536" s="1890">
        <v>1</v>
      </c>
      <c r="I1536" s="1262">
        <f t="shared" si="122"/>
        <v>0</v>
      </c>
      <c r="J1536" s="1084"/>
      <c r="K1536" s="1084"/>
      <c r="L1536" s="1085"/>
      <c r="M1536" s="977">
        <v>320</v>
      </c>
    </row>
    <row r="1537" spans="1:16" s="1086" customFormat="1" ht="25.2"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2"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2" hidden="1" customHeight="1">
      <c r="A1539" s="1156">
        <f t="shared" si="121"/>
        <v>0</v>
      </c>
      <c r="B1539" s="1327" t="s">
        <v>4441</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2"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2"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2"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2"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2"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2" hidden="1" customHeight="1">
      <c r="A1545" s="1156">
        <f t="shared" si="121"/>
        <v>0</v>
      </c>
      <c r="B1545" s="1327" t="s">
        <v>4441</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2"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2"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2"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2"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2"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2"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2"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2"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2"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2"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2"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2"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2"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2"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2"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2"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2"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2"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2"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2"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2"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2"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2"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2"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2"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2"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2"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2"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 hidden="1" customHeight="1">
      <c r="A1574" s="1156">
        <f t="shared" si="123"/>
        <v>0</v>
      </c>
      <c r="B1574" s="1327"/>
      <c r="C1574" s="1327"/>
      <c r="D1574" s="1087">
        <f>IF(H1574&gt;0,D1565+1,D1565)</f>
        <v>2</v>
      </c>
      <c r="E1574" s="1088"/>
      <c r="F1574" s="2212" t="s">
        <v>3763</v>
      </c>
      <c r="G1574" s="1087" t="s">
        <v>2394</v>
      </c>
      <c r="H1574" s="1890">
        <f>H1437*0</f>
        <v>0</v>
      </c>
      <c r="I1574" s="1262">
        <f t="shared" ref="I1574:I1642" si="124">IF(M1574=$M$23,H1574+J1574-K1574,0)</f>
        <v>0</v>
      </c>
      <c r="J1574" s="1084"/>
      <c r="K1574" s="1084"/>
      <c r="L1574" s="1085"/>
      <c r="M1574" s="977">
        <v>320</v>
      </c>
    </row>
    <row r="1575" spans="1:13" s="1086" customFormat="1" ht="25.2"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2"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2"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2"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2"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2"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2"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2"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2"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2"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2"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2"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2"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2"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2"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2"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2"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2"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2"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2"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2" hidden="1" customHeight="1">
      <c r="A1595" s="1156">
        <f t="shared" si="123"/>
        <v>0</v>
      </c>
      <c r="B1595" s="1157" t="s">
        <v>4494</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2"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2"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2"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2" hidden="1" customHeight="1">
      <c r="A1599" s="1156">
        <f t="shared" si="123"/>
        <v>0</v>
      </c>
      <c r="B1599" s="1157" t="s">
        <v>4756</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2"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2"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2"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2"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2"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2"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2"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2"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2"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2"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2"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2"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2"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2"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2"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2"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2"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2"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2"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2"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2"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2"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2"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2"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2"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2"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2"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2"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2"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2"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2" hidden="1" customHeight="1">
      <c r="A1630" s="1156">
        <f t="shared" si="130"/>
        <v>0</v>
      </c>
      <c r="B1630" s="1327" t="s">
        <v>4816</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2"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2"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2"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2"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2"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2"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2"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2"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2"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2"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2"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2"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2"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2"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2"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2"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2"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2"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2"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2"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2"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2"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2"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2"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2"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2"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2"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2"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2"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2"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2"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2"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2"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2"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2"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2"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2"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2"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2"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2"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2" hidden="1" customHeight="1">
      <c r="A1671" s="1156">
        <f t="shared" si="129"/>
        <v>0</v>
      </c>
      <c r="B1671" s="1157"/>
      <c r="C1671" s="1157"/>
      <c r="D1671" s="1145"/>
      <c r="F1671" s="1146"/>
      <c r="H1671" s="1903"/>
      <c r="I1671" s="1262">
        <f t="shared" si="132"/>
        <v>0</v>
      </c>
      <c r="M1671" s="977"/>
    </row>
    <row r="1672" spans="1:13" s="1086" customFormat="1" ht="25.2"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2"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2" hidden="1" customHeight="1">
      <c r="A1674" s="1156">
        <f t="shared" si="129"/>
        <v>0</v>
      </c>
      <c r="B1674" s="1328" t="s">
        <v>4535</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2"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2" hidden="1" customHeight="1">
      <c r="A1676" s="1156">
        <f t="shared" si="129"/>
        <v>0</v>
      </c>
      <c r="B1676" s="1328" t="s">
        <v>4536</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2"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2"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2"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2"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2" hidden="1" customHeight="1">
      <c r="A1681" s="1156">
        <f t="shared" ref="A1681:A1743" si="134">IF(I1681&gt;0,1,0)</f>
        <v>0</v>
      </c>
      <c r="B1681" s="1328" t="s">
        <v>4537</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2"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2"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2"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2"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2"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2"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2"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2"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2"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2"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2"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2"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2"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2"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2"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2"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2"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2"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2"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2"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2"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2"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2"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2"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2"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2"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2"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2"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2"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2"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2"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2"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2"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2"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2"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2"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2"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2"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2"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2"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2"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2"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2"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2"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2"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2"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2"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2"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2"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2"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2"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2"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2"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2"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2"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2"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2"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2"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2"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2"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2"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2"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2"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2"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2"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2"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2"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2"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2"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2"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2"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2"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2"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2"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2"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2"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2"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2"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2"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2"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2"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2"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2"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2"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2"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2"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2"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2"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2"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2"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2"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2"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2"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2" hidden="1" customHeight="1">
      <c r="A1775" s="1156">
        <f t="shared" si="136"/>
        <v>0</v>
      </c>
      <c r="B1775" s="1327" t="s">
        <v>4441</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2"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2"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2"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2"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2"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2" hidden="1" customHeight="1">
      <c r="A1781" s="1156">
        <f t="shared" si="136"/>
        <v>0</v>
      </c>
      <c r="B1781" s="1327" t="s">
        <v>4441</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2"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2"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2"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2"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2"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2"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2"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2"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2"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2" hidden="1" customHeight="1">
      <c r="A1791" s="1156">
        <f t="shared" si="136"/>
        <v>0</v>
      </c>
      <c r="B1791" s="1327" t="s">
        <v>4441</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2"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2"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2"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2"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2"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2"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2"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2"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2"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2"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2"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2"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2"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2"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2"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2"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2"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2"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2"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2"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2"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2"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2"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2"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2"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2"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2"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2"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2"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2"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2"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2"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2"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2"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2"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2"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2"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2"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2"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2"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2"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2"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2"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2"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2"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2"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2"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2"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2"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2"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2"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2"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2"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2"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2"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2"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2"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2"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2"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2"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2"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2"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2"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2"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2"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2"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2"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2"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2"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2"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2"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2"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2"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2"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2"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2"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2"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2"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2"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2"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2"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2"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2"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2"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2"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2"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2"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2"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2"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2"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2"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2"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2"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2"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2"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2"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2"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2"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2" hidden="1" customHeight="1">
      <c r="A1890" s="1156">
        <f t="shared" si="140"/>
        <v>0</v>
      </c>
      <c r="B1890" s="1157"/>
      <c r="C1890" s="1157"/>
      <c r="D1890" s="1145"/>
      <c r="F1890" s="1146"/>
      <c r="H1890" s="1903"/>
      <c r="I1890" s="1262">
        <f t="shared" si="139"/>
        <v>0</v>
      </c>
      <c r="M1890" s="977"/>
    </row>
    <row r="1891" spans="1:13" s="1086" customFormat="1" ht="25.2"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2"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2"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2"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2" hidden="1" customHeight="1">
      <c r="A1895" s="1156">
        <f t="shared" si="140"/>
        <v>0</v>
      </c>
      <c r="B1895" s="1328" t="s">
        <v>4538</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2"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2"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2"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2"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2"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2"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2"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2" hidden="1" customHeight="1">
      <c r="A1903" s="1156">
        <f t="shared" si="140"/>
        <v>0</v>
      </c>
      <c r="B1903" s="1328" t="s">
        <v>4539</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2" hidden="1" customHeight="1">
      <c r="A1904" s="1156">
        <f t="shared" si="140"/>
        <v>0</v>
      </c>
      <c r="B1904" s="1328" t="s">
        <v>4537</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2"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2"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2"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2"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2"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2"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2"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2"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2"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2"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2"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2"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2"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2"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2"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2"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2"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2"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2"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2"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2"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2"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2"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2"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2"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2"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2"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2"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2"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2"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2"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2"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2"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2"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2"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2"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2"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2"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2"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2"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2"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2"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2"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2"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2"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2"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2"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2"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2"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2"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2"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2"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2"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2"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2"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2"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2"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2"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2"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2"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2"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2"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2"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2"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2"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2"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2"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2"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2"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2"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2"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2"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2"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2"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2"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2"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2"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2"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2"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2"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2"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2"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2"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2"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2"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2"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2"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2"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2"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2"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2"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2"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2"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2"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2" hidden="1" customHeight="1">
      <c r="A1999" s="1156">
        <f t="shared" ref="A1999:A2062" si="145">IF(I1999&gt;0,1,0)</f>
        <v>0</v>
      </c>
      <c r="B1999" s="1327" t="s">
        <v>4447</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2"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2"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2"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2"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2"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2" hidden="1" customHeight="1">
      <c r="A2005" s="1156">
        <f t="shared" si="145"/>
        <v>0</v>
      </c>
      <c r="B2005" s="1327" t="s">
        <v>4447</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2"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2"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2"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2"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2"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2"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2"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2"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2"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2"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2"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2" hidden="1" customHeight="1">
      <c r="A2017" s="1156">
        <f t="shared" si="145"/>
        <v>0</v>
      </c>
      <c r="B2017" s="1327" t="s">
        <v>4447</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2"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2"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2"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2"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2"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2"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2"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2"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2"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2"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2"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2"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2"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2"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2"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2"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2"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2"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2"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2"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2"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2"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2"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2"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2"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2"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2"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2"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2"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2"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2"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2"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2"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2"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2"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2"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2"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2"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2"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2"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2"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2"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2"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2"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2"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2"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2"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2"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2"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2"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2"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2"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2"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2"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2"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2"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2"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2"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2"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2"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2"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2"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2"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2"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2"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2"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2"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2"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2"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2"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2"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2"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2"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2"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2"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2"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2"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2"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2"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2"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2"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2"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2"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2"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2"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2"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2"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2"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2"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2"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2"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2"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2"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2"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2"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2"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2"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2"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2"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2"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2"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2"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2"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2"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2"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2"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2"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2"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2"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2"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2" hidden="1" customHeight="1">
      <c r="A2128" s="1156">
        <f t="shared" si="149"/>
        <v>0</v>
      </c>
      <c r="B2128" s="1157"/>
      <c r="C2128" s="1157"/>
      <c r="D2128" s="1145"/>
      <c r="F2128" s="1146"/>
      <c r="H2128" s="1903"/>
      <c r="I2128" s="1262">
        <f t="shared" si="148"/>
        <v>0</v>
      </c>
      <c r="M2128" s="977"/>
    </row>
    <row r="2129" spans="1:13" s="1086" customFormat="1" ht="25.2"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2"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2"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2"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2" hidden="1" customHeight="1">
      <c r="A2133" s="1156">
        <f t="shared" si="149"/>
        <v>0</v>
      </c>
      <c r="B2133" s="1328" t="s">
        <v>4540</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2"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2"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2"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2" hidden="1" customHeight="1">
      <c r="A2137" s="1156">
        <f t="shared" si="149"/>
        <v>0</v>
      </c>
      <c r="B2137" s="1328" t="s">
        <v>4539</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2" hidden="1" customHeight="1">
      <c r="A2138" s="1156">
        <f t="shared" si="149"/>
        <v>0</v>
      </c>
      <c r="B2138" s="1328" t="s">
        <v>4537</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2"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2"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2"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2"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2"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2"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2"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2"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2"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2"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2"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2"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2"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2"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2"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2"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2"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2"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2"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2"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2"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2"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2"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2"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2"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2"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2"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2"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2"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2"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2"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2"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2"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2"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2"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2"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2"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2"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2"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2"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2"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2"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2"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2"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2"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2"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2"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2"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2"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2"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2"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2"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2"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2"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2"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2"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2"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2"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2"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2"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2"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2"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2"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2"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2"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2"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2"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2"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2"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2"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2"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2"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2"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2"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2"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2"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2"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2"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2"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2"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2"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2"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2"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2"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2"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2"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2"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2"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2"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2"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2"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2"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2" hidden="1" customHeight="1">
      <c r="A2231" s="1156">
        <f t="shared" si="152"/>
        <v>0</v>
      </c>
      <c r="B2231" s="1327" t="s">
        <v>4447</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2"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2"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2"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2"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2"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2" hidden="1" customHeight="1">
      <c r="A2237" s="1156">
        <f t="shared" si="152"/>
        <v>0</v>
      </c>
      <c r="B2237" s="1327" t="s">
        <v>4447</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2"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2"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2"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2"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2"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2"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2"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2"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2"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2"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2"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2" hidden="1" customHeight="1">
      <c r="A2249" s="1156">
        <f t="shared" si="152"/>
        <v>0</v>
      </c>
      <c r="B2249" s="1327" t="s">
        <v>4447</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2"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2"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2"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2"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2"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2"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2"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2"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2"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2"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2"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2"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2"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2"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2"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2"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2"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2"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2"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2"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2"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2"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2"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2"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2"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2"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2"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2"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2"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2"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2"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2"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2"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2"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2"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2"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2"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2"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2"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2"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2"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2"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2"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2"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2"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2"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2"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2"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2"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2"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2"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2"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2"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2"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2"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2"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2"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2"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2"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2"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2"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2"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2"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2"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2"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2"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2"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2"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2"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2"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2"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2"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2"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2"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2"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2"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2"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2"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2"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2"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2"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2"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2"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2"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2"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2"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2"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2"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2"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2"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2"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2"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2"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2"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2"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2"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2"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2"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2"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2"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2"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2"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2"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2" hidden="1" customHeight="1">
      <c r="A2353" s="1156">
        <f t="shared" si="156"/>
        <v>0</v>
      </c>
      <c r="B2353" s="1157"/>
      <c r="C2353" s="1157"/>
      <c r="D2353" s="1145"/>
      <c r="F2353" s="1146"/>
      <c r="H2353" s="1903"/>
      <c r="I2353" s="1262">
        <f t="shared" si="157"/>
        <v>0</v>
      </c>
      <c r="M2353" s="977"/>
    </row>
    <row r="2354" spans="1:13" s="1086" customFormat="1" ht="25.2"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2"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2" hidden="1" customHeight="1">
      <c r="A2356" s="1156">
        <f t="shared" si="156"/>
        <v>0</v>
      </c>
      <c r="B2356" s="1328" t="s">
        <v>4541</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2"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2"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2"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2"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2"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2"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2"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2"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2"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2" hidden="1" customHeight="1">
      <c r="A2366" s="1156">
        <f t="shared" si="156"/>
        <v>0</v>
      </c>
      <c r="B2366" s="1328" t="s">
        <v>4537</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2"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2"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2"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2"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2"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2"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2"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2"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2"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2"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2"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2"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2"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2"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2"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2"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2"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2"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2"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2"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2"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2"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2"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2"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2"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2"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2"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2"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2"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2"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2"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2"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2"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2"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2"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2"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2"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2"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2"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2"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2"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2"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2"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2"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2"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2"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2"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2"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2"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2"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2"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2"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2"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2"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2"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2"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2"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2"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2"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2"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2"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2"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2"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2"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2"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2"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2"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2"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2"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2"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2"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2"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2"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2"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2"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2"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2"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2"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2"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2"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2"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2"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2"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2"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2"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2" hidden="1" customHeight="1">
      <c r="A2453" s="1156">
        <f t="shared" si="161"/>
        <v>0</v>
      </c>
      <c r="B2453" s="1329" t="s">
        <v>4447</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2"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2"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2"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2"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2"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2"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2"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2"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2"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2"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2"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2"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2"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2"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2"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2"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2"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2"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2"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2"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2"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2"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2"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2"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2"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2"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2"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2"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2"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2"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2"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2"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2"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2"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2"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2"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2"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2"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2"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2"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2"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2"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2"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2"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2"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2"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2"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2"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2"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2"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2"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2"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2"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2"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2"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2"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2"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2"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2"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2"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2"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2"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2"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2"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2"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2"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2"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2"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2"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2"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2"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2"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2"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2"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2"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2"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2"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2"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2"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2"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2"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2"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2"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2"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2"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2"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2"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2" hidden="1" customHeight="1">
      <c r="A2541" s="1156">
        <f t="shared" si="164"/>
        <v>0</v>
      </c>
      <c r="B2541" s="1157"/>
      <c r="C2541" s="1157"/>
      <c r="D2541" s="1145"/>
      <c r="F2541" s="1146"/>
      <c r="H2541" s="1903"/>
      <c r="I2541" s="1262">
        <f t="shared" si="165"/>
        <v>0</v>
      </c>
      <c r="M2541" s="977"/>
    </row>
    <row r="2542" spans="1:13" s="1086" customFormat="1" ht="25.2"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2"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2" hidden="1" customHeight="1">
      <c r="A2544" s="1156">
        <f t="shared" si="164"/>
        <v>0</v>
      </c>
      <c r="B2544" s="1328" t="s">
        <v>4542</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2"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2"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2"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2"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2"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2"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2"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2"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2"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2"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2"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2"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2"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2"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2"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2"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2"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2"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2"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2"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2"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2"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2"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2"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2"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2"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2"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2"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2"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2"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2"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2"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2"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2"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2"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2"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2"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2"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2"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2"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2"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2"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2"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2"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2"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2"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2"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2"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2"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2"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2"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2"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2"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2"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2"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2"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2"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2"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2"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2"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2"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2"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2"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2"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2"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2"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2"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2"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2"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2"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2"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2"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2"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2"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2"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2"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2"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2"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2"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2"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2"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2"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2"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2"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2"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2"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2"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2"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2"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2"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2"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2"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2"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2"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2"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2"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2"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2"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2"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2"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2"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2"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2"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2"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2"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2"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2"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2"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2"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2"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2"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2"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2"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2"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2"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2"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2"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2"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2"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2"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2"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2"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2"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2"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2"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2"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2"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2"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2"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2"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2"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2"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2"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2"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2"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2"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2"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2"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2"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2"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2"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2"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2"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2"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2"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2"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2"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2"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2"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2"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2"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2"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2"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2"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2"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2"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2"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2"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2"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2"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2"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2"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2"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2"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2"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2"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2"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2"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2"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2"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2"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2"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2"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2"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2"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2"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2"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2"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2"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2"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2"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2"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xr:uid="{00000000-0009-0000-0000-00000E000000}">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79" priority="14"/>
  </conditionalFormatting>
  <conditionalFormatting sqref="B1312:C1312">
    <cfRule type="duplicateValues" dxfId="78" priority="13"/>
  </conditionalFormatting>
  <conditionalFormatting sqref="B1313:C1313">
    <cfRule type="duplicateValues" dxfId="77" priority="12"/>
  </conditionalFormatting>
  <conditionalFormatting sqref="B1313:C1313">
    <cfRule type="duplicateValues" dxfId="76" priority="11"/>
  </conditionalFormatting>
  <conditionalFormatting sqref="B1359:C1359">
    <cfRule type="duplicateValues" dxfId="75" priority="10"/>
  </conditionalFormatting>
  <conditionalFormatting sqref="B1359:C1359">
    <cfRule type="duplicateValues" dxfId="74" priority="9"/>
  </conditionalFormatting>
  <conditionalFormatting sqref="B1393:C1393">
    <cfRule type="duplicateValues" dxfId="73" priority="8"/>
  </conditionalFormatting>
  <conditionalFormatting sqref="B1393:C1393">
    <cfRule type="duplicateValues" dxfId="72" priority="7"/>
  </conditionalFormatting>
  <conditionalFormatting sqref="B1356:C1356">
    <cfRule type="duplicateValues" dxfId="71" priority="6"/>
  </conditionalFormatting>
  <conditionalFormatting sqref="B1356:C1356">
    <cfRule type="duplicateValues" dxfId="70" priority="5"/>
  </conditionalFormatting>
  <conditionalFormatting sqref="B1357:C1357">
    <cfRule type="duplicateValues" dxfId="69" priority="4"/>
  </conditionalFormatting>
  <conditionalFormatting sqref="B1357:C1357">
    <cfRule type="duplicateValues" dxfId="68" priority="3"/>
  </conditionalFormatting>
  <conditionalFormatting sqref="B1355:C1355">
    <cfRule type="duplicateValues" dxfId="67" priority="2"/>
  </conditionalFormatting>
  <conditionalFormatting sqref="B1355:C1355">
    <cfRule type="duplicateValues" dxfId="66"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1"/>
  <sheetViews>
    <sheetView showZeros="0" zoomScale="90" zoomScaleNormal="90" workbookViewId="0">
      <pane ySplit="10" topLeftCell="A2361" activePane="bottomLeft" state="frozen"/>
      <selection activeCell="D399" sqref="D399"/>
      <selection pane="bottomLeft" activeCell="F2367" sqref="F2367"/>
    </sheetView>
  </sheetViews>
  <sheetFormatPr defaultColWidth="8.90625" defaultRowHeight="13.2" outlineLevelRow="1" outlineLevelCol="1"/>
  <cols>
    <col min="1" max="1" width="8.1796875" style="1578" customWidth="1"/>
    <col min="2" max="2" width="9.453125" style="1577" customWidth="1"/>
    <col min="3" max="3" width="4.54296875" style="1854" customWidth="1"/>
    <col min="4" max="4" width="8.36328125" style="1534" customWidth="1"/>
    <col min="5" max="5" width="9.81640625" style="61" customWidth="1"/>
    <col min="6" max="6" width="48.36328125" style="1000" customWidth="1"/>
    <col min="7" max="7" width="11.1796875" style="61" customWidth="1"/>
    <col min="8" max="8" width="10" style="1841" customWidth="1"/>
    <col min="9" max="15" width="10" style="1841" hidden="1" customWidth="1" outlineLevel="1"/>
    <col min="16" max="16" width="10" style="1843" customWidth="1" collapsed="1"/>
    <col min="17" max="18" width="10" style="53" customWidth="1"/>
    <col min="19" max="19" width="9.90625" style="53" customWidth="1"/>
    <col min="20" max="20" width="11.453125" style="2057" customWidth="1"/>
    <col min="21" max="16384" width="8.9062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4863</v>
      </c>
      <c r="F6" s="1022"/>
      <c r="G6" s="1022"/>
      <c r="H6" s="1829"/>
      <c r="I6" s="1842"/>
      <c r="J6" s="1842"/>
      <c r="K6" s="1842"/>
      <c r="L6" s="1842"/>
      <c r="M6" s="1842"/>
      <c r="N6" s="1842"/>
      <c r="O6" s="1842"/>
      <c r="P6" s="1830"/>
      <c r="Q6" s="1425"/>
      <c r="R6" s="1425"/>
      <c r="S6" s="1425"/>
    </row>
    <row r="7" spans="1:20" ht="21.75" customHeight="1">
      <c r="D7" s="1536"/>
      <c r="E7" s="1023" t="str">
        <f>CT_tram!D20</f>
        <v>Công trình: Gói Thầu Số 07 (Xây Dựng): Hệ thống pano, đèn led trang trí, camera an ninh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4316</v>
      </c>
      <c r="E9" s="1044" t="s">
        <v>2329</v>
      </c>
      <c r="F9" s="2718" t="s">
        <v>2289</v>
      </c>
      <c r="G9" s="2718" t="s">
        <v>2604</v>
      </c>
      <c r="H9" s="1956" t="s">
        <v>4315</v>
      </c>
      <c r="I9" s="1833"/>
      <c r="J9" s="1833"/>
      <c r="K9" s="1833"/>
      <c r="L9" s="1833"/>
      <c r="M9" s="1833"/>
      <c r="N9" s="1833"/>
      <c r="O9" s="1833"/>
      <c r="P9" s="929"/>
      <c r="Q9" s="930"/>
      <c r="R9" s="931"/>
      <c r="S9" s="2722" t="s">
        <v>2610</v>
      </c>
    </row>
    <row r="10" spans="1:20" ht="23.25" customHeight="1">
      <c r="B10" s="1580"/>
      <c r="C10" s="1020" t="s">
        <v>512</v>
      </c>
      <c r="D10" s="1538" t="s">
        <v>4317</v>
      </c>
      <c r="E10" s="1044" t="s">
        <v>4422</v>
      </c>
      <c r="F10" s="2719"/>
      <c r="G10" s="2719"/>
      <c r="H10" s="1044" t="s">
        <v>4314</v>
      </c>
      <c r="I10" s="1834" t="s">
        <v>2331</v>
      </c>
      <c r="J10" s="1834" t="s">
        <v>2332</v>
      </c>
      <c r="K10" s="1834" t="s">
        <v>2333</v>
      </c>
      <c r="L10" s="1834" t="s">
        <v>190</v>
      </c>
      <c r="M10" s="1834" t="s">
        <v>191</v>
      </c>
      <c r="N10" s="1834" t="s">
        <v>2334</v>
      </c>
      <c r="O10" s="1834" t="s">
        <v>162</v>
      </c>
      <c r="P10" s="1044" t="s">
        <v>4311</v>
      </c>
      <c r="Q10" s="1071" t="s">
        <v>4499</v>
      </c>
      <c r="R10" s="1071" t="s">
        <v>4500</v>
      </c>
      <c r="S10" s="2723"/>
      <c r="T10" s="2059" t="s">
        <v>4202</v>
      </c>
    </row>
    <row r="11" spans="1:20" ht="22.2"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2"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2"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2"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58">
        <f>IFERROR(HLOOKUP(B14,pp1p!$1:$3,3,0),0)+IFERROR(HLOOKUP(B14,pp3p1m!$1:$3,3,0),0)</f>
        <v>0</v>
      </c>
    </row>
    <row r="15" spans="1:20" ht="22.2"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58">
        <f t="shared" ref="T15:T77" si="1">IFERROR(HLOOKUP(B15,BangKeTru,3,0),0)</f>
        <v>0</v>
      </c>
    </row>
    <row r="16" spans="1:20" ht="22.2"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58">
        <f t="shared" si="1"/>
        <v>0</v>
      </c>
    </row>
    <row r="17" spans="1:20" ht="22.2"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58">
        <f t="shared" si="1"/>
        <v>0</v>
      </c>
    </row>
    <row r="18" spans="1:20" ht="22.2"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58">
        <f>IFERROR(HLOOKUP(B18,pp1p!$1:$3,3,0),0)+IFERROR(HLOOKUP(B18,pp3p1m!$1:$3,3,0),0)</f>
        <v>0</v>
      </c>
    </row>
    <row r="19" spans="1:20" ht="22.2"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58">
        <f t="shared" si="1"/>
        <v>0</v>
      </c>
    </row>
    <row r="20" spans="1:20" ht="22.2"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58">
        <f t="shared" si="1"/>
        <v>0</v>
      </c>
    </row>
    <row r="21" spans="1:20" ht="22.2"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58">
        <f t="shared" si="1"/>
        <v>0</v>
      </c>
    </row>
    <row r="22" spans="1:20" ht="22.2"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58">
        <f t="shared" si="1"/>
        <v>0</v>
      </c>
    </row>
    <row r="23" spans="1:20" ht="22.2"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58">
        <f t="shared" si="1"/>
        <v>0</v>
      </c>
    </row>
    <row r="24" spans="1:20" ht="22.2"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58">
        <f t="shared" si="1"/>
        <v>0</v>
      </c>
    </row>
    <row r="25" spans="1:20" ht="22.2"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58">
        <f t="shared" si="1"/>
        <v>0</v>
      </c>
    </row>
    <row r="26" spans="1:20" ht="22.2"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58">
        <f t="shared" si="1"/>
        <v>0</v>
      </c>
    </row>
    <row r="27" spans="1:20" ht="22.2"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58">
        <f>IFERROR(HLOOKUP(B27,pp1p!$1:$3,3,0),0)+IFERROR(HLOOKUP(B27,pp3p1m!$1:$3,3,0),0)</f>
        <v>0</v>
      </c>
    </row>
    <row r="28" spans="1:20" ht="22.2"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58">
        <f t="shared" si="1"/>
        <v>0</v>
      </c>
    </row>
    <row r="29" spans="1:20" ht="22.2"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58">
        <f t="shared" si="1"/>
        <v>0</v>
      </c>
    </row>
    <row r="30" spans="1:20" ht="22.2"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58">
        <f t="shared" si="1"/>
        <v>0</v>
      </c>
    </row>
    <row r="31" spans="1:20" ht="22.2"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58">
        <f t="shared" si="1"/>
        <v>0</v>
      </c>
    </row>
    <row r="32" spans="1:20" ht="22.2"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58">
        <f t="shared" si="1"/>
        <v>0</v>
      </c>
    </row>
    <row r="33" spans="1:20" ht="22.2"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58">
        <f t="shared" si="1"/>
        <v>0</v>
      </c>
    </row>
    <row r="34" spans="1:20" ht="22.2"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58">
        <f t="shared" si="1"/>
        <v>0</v>
      </c>
    </row>
    <row r="35" spans="1:20" ht="22.2"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58">
        <f t="shared" si="1"/>
        <v>0</v>
      </c>
    </row>
    <row r="36" spans="1:20" ht="22.2"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58">
        <f t="shared" si="1"/>
        <v>0</v>
      </c>
    </row>
    <row r="37" spans="1:20" ht="22.2"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58">
        <f>IFERROR(HLOOKUP(B37,pp1p!$1:$3,3,0),0)+IFERROR(HLOOKUP(B37,pp3p1m!$1:$3,3,0),0)</f>
        <v>0</v>
      </c>
    </row>
    <row r="38" spans="1:20" ht="22.2"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58">
        <f t="shared" si="1"/>
        <v>0</v>
      </c>
    </row>
    <row r="39" spans="1:20" ht="22.2"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58">
        <f t="shared" si="1"/>
        <v>0</v>
      </c>
    </row>
    <row r="40" spans="1:20" ht="22.2"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58">
        <f t="shared" si="1"/>
        <v>0</v>
      </c>
    </row>
    <row r="41" spans="1:20" ht="22.2"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58">
        <f t="shared" si="1"/>
        <v>0</v>
      </c>
    </row>
    <row r="42" spans="1:20" ht="22.2"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58">
        <f t="shared" si="1"/>
        <v>0</v>
      </c>
    </row>
    <row r="43" spans="1:20" ht="22.2"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58">
        <f t="shared" si="1"/>
        <v>0</v>
      </c>
    </row>
    <row r="44" spans="1:20" ht="22.2"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58">
        <f t="shared" si="1"/>
        <v>0</v>
      </c>
    </row>
    <row r="45" spans="1:20" ht="22.2"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58">
        <f>IFERROR(HLOOKUP(B45,pp1p!$1:$3,3,0),0)+IFERROR(HLOOKUP(B45,pp3p1m!$1:$3,3,0),0)</f>
        <v>0</v>
      </c>
    </row>
    <row r="46" spans="1:20" ht="22.2"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58">
        <f t="shared" si="1"/>
        <v>0</v>
      </c>
    </row>
    <row r="47" spans="1:20" ht="22.2"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58">
        <f t="shared" si="1"/>
        <v>0</v>
      </c>
    </row>
    <row r="48" spans="1:20" ht="22.2"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58">
        <f t="shared" si="1"/>
        <v>0</v>
      </c>
    </row>
    <row r="49" spans="1:20" ht="22.2"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58">
        <f t="shared" si="1"/>
        <v>0</v>
      </c>
    </row>
    <row r="50" spans="1:20" ht="22.2"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58">
        <f t="shared" si="1"/>
        <v>0</v>
      </c>
    </row>
    <row r="51" spans="1:20" ht="22.2"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58">
        <f t="shared" si="1"/>
        <v>0</v>
      </c>
    </row>
    <row r="52" spans="1:20" ht="22.2"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58">
        <f t="shared" si="1"/>
        <v>0</v>
      </c>
    </row>
    <row r="53" spans="1:20" ht="22.2"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58">
        <f>IFERROR(HLOOKUP(B53,pp1p!$1:$3,3,0),0)+IFERROR(HLOOKUP(B53,pp3p1m!$1:$3,3,0),0)</f>
        <v>0</v>
      </c>
    </row>
    <row r="54" spans="1:20" ht="22.2"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58">
        <f t="shared" si="1"/>
        <v>0</v>
      </c>
    </row>
    <row r="55" spans="1:20" ht="22.2"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58">
        <f t="shared" si="1"/>
        <v>0</v>
      </c>
    </row>
    <row r="56" spans="1:20" ht="22.2"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58">
        <f t="shared" si="1"/>
        <v>0</v>
      </c>
    </row>
    <row r="57" spans="1:20" ht="22.2"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58">
        <f t="shared" si="1"/>
        <v>0</v>
      </c>
    </row>
    <row r="58" spans="1:20" ht="22.2"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58">
        <f t="shared" si="1"/>
        <v>0</v>
      </c>
    </row>
    <row r="59" spans="1:20" ht="22.2"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58">
        <f t="shared" si="1"/>
        <v>0</v>
      </c>
    </row>
    <row r="60" spans="1:20" ht="22.2"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58">
        <f t="shared" si="1"/>
        <v>0</v>
      </c>
    </row>
    <row r="61" spans="1:20" ht="22.2"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58">
        <f t="shared" si="1"/>
        <v>0</v>
      </c>
    </row>
    <row r="62" spans="1:20" ht="22.2"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58">
        <f t="shared" si="1"/>
        <v>0</v>
      </c>
    </row>
    <row r="63" spans="1:20" ht="22.2"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58">
        <f>IFERROR(HLOOKUP(B63,pp1p!$1:$3,3,0),0)+IFERROR(HLOOKUP(B63,pp3p1m!$1:$3,3,0),0)</f>
        <v>0</v>
      </c>
    </row>
    <row r="64" spans="1:20" ht="22.2"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58">
        <f t="shared" si="1"/>
        <v>0</v>
      </c>
    </row>
    <row r="65" spans="1:20" ht="22.2"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58">
        <f t="shared" si="1"/>
        <v>0</v>
      </c>
    </row>
    <row r="66" spans="1:20" ht="22.2"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58">
        <f t="shared" si="1"/>
        <v>0</v>
      </c>
    </row>
    <row r="67" spans="1:20" ht="22.2"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58">
        <f>IFERROR(HLOOKUP(B67,pp1p!$1:$3,3,0),0)+IFERROR(HLOOKUP(B67,pp3p1m!$1:$3,3,0),0)</f>
        <v>0</v>
      </c>
    </row>
    <row r="68" spans="1:20" ht="22.2"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58">
        <f t="shared" si="1"/>
        <v>0</v>
      </c>
    </row>
    <row r="69" spans="1:20" ht="22.2"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58">
        <f t="shared" si="1"/>
        <v>0</v>
      </c>
    </row>
    <row r="70" spans="1:20" ht="22.2"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58">
        <f t="shared" si="1"/>
        <v>0</v>
      </c>
    </row>
    <row r="71" spans="1:20" ht="22.2"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58">
        <f t="shared" si="1"/>
        <v>0</v>
      </c>
    </row>
    <row r="72" spans="1:20" ht="22.2"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58">
        <f t="shared" si="1"/>
        <v>0</v>
      </c>
    </row>
    <row r="73" spans="1:20" ht="22.2"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58">
        <f t="shared" si="1"/>
        <v>0</v>
      </c>
    </row>
    <row r="74" spans="1:20" ht="22.2"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58">
        <f t="shared" si="1"/>
        <v>0</v>
      </c>
    </row>
    <row r="75" spans="1:20" ht="22.2"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58">
        <f>IFERROR(HLOOKUP(B75,pp1p!$1:$3,3,0),0)+IFERROR(HLOOKUP(B75,pp3p1m!$1:$3,3,0),0)</f>
        <v>0</v>
      </c>
    </row>
    <row r="76" spans="1:20" ht="22.2"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58">
        <f t="shared" si="1"/>
        <v>0</v>
      </c>
    </row>
    <row r="77" spans="1:20" ht="22.2" hidden="1" customHeight="1">
      <c r="A77" s="63"/>
      <c r="B77" s="1586" t="s">
        <v>4447</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58">
        <f t="shared" si="1"/>
        <v>0</v>
      </c>
    </row>
    <row r="78" spans="1:20" ht="22.2"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58">
        <f t="shared" ref="T78:T141" si="12">IFERROR(HLOOKUP(B78,BangKeTru,3,0),0)</f>
        <v>0</v>
      </c>
    </row>
    <row r="79" spans="1:20" ht="22.2"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58">
        <f t="shared" si="12"/>
        <v>0</v>
      </c>
    </row>
    <row r="80" spans="1:20" ht="22.2"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58">
        <f t="shared" si="12"/>
        <v>0</v>
      </c>
    </row>
    <row r="81" spans="1:20" ht="22.2"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58">
        <f t="shared" si="12"/>
        <v>0</v>
      </c>
    </row>
    <row r="82" spans="1:20" ht="22.2"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58">
        <f t="shared" si="12"/>
        <v>0</v>
      </c>
    </row>
    <row r="83" spans="1:20" ht="22.2"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58">
        <f t="shared" si="12"/>
        <v>0</v>
      </c>
    </row>
    <row r="84" spans="1:20" ht="22.2"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58">
        <f t="shared" si="12"/>
        <v>0</v>
      </c>
    </row>
    <row r="85" spans="1:20" ht="22.2"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58">
        <f t="shared" si="12"/>
        <v>0</v>
      </c>
    </row>
    <row r="86" spans="1:20" ht="22.2"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58">
        <f t="shared" si="12"/>
        <v>0</v>
      </c>
    </row>
    <row r="87" spans="1:20" ht="22.2"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58">
        <f t="shared" si="12"/>
        <v>0</v>
      </c>
    </row>
    <row r="88" spans="1:20" ht="22.2"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58">
        <f t="shared" si="12"/>
        <v>0</v>
      </c>
    </row>
    <row r="89" spans="1:20" ht="22.2"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58">
        <f t="shared" si="12"/>
        <v>0</v>
      </c>
    </row>
    <row r="90" spans="1:20" ht="22.2"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58">
        <f t="shared" si="12"/>
        <v>0</v>
      </c>
    </row>
    <row r="91" spans="1:20" ht="22.2"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58">
        <f t="shared" si="12"/>
        <v>0</v>
      </c>
    </row>
    <row r="92" spans="1:20" ht="22.2" hidden="1" customHeight="1">
      <c r="A92" s="56" t="s">
        <v>4159</v>
      </c>
      <c r="B92" s="1584" t="s">
        <v>4159</v>
      </c>
      <c r="C92" s="62" t="str">
        <f t="shared" si="13"/>
        <v xml:space="preserve"> </v>
      </c>
      <c r="D92" s="1542"/>
      <c r="E92" s="1048"/>
      <c r="F92" s="1396" t="s">
        <v>4585</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58">
        <f>IFERROR(HLOOKUP(B92,pp1p!$1:$3,3,0),0)+IFERROR(HLOOKUP(B92,pp3p1m!$1:$3,3,0),0)</f>
        <v>0</v>
      </c>
    </row>
    <row r="93" spans="1:20" ht="22.2"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58">
        <f t="shared" si="12"/>
        <v>0</v>
      </c>
    </row>
    <row r="94" spans="1:20" ht="22.2" hidden="1" customHeight="1">
      <c r="A94" s="63"/>
      <c r="B94" s="1586" t="s">
        <v>4447</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58">
        <f t="shared" si="12"/>
        <v>0</v>
      </c>
    </row>
    <row r="95" spans="1:20" ht="22.2"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58">
        <f t="shared" si="12"/>
        <v>0</v>
      </c>
    </row>
    <row r="96" spans="1:20" ht="22.2"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58">
        <f t="shared" si="12"/>
        <v>0</v>
      </c>
    </row>
    <row r="97" spans="1:20" ht="22.2"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58">
        <f t="shared" si="12"/>
        <v>0</v>
      </c>
    </row>
    <row r="98" spans="1:20" ht="22.2"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58">
        <f t="shared" si="12"/>
        <v>0</v>
      </c>
    </row>
    <row r="99" spans="1:20" ht="22.2"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58">
        <f t="shared" si="12"/>
        <v>0</v>
      </c>
    </row>
    <row r="100" spans="1:20" ht="22.2"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58">
        <f t="shared" si="12"/>
        <v>0</v>
      </c>
    </row>
    <row r="101" spans="1:20" ht="22.2"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58">
        <f t="shared" si="12"/>
        <v>0</v>
      </c>
    </row>
    <row r="102" spans="1:20" ht="22.2"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58">
        <f t="shared" si="12"/>
        <v>0</v>
      </c>
    </row>
    <row r="103" spans="1:20" ht="22.2"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58">
        <f t="shared" si="12"/>
        <v>0</v>
      </c>
    </row>
    <row r="104" spans="1:20" ht="22.2"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58">
        <f t="shared" si="12"/>
        <v>0</v>
      </c>
    </row>
    <row r="105" spans="1:20" ht="22.2"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58">
        <f t="shared" si="12"/>
        <v>0</v>
      </c>
    </row>
    <row r="106" spans="1:20" ht="22.2"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58">
        <f t="shared" si="12"/>
        <v>0</v>
      </c>
    </row>
    <row r="107" spans="1:20" ht="22.2"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58">
        <f t="shared" si="12"/>
        <v>0</v>
      </c>
    </row>
    <row r="108" spans="1:20" ht="22.2"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58">
        <f t="shared" si="12"/>
        <v>0</v>
      </c>
    </row>
    <row r="109" spans="1:20" ht="22.2"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58">
        <f>IFERROR(HLOOKUP(B109,pp1p!$1:$3,3,0),0)+IFERROR(HLOOKUP(B109,pp3p1m!$1:$3,3,0),0)</f>
        <v>0</v>
      </c>
    </row>
    <row r="110" spans="1:20" ht="22.2"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58">
        <f t="shared" si="12"/>
        <v>0</v>
      </c>
    </row>
    <row r="111" spans="1:20" ht="22.2"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58">
        <f t="shared" si="12"/>
        <v>0</v>
      </c>
    </row>
    <row r="112" spans="1:20" ht="22.2"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58">
        <f t="shared" si="12"/>
        <v>0</v>
      </c>
    </row>
    <row r="113" spans="1:20" ht="22.2"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58">
        <f t="shared" si="12"/>
        <v>0</v>
      </c>
    </row>
    <row r="114" spans="1:20" ht="22.2"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58">
        <f t="shared" si="12"/>
        <v>0</v>
      </c>
    </row>
    <row r="115" spans="1:20" ht="22.2"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58">
        <f t="shared" si="12"/>
        <v>0</v>
      </c>
    </row>
    <row r="116" spans="1:20" ht="22.2"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58">
        <f t="shared" si="12"/>
        <v>0</v>
      </c>
    </row>
    <row r="117" spans="1:20" ht="22.2"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58">
        <f>IFERROR(HLOOKUP(B117,pp1p!$1:$3,3,0),0)+IFERROR(HLOOKUP(B117,pp3p1m!$1:$3,3,0),0)</f>
        <v>0</v>
      </c>
    </row>
    <row r="118" spans="1:20" ht="22.2"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58">
        <f t="shared" si="12"/>
        <v>0</v>
      </c>
    </row>
    <row r="119" spans="1:20" ht="22.2"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58">
        <f t="shared" si="12"/>
        <v>0</v>
      </c>
    </row>
    <row r="120" spans="1:20" ht="22.2"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58">
        <f t="shared" si="12"/>
        <v>0</v>
      </c>
    </row>
    <row r="121" spans="1:20" ht="22.2"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58">
        <f t="shared" si="12"/>
        <v>0</v>
      </c>
    </row>
    <row r="122" spans="1:20" ht="22.2"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58">
        <f t="shared" si="12"/>
        <v>0</v>
      </c>
    </row>
    <row r="123" spans="1:20" ht="22.2"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58">
        <f t="shared" si="12"/>
        <v>0</v>
      </c>
    </row>
    <row r="124" spans="1:20" ht="22.2"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58">
        <f t="shared" si="12"/>
        <v>0</v>
      </c>
    </row>
    <row r="125" spans="1:20" ht="22.2"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58">
        <f>IFERROR(HLOOKUP(B125,pp1p!$1:$3,3,0),0)+IFERROR(HLOOKUP(B125,pp3p1m!$1:$3,3,0),0)</f>
        <v>0</v>
      </c>
    </row>
    <row r="126" spans="1:20" ht="22.2"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58">
        <f t="shared" si="12"/>
        <v>0</v>
      </c>
    </row>
    <row r="127" spans="1:20" ht="22.2"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58">
        <f t="shared" si="12"/>
        <v>0</v>
      </c>
    </row>
    <row r="128" spans="1:20" ht="22.2"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58">
        <f t="shared" si="12"/>
        <v>0</v>
      </c>
    </row>
    <row r="129" spans="1:20" ht="22.2"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58">
        <f t="shared" si="12"/>
        <v>0</v>
      </c>
    </row>
    <row r="130" spans="1:20" ht="22.2"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58">
        <f t="shared" si="12"/>
        <v>0</v>
      </c>
    </row>
    <row r="131" spans="1:20" ht="22.2"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58">
        <f t="shared" si="12"/>
        <v>0</v>
      </c>
    </row>
    <row r="132" spans="1:20" ht="22.2"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58">
        <f t="shared" si="12"/>
        <v>0</v>
      </c>
    </row>
    <row r="133" spans="1:20" ht="22.2"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58">
        <f t="shared" si="12"/>
        <v>0</v>
      </c>
    </row>
    <row r="134" spans="1:20" ht="22.2"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58">
        <f>IFERROR(HLOOKUP(B134,pp1p!$1:$3,3,0),0)+IFERROR(HLOOKUP(B134,pp3p1m!$1:$3,3,0),0)</f>
        <v>0</v>
      </c>
    </row>
    <row r="135" spans="1:20" ht="22.2"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58">
        <f t="shared" si="12"/>
        <v>0</v>
      </c>
    </row>
    <row r="136" spans="1:20" ht="22.2"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58">
        <f t="shared" si="12"/>
        <v>0</v>
      </c>
    </row>
    <row r="137" spans="1:20" ht="22.2"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58">
        <f t="shared" si="12"/>
        <v>0</v>
      </c>
    </row>
    <row r="138" spans="1:20" ht="22.2"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58">
        <f t="shared" si="12"/>
        <v>0</v>
      </c>
    </row>
    <row r="139" spans="1:20" ht="22.2"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58">
        <f t="shared" si="12"/>
        <v>0</v>
      </c>
    </row>
    <row r="140" spans="1:20" ht="22.2"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58">
        <f t="shared" si="12"/>
        <v>0</v>
      </c>
    </row>
    <row r="141" spans="1:20" ht="22.2"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58">
        <f t="shared" si="12"/>
        <v>0</v>
      </c>
    </row>
    <row r="142" spans="1:20" ht="22.2"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58">
        <f>IFERROR(HLOOKUP(B142,pp1p!$1:$3,3,0),0)+IFERROR(HLOOKUP(B142,pp3p1m!$1:$3,3,0),0)</f>
        <v>0</v>
      </c>
    </row>
    <row r="143" spans="1:20" ht="22.2"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58">
        <f t="shared" ref="T143:T204" si="22">IFERROR(HLOOKUP(B143,BangKeTru,3,0),0)</f>
        <v>0</v>
      </c>
    </row>
    <row r="144" spans="1:20" ht="22.2"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58">
        <f t="shared" si="22"/>
        <v>0</v>
      </c>
    </row>
    <row r="145" spans="1:20" ht="22.2"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58">
        <f t="shared" si="22"/>
        <v>0</v>
      </c>
    </row>
    <row r="146" spans="1:20" ht="22.2"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58">
        <f t="shared" si="22"/>
        <v>0</v>
      </c>
    </row>
    <row r="147" spans="1:20" ht="22.2"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58">
        <f t="shared" si="22"/>
        <v>0</v>
      </c>
    </row>
    <row r="148" spans="1:20" ht="22.2"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58">
        <f t="shared" si="22"/>
        <v>0</v>
      </c>
    </row>
    <row r="149" spans="1:20" ht="22.2"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58">
        <f t="shared" si="22"/>
        <v>0</v>
      </c>
    </row>
    <row r="150" spans="1:20" ht="22.2"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58">
        <f t="shared" si="22"/>
        <v>0</v>
      </c>
    </row>
    <row r="151" spans="1:20" ht="22.2"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58">
        <f t="shared" si="22"/>
        <v>0</v>
      </c>
    </row>
    <row r="152" spans="1:20" ht="22.2"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58">
        <f>IFERROR(HLOOKUP(B152,pp1p!$1:$3,3,0),0)+IFERROR(HLOOKUP(B152,pp3p1m!$1:$3,3,0),0)</f>
        <v>0</v>
      </c>
    </row>
    <row r="153" spans="1:20" ht="22.2"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58">
        <f t="shared" si="22"/>
        <v>0</v>
      </c>
    </row>
    <row r="154" spans="1:20" ht="22.2"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58">
        <f t="shared" si="22"/>
        <v>0</v>
      </c>
    </row>
    <row r="155" spans="1:20" ht="22.2"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58">
        <f t="shared" si="22"/>
        <v>0</v>
      </c>
    </row>
    <row r="156" spans="1:20" ht="22.2"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58">
        <f>IFERROR(HLOOKUP(B156,pp1p!$1:$3,3,0),0)+IFERROR(HLOOKUP(B156,pp3p1m!$1:$3,3,0),0)</f>
        <v>0</v>
      </c>
    </row>
    <row r="157" spans="1:20" ht="22.2"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58">
        <f t="shared" si="22"/>
        <v>0</v>
      </c>
    </row>
    <row r="158" spans="1:20" ht="22.2"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58">
        <f t="shared" si="22"/>
        <v>0</v>
      </c>
    </row>
    <row r="159" spans="1:20" ht="22.2"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58">
        <f t="shared" si="22"/>
        <v>0</v>
      </c>
    </row>
    <row r="160" spans="1:20" ht="22.2"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58">
        <f t="shared" si="22"/>
        <v>0</v>
      </c>
    </row>
    <row r="161" spans="1:20" ht="22.2"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58">
        <f t="shared" si="22"/>
        <v>0</v>
      </c>
    </row>
    <row r="162" spans="1:20" ht="22.2"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58">
        <f t="shared" si="22"/>
        <v>0</v>
      </c>
    </row>
    <row r="163" spans="1:20" ht="22.2"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58">
        <f t="shared" si="22"/>
        <v>0</v>
      </c>
    </row>
    <row r="164" spans="1:20" ht="22.2"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58">
        <f>IFERROR(HLOOKUP(B164,pp1p!$1:$3,3,0),0)+IFERROR(HLOOKUP(B164,pp3p1m!$1:$3,3,0),0)</f>
        <v>0</v>
      </c>
    </row>
    <row r="165" spans="1:20" ht="22.2"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58">
        <f t="shared" si="22"/>
        <v>0</v>
      </c>
    </row>
    <row r="166" spans="1:20" ht="22.2"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58">
        <f t="shared" si="22"/>
        <v>0</v>
      </c>
    </row>
    <row r="167" spans="1:20" ht="22.2"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58">
        <f t="shared" si="22"/>
        <v>0</v>
      </c>
    </row>
    <row r="168" spans="1:20" ht="22.2"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58">
        <f t="shared" si="22"/>
        <v>0</v>
      </c>
    </row>
    <row r="169" spans="1:20" ht="22.2"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58">
        <f t="shared" si="22"/>
        <v>0</v>
      </c>
    </row>
    <row r="170" spans="1:20" ht="22.2"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58">
        <f t="shared" si="22"/>
        <v>0</v>
      </c>
    </row>
    <row r="171" spans="1:20" ht="22.2"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58">
        <f t="shared" si="22"/>
        <v>0</v>
      </c>
    </row>
    <row r="172" spans="1:20" ht="22.2"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58">
        <f t="shared" si="22"/>
        <v>0</v>
      </c>
    </row>
    <row r="173" spans="1:20" ht="22.2"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58">
        <f t="shared" si="22"/>
        <v>0</v>
      </c>
    </row>
    <row r="174" spans="1:20" ht="22.2"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58">
        <f>IFERROR(HLOOKUP(B174,pp1p!$1:$3,3,0),0)+IFERROR(HLOOKUP(B174,pp3p1m!$1:$3,3,0),0)</f>
        <v>0</v>
      </c>
    </row>
    <row r="175" spans="1:20" ht="22.2"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58">
        <f t="shared" si="22"/>
        <v>0</v>
      </c>
    </row>
    <row r="176" spans="1:20" ht="22.2" hidden="1" customHeight="1">
      <c r="A176" s="63"/>
      <c r="B176" s="1586" t="s">
        <v>4447</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58">
        <f t="shared" si="22"/>
        <v>0</v>
      </c>
    </row>
    <row r="177" spans="1:20" ht="22.2"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58">
        <f t="shared" si="22"/>
        <v>0</v>
      </c>
    </row>
    <row r="178" spans="1:20" ht="22.2"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58">
        <f t="shared" si="22"/>
        <v>0</v>
      </c>
    </row>
    <row r="179" spans="1:20" ht="22.2"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58">
        <f t="shared" si="22"/>
        <v>0</v>
      </c>
    </row>
    <row r="180" spans="1:20" ht="22.2"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58">
        <f t="shared" si="22"/>
        <v>0</v>
      </c>
    </row>
    <row r="181" spans="1:20" ht="22.2"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58">
        <f t="shared" si="22"/>
        <v>0</v>
      </c>
    </row>
    <row r="182" spans="1:20" ht="22.2"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58">
        <f t="shared" si="22"/>
        <v>0</v>
      </c>
    </row>
    <row r="183" spans="1:20" ht="22.2"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58">
        <f t="shared" si="22"/>
        <v>0</v>
      </c>
    </row>
    <row r="184" spans="1:20" ht="22.2"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58">
        <f t="shared" si="22"/>
        <v>0</v>
      </c>
    </row>
    <row r="185" spans="1:20" ht="22.2"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58">
        <f t="shared" si="22"/>
        <v>0</v>
      </c>
    </row>
    <row r="186" spans="1:20" ht="22.2"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58">
        <f t="shared" si="22"/>
        <v>0</v>
      </c>
    </row>
    <row r="187" spans="1:20" ht="22.2"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58">
        <f t="shared" si="22"/>
        <v>0</v>
      </c>
    </row>
    <row r="188" spans="1:20" ht="22.2"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58">
        <f>IFERROR(HLOOKUP(B188,pp1p!$1:$3,3,0),0)+IFERROR(HLOOKUP(B188,pp3p1m!$1:$3,3,0),0)</f>
        <v>0</v>
      </c>
    </row>
    <row r="189" spans="1:20" ht="22.2"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58">
        <f t="shared" si="22"/>
        <v>0</v>
      </c>
    </row>
    <row r="190" spans="1:20" ht="22.2"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58">
        <f t="shared" si="22"/>
        <v>0</v>
      </c>
    </row>
    <row r="191" spans="1:20" ht="22.2"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58">
        <f t="shared" si="22"/>
        <v>0</v>
      </c>
    </row>
    <row r="192" spans="1:20" ht="22.2"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58">
        <f t="shared" si="22"/>
        <v>0</v>
      </c>
    </row>
    <row r="193" spans="1:20" ht="22.2"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58">
        <f t="shared" si="22"/>
        <v>0</v>
      </c>
    </row>
    <row r="194" spans="1:20" ht="22.2"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58">
        <f t="shared" si="22"/>
        <v>0</v>
      </c>
    </row>
    <row r="195" spans="1:20" ht="22.2"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58">
        <f t="shared" si="22"/>
        <v>0</v>
      </c>
    </row>
    <row r="196" spans="1:20" ht="22.2"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58">
        <f>IFERROR(HLOOKUP(B196,pp1p!$1:$3,3,0),0)+IFERROR(HLOOKUP(B196,pp3p1m!$1:$3,3,0),0)</f>
        <v>0</v>
      </c>
    </row>
    <row r="197" spans="1:20" ht="22.2"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58">
        <f t="shared" si="22"/>
        <v>0</v>
      </c>
    </row>
    <row r="198" spans="1:20" ht="22.2"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58">
        <f t="shared" si="22"/>
        <v>0</v>
      </c>
    </row>
    <row r="199" spans="1:20" ht="22.2"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58">
        <f t="shared" si="22"/>
        <v>0</v>
      </c>
    </row>
    <row r="200" spans="1:20" ht="22.2"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58">
        <f t="shared" si="22"/>
        <v>0</v>
      </c>
    </row>
    <row r="201" spans="1:20" ht="22.2"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58">
        <f t="shared" si="22"/>
        <v>0</v>
      </c>
    </row>
    <row r="202" spans="1:20" ht="22.2"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58">
        <f t="shared" si="22"/>
        <v>0</v>
      </c>
    </row>
    <row r="203" spans="1:20" ht="22.2"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58">
        <f t="shared" si="22"/>
        <v>0</v>
      </c>
    </row>
    <row r="204" spans="1:20" ht="22.2"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58">
        <f t="shared" si="22"/>
        <v>0</v>
      </c>
    </row>
    <row r="205" spans="1:20" ht="22.2"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58">
        <f>IFERROR(HLOOKUP(B205,pp1p!$1:$3,3,0),0)+IFERROR(HLOOKUP(B205,pp3p1m!$1:$3,3,0),0)</f>
        <v>0</v>
      </c>
    </row>
    <row r="206" spans="1:20" ht="22.2"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58">
        <f t="shared" ref="T206:T269" si="32">IFERROR(HLOOKUP(B206,BangKeTru,3,0),0)</f>
        <v>0</v>
      </c>
    </row>
    <row r="207" spans="1:20" ht="22.2"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58">
        <f t="shared" si="32"/>
        <v>0</v>
      </c>
    </row>
    <row r="208" spans="1:20" ht="22.2"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58">
        <f t="shared" si="32"/>
        <v>0</v>
      </c>
    </row>
    <row r="209" spans="1:20" ht="22.2"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58">
        <f t="shared" si="32"/>
        <v>0</v>
      </c>
    </row>
    <row r="210" spans="1:20" ht="22.2"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58">
        <f t="shared" si="32"/>
        <v>0</v>
      </c>
    </row>
    <row r="211" spans="1:20" ht="22.2"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58">
        <f t="shared" si="32"/>
        <v>0</v>
      </c>
    </row>
    <row r="212" spans="1:20" ht="22.2"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58">
        <f t="shared" si="32"/>
        <v>0</v>
      </c>
    </row>
    <row r="213" spans="1:20" ht="22.2"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58">
        <f>IFERROR(HLOOKUP(B213,pp1p!$1:$3,3,0),0)+IFERROR(HLOOKUP(B213,pp3p1m!$1:$3,3,0),0)</f>
        <v>0</v>
      </c>
    </row>
    <row r="214" spans="1:20" ht="22.2"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58">
        <f t="shared" si="32"/>
        <v>0</v>
      </c>
    </row>
    <row r="215" spans="1:20" ht="22.2"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58">
        <f t="shared" si="32"/>
        <v>0</v>
      </c>
    </row>
    <row r="216" spans="1:20" ht="22.2"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58">
        <f t="shared" si="32"/>
        <v>0</v>
      </c>
    </row>
    <row r="217" spans="1:20" ht="22.2"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58">
        <f t="shared" si="32"/>
        <v>0</v>
      </c>
    </row>
    <row r="218" spans="1:20" ht="22.2"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58">
        <f t="shared" si="32"/>
        <v>0</v>
      </c>
    </row>
    <row r="219" spans="1:20" ht="22.2"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58">
        <f t="shared" si="32"/>
        <v>0</v>
      </c>
    </row>
    <row r="220" spans="1:20" ht="22.2"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58">
        <f t="shared" si="32"/>
        <v>0</v>
      </c>
    </row>
    <row r="221" spans="1:20" ht="22.2"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58">
        <f t="shared" si="32"/>
        <v>0</v>
      </c>
    </row>
    <row r="222" spans="1:20" ht="22.2"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58">
        <f t="shared" si="32"/>
        <v>0</v>
      </c>
    </row>
    <row r="223" spans="1:20" ht="22.2"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58">
        <f t="shared" si="32"/>
        <v>0</v>
      </c>
    </row>
    <row r="224" spans="1:20" ht="22.2"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58">
        <f>IFERROR(HLOOKUP(B224,pp1p!$1:$3,3,0),0)+IFERROR(HLOOKUP(B224,pp3p1m!$1:$3,3,0),0)</f>
        <v>0</v>
      </c>
    </row>
    <row r="225" spans="1:20" ht="22.2"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58">
        <f t="shared" si="32"/>
        <v>0</v>
      </c>
    </row>
    <row r="226" spans="1:20" ht="22.2"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58">
        <f t="shared" si="32"/>
        <v>0</v>
      </c>
    </row>
    <row r="227" spans="1:20" ht="22.2"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58">
        <f t="shared" si="32"/>
        <v>0</v>
      </c>
    </row>
    <row r="228" spans="1:20" ht="22.2"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58">
        <f t="shared" si="32"/>
        <v>0</v>
      </c>
    </row>
    <row r="229" spans="1:20" ht="22.2"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58">
        <f t="shared" si="32"/>
        <v>0</v>
      </c>
    </row>
    <row r="230" spans="1:20" ht="22.2"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58">
        <f t="shared" si="32"/>
        <v>0</v>
      </c>
    </row>
    <row r="231" spans="1:20" ht="22.2"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58">
        <f t="shared" si="32"/>
        <v>0</v>
      </c>
    </row>
    <row r="232" spans="1:20" ht="22.2"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58">
        <f t="shared" si="32"/>
        <v>0</v>
      </c>
    </row>
    <row r="233" spans="1:20" ht="22.2"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58">
        <f t="shared" si="32"/>
        <v>0</v>
      </c>
    </row>
    <row r="234" spans="1:20" ht="22.2"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58">
        <f>IFERROR(HLOOKUP(B234,pp1p!$1:$3,3,0),0)+IFERROR(HLOOKUP(B234,pp3p1m!$1:$3,3,0),0)</f>
        <v>0</v>
      </c>
    </row>
    <row r="235" spans="1:20" ht="22.2"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58">
        <f t="shared" si="32"/>
        <v>0</v>
      </c>
    </row>
    <row r="236" spans="1:20" ht="22.2"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58">
        <f t="shared" si="32"/>
        <v>0</v>
      </c>
    </row>
    <row r="237" spans="1:20" ht="22.2"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58">
        <f t="shared" si="32"/>
        <v>0</v>
      </c>
    </row>
    <row r="238" spans="1:20" ht="22.2"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58">
        <f t="shared" si="32"/>
        <v>0</v>
      </c>
    </row>
    <row r="239" spans="1:20" ht="22.2"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58">
        <f t="shared" si="32"/>
        <v>0</v>
      </c>
    </row>
    <row r="240" spans="1:20" ht="22.2"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58">
        <f t="shared" si="32"/>
        <v>0</v>
      </c>
    </row>
    <row r="241" spans="1:20" ht="22.2"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58">
        <f t="shared" si="32"/>
        <v>0</v>
      </c>
    </row>
    <row r="242" spans="1:20" ht="22.2"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58">
        <f t="shared" si="32"/>
        <v>0</v>
      </c>
    </row>
    <row r="243" spans="1:20" ht="22.2"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58">
        <f t="shared" si="32"/>
        <v>0</v>
      </c>
    </row>
    <row r="244" spans="1:20" ht="22.2"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58">
        <f>IFERROR(HLOOKUP(B244,pp1p!$1:$3,3,0),0)+IFERROR(HLOOKUP(B244,pp3p1m!$1:$3,3,0),0)</f>
        <v>0</v>
      </c>
    </row>
    <row r="245" spans="1:20" ht="22.2"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58">
        <f t="shared" si="32"/>
        <v>0</v>
      </c>
    </row>
    <row r="246" spans="1:20" ht="22.2"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58">
        <f t="shared" si="32"/>
        <v>0</v>
      </c>
    </row>
    <row r="247" spans="1:20" ht="22.2"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58">
        <f t="shared" si="32"/>
        <v>0</v>
      </c>
    </row>
    <row r="248" spans="1:20" ht="22.2"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58">
        <f>IFERROR(HLOOKUP(B248,pp1p!$1:$3,3,0),0)+IFERROR(HLOOKUP(B248,pp3p1m!$1:$3,3,0),0)</f>
        <v>0</v>
      </c>
    </row>
    <row r="249" spans="1:20" ht="22.2"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58">
        <f t="shared" si="32"/>
        <v>0</v>
      </c>
    </row>
    <row r="250" spans="1:20" ht="22.2"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58">
        <f t="shared" si="32"/>
        <v>0</v>
      </c>
    </row>
    <row r="251" spans="1:20" ht="22.2"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58">
        <f t="shared" si="32"/>
        <v>0</v>
      </c>
    </row>
    <row r="252" spans="1:20" ht="22.2"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58">
        <f t="shared" si="32"/>
        <v>0</v>
      </c>
    </row>
    <row r="253" spans="1:20" ht="22.2"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58">
        <f t="shared" si="32"/>
        <v>0</v>
      </c>
    </row>
    <row r="254" spans="1:20" ht="22.2"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58">
        <f t="shared" si="32"/>
        <v>0</v>
      </c>
    </row>
    <row r="255" spans="1:20" ht="22.2"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58">
        <f t="shared" si="32"/>
        <v>0</v>
      </c>
    </row>
    <row r="256" spans="1:20" ht="22.2"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58">
        <f>IFERROR(HLOOKUP(B256,pp1p!$1:$3,3,0),0)+IFERROR(HLOOKUP(B256,pp3p1m!$1:$3,3,0),0)</f>
        <v>0</v>
      </c>
    </row>
    <row r="257" spans="1:20" ht="22.2"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58">
        <f t="shared" si="32"/>
        <v>0</v>
      </c>
    </row>
    <row r="258" spans="1:20" ht="22.2"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58">
        <f t="shared" si="32"/>
        <v>0</v>
      </c>
    </row>
    <row r="259" spans="1:20" ht="22.2"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58">
        <f t="shared" si="32"/>
        <v>0</v>
      </c>
    </row>
    <row r="260" spans="1:20" ht="22.2"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58">
        <f t="shared" si="32"/>
        <v>0</v>
      </c>
    </row>
    <row r="261" spans="1:20" ht="22.2"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58">
        <f t="shared" si="32"/>
        <v>0</v>
      </c>
    </row>
    <row r="262" spans="1:20" ht="22.2"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58">
        <f t="shared" si="32"/>
        <v>0</v>
      </c>
    </row>
    <row r="263" spans="1:20" ht="22.2"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58">
        <f t="shared" si="32"/>
        <v>0</v>
      </c>
    </row>
    <row r="264" spans="1:20" ht="22.2"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58">
        <f t="shared" si="32"/>
        <v>0</v>
      </c>
    </row>
    <row r="265" spans="1:20" ht="22.2"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58">
        <f t="shared" si="32"/>
        <v>0</v>
      </c>
    </row>
    <row r="266" spans="1:20" ht="22.2"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58">
        <f>IFERROR(HLOOKUP(B266,pp1p!$1:$3,3,0),0)+IFERROR(HLOOKUP(B266,pp3p1m!$1:$3,3,0),0)</f>
        <v>0</v>
      </c>
    </row>
    <row r="267" spans="1:20" ht="22.2"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58">
        <f t="shared" si="32"/>
        <v>0</v>
      </c>
    </row>
    <row r="268" spans="1:20" ht="22.2"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58">
        <f t="shared" si="32"/>
        <v>0</v>
      </c>
    </row>
    <row r="269" spans="1:20" ht="22.2"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58">
        <f t="shared" si="32"/>
        <v>0</v>
      </c>
    </row>
    <row r="270" spans="1:20" ht="22.2"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58">
        <f t="shared" ref="T270:T333" si="45">IFERROR(HLOOKUP(B270,BangKeTru,3,0),0)</f>
        <v>0</v>
      </c>
    </row>
    <row r="271" spans="1:20" ht="22.2"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58">
        <f t="shared" si="45"/>
        <v>0</v>
      </c>
    </row>
    <row r="272" spans="1:20" ht="22.2"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58">
        <f t="shared" si="45"/>
        <v>0</v>
      </c>
    </row>
    <row r="273" spans="1:20" ht="22.2"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58">
        <f t="shared" si="45"/>
        <v>0</v>
      </c>
    </row>
    <row r="274" spans="1:20" ht="22.2"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58">
        <f>IFERROR(HLOOKUP(B274,pp1p!$1:$3,3,0),0)+IFERROR(HLOOKUP(B274,pp3p1m!$1:$3,3,0),0)</f>
        <v>0</v>
      </c>
    </row>
    <row r="275" spans="1:20" ht="22.2"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58">
        <f t="shared" si="45"/>
        <v>0</v>
      </c>
    </row>
    <row r="276" spans="1:20" ht="22.2"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58">
        <f t="shared" si="45"/>
        <v>0</v>
      </c>
    </row>
    <row r="277" spans="1:20" ht="22.2"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58">
        <f t="shared" si="45"/>
        <v>0</v>
      </c>
    </row>
    <row r="278" spans="1:20" ht="22.2"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58">
        <f t="shared" si="45"/>
        <v>0</v>
      </c>
    </row>
    <row r="279" spans="1:20" ht="22.2"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58">
        <f t="shared" si="45"/>
        <v>0</v>
      </c>
    </row>
    <row r="280" spans="1:20" ht="22.2"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58">
        <f t="shared" si="45"/>
        <v>0</v>
      </c>
    </row>
    <row r="281" spans="1:20" ht="22.2"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58">
        <f t="shared" si="45"/>
        <v>0</v>
      </c>
    </row>
    <row r="282" spans="1:20" ht="22.2"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58">
        <f t="shared" si="45"/>
        <v>0</v>
      </c>
    </row>
    <row r="283" spans="1:20" ht="22.2"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58">
        <f>IFERROR(HLOOKUP(B283,pp1p!$1:$3,3,0),0)+IFERROR(HLOOKUP(B283,pp3p1m!$1:$3,3,0),0)</f>
        <v>0</v>
      </c>
    </row>
    <row r="284" spans="1:20" ht="22.2"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58">
        <f t="shared" si="45"/>
        <v>0</v>
      </c>
    </row>
    <row r="285" spans="1:20" ht="22.2"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58">
        <f t="shared" si="45"/>
        <v>0</v>
      </c>
    </row>
    <row r="286" spans="1:20" ht="22.2"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58">
        <f t="shared" si="45"/>
        <v>0</v>
      </c>
    </row>
    <row r="287" spans="1:20" ht="22.2"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58">
        <f t="shared" si="45"/>
        <v>0</v>
      </c>
    </row>
    <row r="288" spans="1:20" ht="22.2"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58">
        <f t="shared" si="45"/>
        <v>0</v>
      </c>
    </row>
    <row r="289" spans="1:20" ht="22.2"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58">
        <f t="shared" si="45"/>
        <v>0</v>
      </c>
    </row>
    <row r="290" spans="1:20" ht="22.2"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58">
        <f t="shared" si="45"/>
        <v>0</v>
      </c>
    </row>
    <row r="291" spans="1:20" ht="22.2"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58">
        <f>IFERROR(HLOOKUP(B291,pp1p!$1:$3,3,0),0)+IFERROR(HLOOKUP(B291,pp3p1m!$1:$3,3,0),0)</f>
        <v>0</v>
      </c>
    </row>
    <row r="292" spans="1:20" ht="22.2"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58">
        <f t="shared" si="45"/>
        <v>0</v>
      </c>
    </row>
    <row r="293" spans="1:20" ht="22.2"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58">
        <f t="shared" si="45"/>
        <v>0</v>
      </c>
    </row>
    <row r="294" spans="1:20" ht="22.2"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58">
        <f t="shared" si="45"/>
        <v>0</v>
      </c>
    </row>
    <row r="295" spans="1:20" ht="22.2"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58">
        <f t="shared" si="45"/>
        <v>0</v>
      </c>
    </row>
    <row r="296" spans="1:20" ht="22.2"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58">
        <f t="shared" si="45"/>
        <v>0</v>
      </c>
    </row>
    <row r="297" spans="1:20" ht="22.2"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58">
        <f t="shared" si="45"/>
        <v>0</v>
      </c>
    </row>
    <row r="298" spans="1:20" ht="22.2"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58">
        <f t="shared" si="45"/>
        <v>0</v>
      </c>
    </row>
    <row r="299" spans="1:20" ht="22.2"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58">
        <f t="shared" si="45"/>
        <v>0</v>
      </c>
    </row>
    <row r="300" spans="1:20" ht="22.2"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58">
        <f t="shared" si="45"/>
        <v>0</v>
      </c>
    </row>
    <row r="301" spans="1:20" ht="22.2"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58">
        <f t="shared" si="45"/>
        <v>0</v>
      </c>
    </row>
    <row r="302" spans="1:20" ht="22.2"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58">
        <f>IFERROR(HLOOKUP(B302,pp1p!$1:$3,3,0),0)+IFERROR(HLOOKUP(B302,pp3p1m!$1:$3,3,0),0)</f>
        <v>0</v>
      </c>
    </row>
    <row r="303" spans="1:20" ht="22.2"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58">
        <f t="shared" si="45"/>
        <v>0</v>
      </c>
    </row>
    <row r="304" spans="1:20" ht="22.2"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58">
        <f t="shared" si="45"/>
        <v>0</v>
      </c>
    </row>
    <row r="305" spans="1:20" ht="22.2"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58">
        <f t="shared" si="45"/>
        <v>0</v>
      </c>
    </row>
    <row r="306" spans="1:20" ht="22.2"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58">
        <f t="shared" si="45"/>
        <v>0</v>
      </c>
    </row>
    <row r="307" spans="1:20" ht="22.2"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58">
        <f>IFERROR(HLOOKUP(B307,pp1p!$1:$3,3,0),0)+IFERROR(HLOOKUP(B307,pp3p1m!$1:$3,3,0),0)</f>
        <v>0</v>
      </c>
    </row>
    <row r="308" spans="1:20" ht="22.2"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58">
        <f t="shared" si="45"/>
        <v>0</v>
      </c>
    </row>
    <row r="309" spans="1:20" ht="22.2"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58">
        <f t="shared" si="45"/>
        <v>0</v>
      </c>
    </row>
    <row r="310" spans="1:20" ht="22.2"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58">
        <f t="shared" si="45"/>
        <v>0</v>
      </c>
    </row>
    <row r="311" spans="1:20" ht="22.2"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58">
        <f t="shared" si="45"/>
        <v>0</v>
      </c>
    </row>
    <row r="312" spans="1:20" ht="22.2"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58">
        <f t="shared" si="45"/>
        <v>0</v>
      </c>
    </row>
    <row r="313" spans="1:20" ht="22.2"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58">
        <f t="shared" si="45"/>
        <v>0</v>
      </c>
    </row>
    <row r="314" spans="1:20" ht="22.2"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58">
        <f t="shared" si="45"/>
        <v>0</v>
      </c>
    </row>
    <row r="315" spans="1:20" ht="22.2"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58">
        <f t="shared" si="45"/>
        <v>0</v>
      </c>
    </row>
    <row r="316" spans="1:20" ht="22.2"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58">
        <f t="shared" si="45"/>
        <v>0</v>
      </c>
    </row>
    <row r="317" spans="1:20" ht="22.2"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58">
        <f>IFERROR(HLOOKUP(B317,pp1p!$1:$3,3,0),0)+IFERROR(HLOOKUP(B317,pp3p1m!$1:$3,3,0),0)</f>
        <v>0</v>
      </c>
    </row>
    <row r="318" spans="1:20" ht="22.2"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58">
        <f t="shared" si="45"/>
        <v>0</v>
      </c>
    </row>
    <row r="319" spans="1:20" ht="22.2"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58">
        <f t="shared" si="45"/>
        <v>0</v>
      </c>
    </row>
    <row r="320" spans="1:20" ht="22.2"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58">
        <f t="shared" si="45"/>
        <v>0</v>
      </c>
    </row>
    <row r="321" spans="1:20" ht="22.2"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58">
        <f t="shared" si="45"/>
        <v>0</v>
      </c>
    </row>
    <row r="322" spans="1:20" ht="22.2"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58">
        <f t="shared" si="45"/>
        <v>0</v>
      </c>
    </row>
    <row r="323" spans="1:20" ht="22.2"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58">
        <f t="shared" si="45"/>
        <v>0</v>
      </c>
    </row>
    <row r="324" spans="1:20" ht="22.2"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58">
        <f t="shared" si="45"/>
        <v>0</v>
      </c>
    </row>
    <row r="325" spans="1:20" ht="22.2"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58">
        <f t="shared" si="45"/>
        <v>0</v>
      </c>
    </row>
    <row r="326" spans="1:20" ht="22.2"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58">
        <f>IFERROR(HLOOKUP(B326,pp1p!$1:$3,3,0),0)+IFERROR(HLOOKUP(B326,pp3p1m!$1:$3,3,0),0)</f>
        <v>0</v>
      </c>
    </row>
    <row r="327" spans="1:20" ht="22.2"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58">
        <f t="shared" si="45"/>
        <v>0</v>
      </c>
    </row>
    <row r="328" spans="1:20" ht="22.2"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58">
        <f t="shared" si="45"/>
        <v>0</v>
      </c>
    </row>
    <row r="329" spans="1:20" ht="22.2"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58">
        <f t="shared" si="45"/>
        <v>0</v>
      </c>
    </row>
    <row r="330" spans="1:20" ht="22.2"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58">
        <f t="shared" si="45"/>
        <v>0</v>
      </c>
    </row>
    <row r="331" spans="1:20" ht="22.2"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58">
        <f t="shared" si="45"/>
        <v>0</v>
      </c>
    </row>
    <row r="332" spans="1:20" ht="22.2"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58">
        <f t="shared" si="45"/>
        <v>0</v>
      </c>
    </row>
    <row r="333" spans="1:20" ht="22.2"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58">
        <f t="shared" si="45"/>
        <v>0</v>
      </c>
    </row>
    <row r="334" spans="1:20" ht="22.2"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58">
        <f t="shared" ref="T334:T397" si="56">IFERROR(HLOOKUP(B334,BangKeTru,3,0),0)</f>
        <v>0</v>
      </c>
    </row>
    <row r="335" spans="1:20" ht="22.2"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58">
        <f>IFERROR(HLOOKUP(B335,pp1p!$1:$3,3,0),0)+IFERROR(HLOOKUP(B335,pp3p1m!$1:$3,3,0),0)</f>
        <v>0</v>
      </c>
    </row>
    <row r="336" spans="1:20" ht="22.2"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58">
        <f t="shared" si="56"/>
        <v>0</v>
      </c>
    </row>
    <row r="337" spans="1:20" ht="22.2"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58">
        <f t="shared" si="56"/>
        <v>0</v>
      </c>
    </row>
    <row r="338" spans="1:20" ht="22.2"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58">
        <f t="shared" si="56"/>
        <v>0</v>
      </c>
    </row>
    <row r="339" spans="1:20" ht="22.2"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58">
        <f>IFERROR(HLOOKUP(B339,pp1p!$1:$3,3,0),0)+IFERROR(HLOOKUP(B339,pp3p1m!$1:$3,3,0),0)</f>
        <v>0</v>
      </c>
    </row>
    <row r="340" spans="1:20" ht="22.2"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58">
        <f t="shared" si="56"/>
        <v>0</v>
      </c>
    </row>
    <row r="341" spans="1:20" ht="22.2" hidden="1" customHeight="1">
      <c r="A341" s="1583"/>
      <c r="B341" s="1586" t="s">
        <v>4447</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58">
        <f t="shared" si="56"/>
        <v>0</v>
      </c>
    </row>
    <row r="342" spans="1:20" ht="22.2"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58">
        <f t="shared" si="56"/>
        <v>0</v>
      </c>
    </row>
    <row r="343" spans="1:20" ht="22.2"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58">
        <f t="shared" si="56"/>
        <v>0</v>
      </c>
    </row>
    <row r="344" spans="1:20" ht="22.2"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58">
        <f t="shared" si="56"/>
        <v>0</v>
      </c>
    </row>
    <row r="345" spans="1:20" ht="22.2"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58">
        <f t="shared" si="56"/>
        <v>0</v>
      </c>
    </row>
    <row r="346" spans="1:20" ht="22.2"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58">
        <f t="shared" si="56"/>
        <v>0</v>
      </c>
    </row>
    <row r="347" spans="1:20" ht="22.2"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58">
        <f t="shared" si="56"/>
        <v>0</v>
      </c>
    </row>
    <row r="348" spans="1:20" ht="22.2"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58">
        <f t="shared" si="56"/>
        <v>0</v>
      </c>
    </row>
    <row r="349" spans="1:20" ht="22.2"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58">
        <f t="shared" si="56"/>
        <v>0</v>
      </c>
    </row>
    <row r="350" spans="1:20" ht="22.2"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58">
        <f t="shared" si="56"/>
        <v>0</v>
      </c>
    </row>
    <row r="351" spans="1:20" ht="22.2"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58">
        <f t="shared" si="56"/>
        <v>0</v>
      </c>
    </row>
    <row r="352" spans="1:20" ht="22.2"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58">
        <f t="shared" si="56"/>
        <v>0</v>
      </c>
    </row>
    <row r="353" spans="1:20" ht="22.2"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58">
        <f t="shared" si="56"/>
        <v>0</v>
      </c>
    </row>
    <row r="354" spans="1:20" ht="22.2"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58">
        <f t="shared" si="56"/>
        <v>0</v>
      </c>
    </row>
    <row r="355" spans="1:20" ht="22.2"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58">
        <f t="shared" si="56"/>
        <v>0</v>
      </c>
    </row>
    <row r="356" spans="1:20" ht="22.2"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58">
        <f>IFERROR(HLOOKUP(B356,pp1p!$1:$3,3,0),0)+IFERROR(HLOOKUP(B356,pp3p1m!$1:$3,3,0),0)</f>
        <v>0</v>
      </c>
    </row>
    <row r="357" spans="1:20" ht="22.2"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58">
        <f t="shared" si="56"/>
        <v>0</v>
      </c>
    </row>
    <row r="358" spans="1:20" ht="22.2" customHeight="1">
      <c r="A358" s="1583"/>
      <c r="B358" s="1586" t="s">
        <v>4441</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58">
        <f t="shared" si="56"/>
        <v>0</v>
      </c>
    </row>
    <row r="359" spans="1:20" ht="22.2"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58">
        <f t="shared" si="56"/>
        <v>0</v>
      </c>
    </row>
    <row r="360" spans="1:20" ht="22.2"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58">
        <f t="shared" si="56"/>
        <v>0</v>
      </c>
    </row>
    <row r="361" spans="1:20" ht="22.2"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58">
        <f t="shared" si="56"/>
        <v>0</v>
      </c>
    </row>
    <row r="362" spans="1:20" ht="22.2"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58">
        <f t="shared" si="56"/>
        <v>0</v>
      </c>
    </row>
    <row r="363" spans="1:20" ht="22.2"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58">
        <f t="shared" si="56"/>
        <v>0</v>
      </c>
    </row>
    <row r="364" spans="1:20" ht="22.2"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58">
        <f t="shared" si="56"/>
        <v>0</v>
      </c>
    </row>
    <row r="365" spans="1:20" ht="22.2"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58">
        <f t="shared" si="56"/>
        <v>0</v>
      </c>
    </row>
    <row r="366" spans="1:20" ht="22.2"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58">
        <f t="shared" si="56"/>
        <v>0</v>
      </c>
    </row>
    <row r="367" spans="1:20" ht="22.2"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58">
        <f t="shared" si="56"/>
        <v>0</v>
      </c>
    </row>
    <row r="368" spans="1:20" ht="22.2"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58">
        <f t="shared" si="56"/>
        <v>0</v>
      </c>
    </row>
    <row r="369" spans="1:20" ht="22.2"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58">
        <f t="shared" si="56"/>
        <v>0</v>
      </c>
    </row>
    <row r="370" spans="1:20" ht="22.2"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58">
        <f t="shared" si="56"/>
        <v>0</v>
      </c>
    </row>
    <row r="371" spans="1:20" ht="22.2"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58">
        <f t="shared" si="56"/>
        <v>0</v>
      </c>
    </row>
    <row r="372" spans="1:20" ht="22.2"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58">
        <f t="shared" si="56"/>
        <v>0</v>
      </c>
    </row>
    <row r="373" spans="1:20" ht="22.2"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58">
        <f>IFERROR(HLOOKUP(B373,pp1p!$1:$3,3,0),0)+IFERROR(HLOOKUP(B373,pp3p1m!$1:$3,3,0),0)</f>
        <v>0</v>
      </c>
    </row>
    <row r="374" spans="1:20" ht="22.2"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58">
        <f t="shared" si="56"/>
        <v>0</v>
      </c>
    </row>
    <row r="375" spans="1:20" ht="22.2" hidden="1" customHeight="1">
      <c r="A375" s="63"/>
      <c r="B375" s="1586" t="s">
        <v>4447</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58">
        <f t="shared" si="56"/>
        <v>0</v>
      </c>
    </row>
    <row r="376" spans="1:20" ht="22.2"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58">
        <f t="shared" si="56"/>
        <v>0</v>
      </c>
    </row>
    <row r="377" spans="1:20" ht="22.2"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58">
        <f t="shared" si="56"/>
        <v>0</v>
      </c>
    </row>
    <row r="378" spans="1:20" ht="22.2"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58">
        <f t="shared" si="56"/>
        <v>0</v>
      </c>
    </row>
    <row r="379" spans="1:20" ht="22.2"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58">
        <f t="shared" si="56"/>
        <v>0</v>
      </c>
    </row>
    <row r="380" spans="1:20" ht="22.2"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58">
        <f t="shared" si="56"/>
        <v>0</v>
      </c>
    </row>
    <row r="381" spans="1:20" ht="22.2"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58">
        <f t="shared" si="56"/>
        <v>0</v>
      </c>
    </row>
    <row r="382" spans="1:20" ht="22.2"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58">
        <f t="shared" si="56"/>
        <v>0</v>
      </c>
    </row>
    <row r="383" spans="1:20" ht="22.2"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58">
        <f t="shared" si="56"/>
        <v>0</v>
      </c>
    </row>
    <row r="384" spans="1:20" ht="22.2"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58">
        <f t="shared" si="56"/>
        <v>0</v>
      </c>
    </row>
    <row r="385" spans="1:20" ht="22.2"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58">
        <f t="shared" si="56"/>
        <v>0</v>
      </c>
    </row>
    <row r="386" spans="1:20" ht="22.2"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58">
        <f t="shared" si="56"/>
        <v>0</v>
      </c>
    </row>
    <row r="387" spans="1:20" ht="22.2"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58">
        <f t="shared" si="56"/>
        <v>0</v>
      </c>
    </row>
    <row r="388" spans="1:20" ht="22.2"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58">
        <f t="shared" si="56"/>
        <v>0</v>
      </c>
    </row>
    <row r="389" spans="1:20" ht="22.2"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58">
        <f t="shared" si="56"/>
        <v>0</v>
      </c>
    </row>
    <row r="390" spans="1:20" ht="22.2"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58">
        <f t="shared" si="56"/>
        <v>0</v>
      </c>
    </row>
    <row r="391" spans="1:20" ht="22.2"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58">
        <f t="shared" si="56"/>
        <v>0</v>
      </c>
    </row>
    <row r="392" spans="1:20" ht="22.2"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58">
        <f t="shared" si="56"/>
        <v>0</v>
      </c>
    </row>
    <row r="393" spans="1:20" ht="22.2"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58">
        <f>IFERROR(HLOOKUP(B393,pp1p!$1:$3,3,0),0)+IFERROR(HLOOKUP(B393,pp3p1m!$1:$3,3,0),0)</f>
        <v>0</v>
      </c>
    </row>
    <row r="394" spans="1:20" ht="22.2"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58">
        <f t="shared" si="56"/>
        <v>0</v>
      </c>
    </row>
    <row r="395" spans="1:20" ht="22.2" hidden="1" customHeight="1">
      <c r="A395" s="63"/>
      <c r="B395" s="1586" t="s">
        <v>4447</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58">
        <f t="shared" si="56"/>
        <v>0</v>
      </c>
    </row>
    <row r="396" spans="1:20" ht="22.2"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58">
        <f t="shared" si="56"/>
        <v>0</v>
      </c>
    </row>
    <row r="397" spans="1:20" ht="22.2"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58">
        <f t="shared" si="56"/>
        <v>0</v>
      </c>
    </row>
    <row r="398" spans="1:20" ht="22.2"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58">
        <f t="shared" ref="T398:T461" si="66">IFERROR(HLOOKUP(B398,BangKeTru,3,0),0)</f>
        <v>0</v>
      </c>
    </row>
    <row r="399" spans="1:20" ht="22.2"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58">
        <f t="shared" si="66"/>
        <v>0</v>
      </c>
    </row>
    <row r="400" spans="1:20" ht="22.2"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58">
        <f t="shared" si="66"/>
        <v>0</v>
      </c>
    </row>
    <row r="401" spans="1:20" ht="22.2"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58">
        <f t="shared" si="66"/>
        <v>0</v>
      </c>
    </row>
    <row r="402" spans="1:20" ht="22.2"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58">
        <f t="shared" si="66"/>
        <v>0</v>
      </c>
    </row>
    <row r="403" spans="1:20" ht="22.2"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58">
        <f t="shared" si="66"/>
        <v>0</v>
      </c>
    </row>
    <row r="404" spans="1:20" ht="22.2"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58">
        <f t="shared" si="66"/>
        <v>0</v>
      </c>
    </row>
    <row r="405" spans="1:20" ht="22.2"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58">
        <f t="shared" si="66"/>
        <v>0</v>
      </c>
    </row>
    <row r="406" spans="1:20" ht="22.2"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58">
        <f>IFERROR(HLOOKUP(B406,pp1p!$1:$3,3,0),0)+IFERROR(HLOOKUP(B406,pp3p1m!$1:$3,3,0),0)</f>
        <v>0</v>
      </c>
    </row>
    <row r="407" spans="1:20" ht="22.2"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58">
        <f t="shared" si="66"/>
        <v>0</v>
      </c>
    </row>
    <row r="408" spans="1:20" ht="22.2"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58">
        <f t="shared" si="66"/>
        <v>0</v>
      </c>
    </row>
    <row r="409" spans="1:20" ht="22.2"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58">
        <f t="shared" si="66"/>
        <v>0</v>
      </c>
    </row>
    <row r="410" spans="1:20" ht="22.2"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58">
        <f>IFERROR(HLOOKUP(B410,pp1p!$1:$3,3,0),0)+IFERROR(HLOOKUP(B410,pp3p1m!$1:$3,3,0),0)</f>
        <v>0</v>
      </c>
    </row>
    <row r="411" spans="1:20" ht="22.2"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58">
        <f t="shared" si="66"/>
        <v>0</v>
      </c>
    </row>
    <row r="412" spans="1:20" ht="22.2"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58">
        <f t="shared" si="66"/>
        <v>0</v>
      </c>
    </row>
    <row r="413" spans="1:20" ht="22.2"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58">
        <f t="shared" si="66"/>
        <v>0</v>
      </c>
    </row>
    <row r="414" spans="1:20" ht="22.2"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58">
        <f t="shared" si="66"/>
        <v>0</v>
      </c>
    </row>
    <row r="415" spans="1:20" ht="22.2"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58">
        <f t="shared" si="66"/>
        <v>0</v>
      </c>
    </row>
    <row r="416" spans="1:20" ht="22.2"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58">
        <f t="shared" si="66"/>
        <v>0</v>
      </c>
    </row>
    <row r="417" spans="1:20" ht="22.2"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58">
        <f t="shared" si="66"/>
        <v>0</v>
      </c>
    </row>
    <row r="418" spans="1:20" ht="22.2"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58">
        <f>IFERROR(HLOOKUP(B418,pp1p!$1:$3,3,0),0)+IFERROR(HLOOKUP(B418,pp3p1m!$1:$3,3,0),0)</f>
        <v>0</v>
      </c>
    </row>
    <row r="419" spans="1:20" ht="22.2"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58">
        <f t="shared" si="66"/>
        <v>0</v>
      </c>
    </row>
    <row r="420" spans="1:20" ht="22.2"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58">
        <f t="shared" si="66"/>
        <v>0</v>
      </c>
    </row>
    <row r="421" spans="1:20" ht="22.2"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58">
        <f t="shared" si="66"/>
        <v>0</v>
      </c>
    </row>
    <row r="422" spans="1:20" ht="22.2"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58">
        <f t="shared" si="66"/>
        <v>0</v>
      </c>
    </row>
    <row r="423" spans="1:20" ht="22.2"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58">
        <f t="shared" si="66"/>
        <v>0</v>
      </c>
    </row>
    <row r="424" spans="1:20" ht="22.2"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58">
        <f t="shared" si="66"/>
        <v>0</v>
      </c>
    </row>
    <row r="425" spans="1:20" ht="22.2"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58">
        <f t="shared" si="66"/>
        <v>0</v>
      </c>
    </row>
    <row r="426" spans="1:20" ht="22.2"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58">
        <f t="shared" si="66"/>
        <v>0</v>
      </c>
    </row>
    <row r="427" spans="1:20" ht="22.2"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58">
        <f t="shared" si="66"/>
        <v>0</v>
      </c>
    </row>
    <row r="428" spans="1:20" ht="22.2"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58">
        <f>IFERROR(HLOOKUP(B428,pp1p!$1:$3,3,0),0)+IFERROR(HLOOKUP(B428,pp3p1m!$1:$3,3,0),0)</f>
        <v>0</v>
      </c>
    </row>
    <row r="429" spans="1:20" ht="22.2"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58">
        <f t="shared" si="66"/>
        <v>0</v>
      </c>
    </row>
    <row r="430" spans="1:20" ht="22.2" hidden="1" customHeight="1">
      <c r="A430" s="63"/>
      <c r="B430" s="1586" t="s">
        <v>4447</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58">
        <f t="shared" si="66"/>
        <v>0</v>
      </c>
    </row>
    <row r="431" spans="1:20" ht="22.2"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58">
        <f t="shared" si="66"/>
        <v>0</v>
      </c>
    </row>
    <row r="432" spans="1:20" ht="22.2"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58">
        <f t="shared" si="66"/>
        <v>0</v>
      </c>
    </row>
    <row r="433" spans="1:20" ht="22.2"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58">
        <f t="shared" si="66"/>
        <v>0</v>
      </c>
    </row>
    <row r="434" spans="1:20" ht="22.2"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58">
        <f t="shared" si="66"/>
        <v>0</v>
      </c>
    </row>
    <row r="435" spans="1:20" ht="22.2"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58">
        <f t="shared" si="66"/>
        <v>0</v>
      </c>
    </row>
    <row r="436" spans="1:20" ht="22.2"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58">
        <f t="shared" si="66"/>
        <v>0</v>
      </c>
    </row>
    <row r="437" spans="1:20" ht="22.2"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58">
        <f t="shared" si="66"/>
        <v>0</v>
      </c>
    </row>
    <row r="438" spans="1:20" ht="22.2"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58">
        <f t="shared" si="66"/>
        <v>0</v>
      </c>
    </row>
    <row r="439" spans="1:20" ht="22.2"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58">
        <f t="shared" si="66"/>
        <v>0</v>
      </c>
    </row>
    <row r="440" spans="1:20" ht="22.2"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58">
        <f t="shared" si="66"/>
        <v>0</v>
      </c>
    </row>
    <row r="441" spans="1:20" ht="22.2"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58">
        <f t="shared" si="66"/>
        <v>0</v>
      </c>
    </row>
    <row r="442" spans="1:20" ht="22.2"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58">
        <f t="shared" si="66"/>
        <v>0</v>
      </c>
    </row>
    <row r="443" spans="1:20" ht="22.2"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58">
        <f t="shared" si="66"/>
        <v>0</v>
      </c>
    </row>
    <row r="444" spans="1:20" ht="22.2"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58">
        <f t="shared" si="66"/>
        <v>0</v>
      </c>
    </row>
    <row r="445" spans="1:20" ht="22.2"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58">
        <f>IFERROR(HLOOKUP(B445,pp1p!$1:$3,3,0),0)+IFERROR(HLOOKUP(B445,pp3p1m!$1:$3,3,0),0)</f>
        <v>0</v>
      </c>
    </row>
    <row r="446" spans="1:20" ht="22.2"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58">
        <f t="shared" si="66"/>
        <v>0</v>
      </c>
    </row>
    <row r="447" spans="1:20" ht="22.2"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58">
        <f t="shared" si="66"/>
        <v>0</v>
      </c>
    </row>
    <row r="448" spans="1:20" ht="22.2"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58">
        <f t="shared" si="66"/>
        <v>0</v>
      </c>
    </row>
    <row r="449" spans="1:20" ht="22.2"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58">
        <f t="shared" si="66"/>
        <v>0</v>
      </c>
    </row>
    <row r="450" spans="1:20" ht="22.2"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58">
        <f t="shared" si="66"/>
        <v>0</v>
      </c>
    </row>
    <row r="451" spans="1:20" ht="22.2"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58">
        <f t="shared" si="66"/>
        <v>0</v>
      </c>
    </row>
    <row r="452" spans="1:20" ht="22.2"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58">
        <f t="shared" si="66"/>
        <v>0</v>
      </c>
    </row>
    <row r="453" spans="1:20" ht="22.2"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58">
        <f>IFERROR(HLOOKUP(B453,pp1p!$1:$3,3,0),0)+IFERROR(HLOOKUP(B453,pp3p1m!$1:$3,3,0),0)</f>
        <v>0</v>
      </c>
    </row>
    <row r="454" spans="1:20" ht="22.2"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58">
        <f t="shared" si="66"/>
        <v>0</v>
      </c>
    </row>
    <row r="455" spans="1:20" ht="22.2"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58">
        <f t="shared" si="66"/>
        <v>0</v>
      </c>
    </row>
    <row r="456" spans="1:20" ht="22.2"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58">
        <f t="shared" si="66"/>
        <v>0</v>
      </c>
    </row>
    <row r="457" spans="1:20" ht="22.2"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58">
        <f t="shared" si="66"/>
        <v>0</v>
      </c>
    </row>
    <row r="458" spans="1:20" ht="22.2"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58">
        <f t="shared" si="66"/>
        <v>0</v>
      </c>
    </row>
    <row r="459" spans="1:20" ht="22.2"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58">
        <f t="shared" si="66"/>
        <v>0</v>
      </c>
    </row>
    <row r="460" spans="1:20" ht="22.2"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58">
        <f t="shared" si="66"/>
        <v>0</v>
      </c>
    </row>
    <row r="461" spans="1:20" ht="22.2"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58">
        <f t="shared" si="66"/>
        <v>0</v>
      </c>
    </row>
    <row r="462" spans="1:20" ht="22.2"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58">
        <f>IFERROR(HLOOKUP(B462,pp1p!$1:$3,3,0),0)+IFERROR(HLOOKUP(B462,pp3p1m!$1:$3,3,0),0)</f>
        <v>0</v>
      </c>
    </row>
    <row r="463" spans="1:20" ht="22.2"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58">
        <f t="shared" ref="T463:T525" si="79">IFERROR(HLOOKUP(B463,BangKeTru,3,0),0)</f>
        <v>0</v>
      </c>
    </row>
    <row r="464" spans="1:20" ht="22.2"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58">
        <f t="shared" si="79"/>
        <v>0</v>
      </c>
    </row>
    <row r="465" spans="1:20" ht="22.2"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58">
        <f t="shared" si="79"/>
        <v>0</v>
      </c>
    </row>
    <row r="466" spans="1:20" ht="22.2"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58">
        <f t="shared" si="79"/>
        <v>0</v>
      </c>
    </row>
    <row r="467" spans="1:20" ht="22.2"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58">
        <f t="shared" si="79"/>
        <v>0</v>
      </c>
    </row>
    <row r="468" spans="1:20" ht="22.2"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58">
        <f t="shared" si="79"/>
        <v>0</v>
      </c>
    </row>
    <row r="469" spans="1:20" ht="22.2"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58">
        <f t="shared" si="79"/>
        <v>0</v>
      </c>
    </row>
    <row r="470" spans="1:20" ht="22.2"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58">
        <f>IFERROR(HLOOKUP(B470,pp1p!$1:$3,3,0),0)+IFERROR(HLOOKUP(B470,pp3p1m!$1:$3,3,0),0)</f>
        <v>0</v>
      </c>
    </row>
    <row r="471" spans="1:20" ht="22.2"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58">
        <f t="shared" si="79"/>
        <v>0</v>
      </c>
    </row>
    <row r="472" spans="1:20" ht="22.2"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58">
        <f t="shared" si="79"/>
        <v>0</v>
      </c>
    </row>
    <row r="473" spans="1:20" ht="22.2"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58">
        <f t="shared" si="79"/>
        <v>0</v>
      </c>
    </row>
    <row r="474" spans="1:20" ht="22.2"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58">
        <f t="shared" si="79"/>
        <v>0</v>
      </c>
    </row>
    <row r="475" spans="1:20" ht="22.2"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58">
        <f t="shared" si="79"/>
        <v>0</v>
      </c>
    </row>
    <row r="476" spans="1:20" ht="22.2"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58">
        <f t="shared" si="79"/>
        <v>0</v>
      </c>
    </row>
    <row r="477" spans="1:20" ht="22.2"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58">
        <f t="shared" si="79"/>
        <v>0</v>
      </c>
    </row>
    <row r="478" spans="1:20" ht="22.2"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58">
        <f t="shared" si="79"/>
        <v>0</v>
      </c>
    </row>
    <row r="479" spans="1:20" ht="22.2"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58">
        <f t="shared" si="79"/>
        <v>0</v>
      </c>
    </row>
    <row r="480" spans="1:20" ht="22.2"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58">
        <f t="shared" si="79"/>
        <v>0</v>
      </c>
    </row>
    <row r="481" spans="1:20" ht="22.2"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58">
        <f t="shared" si="79"/>
        <v>0</v>
      </c>
    </row>
    <row r="482" spans="1:20" ht="22.2"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58">
        <f>IFERROR(HLOOKUP(B482,pp1p!$1:$3,3,0),0)+IFERROR(HLOOKUP(B482,pp3p1m!$1:$3,3,0),0)</f>
        <v>0</v>
      </c>
    </row>
    <row r="483" spans="1:20" ht="22.2"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58">
        <f t="shared" si="79"/>
        <v>0</v>
      </c>
    </row>
    <row r="484" spans="1:20" ht="22.2"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58">
        <f t="shared" si="79"/>
        <v>0</v>
      </c>
    </row>
    <row r="485" spans="1:20" ht="22.2"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58">
        <f t="shared" si="79"/>
        <v>0</v>
      </c>
    </row>
    <row r="486" spans="1:20" ht="22.2"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58">
        <f t="shared" si="79"/>
        <v>0</v>
      </c>
    </row>
    <row r="487" spans="1:20" ht="22.2"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58">
        <f t="shared" si="79"/>
        <v>0</v>
      </c>
    </row>
    <row r="488" spans="1:20" ht="22.2"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58">
        <f t="shared" si="79"/>
        <v>0</v>
      </c>
    </row>
    <row r="489" spans="1:20" ht="22.2"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58">
        <f t="shared" si="79"/>
        <v>0</v>
      </c>
    </row>
    <row r="490" spans="1:20" ht="22.2"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58">
        <f t="shared" si="79"/>
        <v>0</v>
      </c>
    </row>
    <row r="491" spans="1:20" ht="22.2"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58">
        <f t="shared" si="79"/>
        <v>0</v>
      </c>
    </row>
    <row r="492" spans="1:20" ht="22.2"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58">
        <f>IFERROR(HLOOKUP(B492,pp1p!$1:$3,3,0),0)+IFERROR(HLOOKUP(B492,pp3p1m!$1:$3,3,0),0)</f>
        <v>0</v>
      </c>
    </row>
    <row r="493" spans="1:20" ht="22.2"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58">
        <f t="shared" si="79"/>
        <v>0</v>
      </c>
    </row>
    <row r="494" spans="1:20" ht="22.2"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58">
        <f t="shared" si="79"/>
        <v>0</v>
      </c>
    </row>
    <row r="495" spans="1:20" ht="22.2"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58">
        <f t="shared" si="79"/>
        <v>0</v>
      </c>
    </row>
    <row r="496" spans="1:20" ht="22.2"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58">
        <f t="shared" si="79"/>
        <v>0</v>
      </c>
    </row>
    <row r="497" spans="1:20" ht="22.2"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58">
        <f t="shared" si="79"/>
        <v>0</v>
      </c>
    </row>
    <row r="498" spans="1:20" ht="22.2"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58">
        <f t="shared" si="79"/>
        <v>0</v>
      </c>
    </row>
    <row r="499" spans="1:20" ht="22.2"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58">
        <f t="shared" si="79"/>
        <v>0</v>
      </c>
    </row>
    <row r="500" spans="1:20" ht="22.2"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58">
        <f t="shared" si="79"/>
        <v>0</v>
      </c>
    </row>
    <row r="501" spans="1:20" ht="22.2"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58">
        <f t="shared" si="79"/>
        <v>0</v>
      </c>
    </row>
    <row r="502" spans="1:20" ht="22.2"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58">
        <f>IFERROR(HLOOKUP(B502,pp1p!$1:$3,3,0),0)+IFERROR(HLOOKUP(B502,pp3p1m!$1:$3,3,0),0)</f>
        <v>0</v>
      </c>
    </row>
    <row r="503" spans="1:20" ht="22.2"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58">
        <f t="shared" si="79"/>
        <v>0</v>
      </c>
    </row>
    <row r="504" spans="1:20" ht="22.2"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58">
        <f t="shared" si="79"/>
        <v>0</v>
      </c>
    </row>
    <row r="505" spans="1:20" ht="22.2"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58">
        <f t="shared" si="79"/>
        <v>0</v>
      </c>
    </row>
    <row r="506" spans="1:20" ht="22.2"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58">
        <f t="shared" si="79"/>
        <v>0</v>
      </c>
    </row>
    <row r="507" spans="1:20" ht="22.2"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58">
        <f t="shared" si="79"/>
        <v>0</v>
      </c>
    </row>
    <row r="508" spans="1:20" ht="22.2"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58">
        <f t="shared" si="79"/>
        <v>0</v>
      </c>
    </row>
    <row r="509" spans="1:20" ht="22.2"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58">
        <f t="shared" si="79"/>
        <v>0</v>
      </c>
    </row>
    <row r="510" spans="1:20" ht="22.2"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58">
        <f>IFERROR(HLOOKUP(B510,pp1p!$1:$3,3,0),0)+IFERROR(HLOOKUP(B510,pp3p1m!$1:$3,3,0),0)</f>
        <v>0</v>
      </c>
    </row>
    <row r="511" spans="1:20" ht="22.2"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58">
        <f t="shared" si="79"/>
        <v>0</v>
      </c>
    </row>
    <row r="512" spans="1:20" ht="22.2"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58">
        <f t="shared" si="79"/>
        <v>0</v>
      </c>
    </row>
    <row r="513" spans="1:20" ht="22.2" hidden="1" customHeight="1">
      <c r="A513" s="63"/>
      <c r="B513" s="1586" t="s">
        <v>4447</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58">
        <f t="shared" si="79"/>
        <v>0</v>
      </c>
    </row>
    <row r="514" spans="1:20" ht="22.2"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58">
        <f t="shared" si="79"/>
        <v>0</v>
      </c>
    </row>
    <row r="515" spans="1:20" ht="22.2"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58">
        <f t="shared" si="79"/>
        <v>0</v>
      </c>
    </row>
    <row r="516" spans="1:20" ht="22.2"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58">
        <f t="shared" si="79"/>
        <v>0</v>
      </c>
    </row>
    <row r="517" spans="1:20" ht="22.2"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58">
        <f t="shared" si="79"/>
        <v>0</v>
      </c>
    </row>
    <row r="518" spans="1:20" ht="22.2"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58">
        <f t="shared" si="79"/>
        <v>0</v>
      </c>
    </row>
    <row r="519" spans="1:20" ht="22.2"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58">
        <f t="shared" si="79"/>
        <v>0</v>
      </c>
    </row>
    <row r="520" spans="1:20" ht="22.2"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58">
        <f t="shared" si="79"/>
        <v>0</v>
      </c>
    </row>
    <row r="521" spans="1:20" ht="22.2"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58">
        <f t="shared" si="79"/>
        <v>0</v>
      </c>
    </row>
    <row r="522" spans="1:20" ht="22.2"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58">
        <f t="shared" si="79"/>
        <v>0</v>
      </c>
    </row>
    <row r="523" spans="1:20" ht="22.2"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58">
        <f>IFERROR(HLOOKUP(B523,pp1p!$1:$3,3,0),0)+IFERROR(HLOOKUP(B523,pp3p1m!$1:$3,3,0),0)</f>
        <v>0</v>
      </c>
    </row>
    <row r="524" spans="1:20" ht="22.2"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58">
        <f t="shared" si="79"/>
        <v>0</v>
      </c>
    </row>
    <row r="525" spans="1:20" ht="22.2"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58">
        <f t="shared" si="79"/>
        <v>0</v>
      </c>
    </row>
    <row r="526" spans="1:20" ht="22.2"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58">
        <f t="shared" ref="T526:T589" si="88">IFERROR(HLOOKUP(B526,BangKeTru,3,0),0)</f>
        <v>0</v>
      </c>
    </row>
    <row r="527" spans="1:20" ht="22.2"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58">
        <f t="shared" si="88"/>
        <v>0</v>
      </c>
    </row>
    <row r="528" spans="1:20" ht="22.2"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58">
        <f t="shared" si="88"/>
        <v>0</v>
      </c>
    </row>
    <row r="529" spans="1:20" ht="22.2"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58">
        <f t="shared" si="88"/>
        <v>0</v>
      </c>
    </row>
    <row r="530" spans="1:20" ht="22.2"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58">
        <f t="shared" si="88"/>
        <v>0</v>
      </c>
    </row>
    <row r="531" spans="1:20" ht="22.2"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58">
        <f>IFERROR(HLOOKUP(B531,pp1p!$1:$3,3,0),0)+IFERROR(HLOOKUP(B531,pp3p1m!$1:$3,3,0),0)</f>
        <v>0</v>
      </c>
    </row>
    <row r="532" spans="1:20" ht="22.2"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58">
        <f t="shared" si="88"/>
        <v>0</v>
      </c>
    </row>
    <row r="533" spans="1:20" ht="22.2" hidden="1" customHeight="1">
      <c r="A533" s="63"/>
      <c r="B533" s="1586" t="s">
        <v>4447</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58">
        <f t="shared" si="88"/>
        <v>0</v>
      </c>
    </row>
    <row r="534" spans="1:20" ht="22.2"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58">
        <f t="shared" si="88"/>
        <v>0</v>
      </c>
    </row>
    <row r="535" spans="1:20" ht="22.2"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58">
        <f t="shared" si="88"/>
        <v>0</v>
      </c>
    </row>
    <row r="536" spans="1:20" ht="22.2"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58">
        <f t="shared" si="88"/>
        <v>0</v>
      </c>
    </row>
    <row r="537" spans="1:20" ht="22.2"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58">
        <f t="shared" si="88"/>
        <v>0</v>
      </c>
    </row>
    <row r="538" spans="1:20" ht="22.2"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58">
        <f t="shared" si="88"/>
        <v>0</v>
      </c>
    </row>
    <row r="539" spans="1:20" ht="22.2"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58">
        <f t="shared" si="88"/>
        <v>0</v>
      </c>
    </row>
    <row r="540" spans="1:20" ht="22.2"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58">
        <f t="shared" si="88"/>
        <v>0</v>
      </c>
    </row>
    <row r="541" spans="1:20" ht="22.2"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58">
        <f t="shared" si="88"/>
        <v>0</v>
      </c>
    </row>
    <row r="542" spans="1:20" ht="22.2"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58">
        <f t="shared" si="88"/>
        <v>0</v>
      </c>
    </row>
    <row r="543" spans="1:20" ht="22.2"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58">
        <f t="shared" si="88"/>
        <v>0</v>
      </c>
    </row>
    <row r="544" spans="1:20" ht="22.2"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58">
        <f t="shared" si="88"/>
        <v>0</v>
      </c>
    </row>
    <row r="545" spans="1:20" ht="22.2"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58">
        <f t="shared" si="88"/>
        <v>0</v>
      </c>
    </row>
    <row r="546" spans="1:20" ht="22.2"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58">
        <f t="shared" si="88"/>
        <v>0</v>
      </c>
    </row>
    <row r="547" spans="1:20" ht="22.2"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58">
        <f>IFERROR(HLOOKUP(B547,pp1p!$1:$3,3,0),0)+IFERROR(HLOOKUP(B547,pp3p1m!$1:$3,3,0),0)</f>
        <v>0</v>
      </c>
    </row>
    <row r="548" spans="1:20" ht="22.2"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58">
        <f t="shared" si="88"/>
        <v>0</v>
      </c>
    </row>
    <row r="549" spans="1:20" ht="22.2" hidden="1" customHeight="1">
      <c r="A549" s="63"/>
      <c r="B549" s="1586" t="s">
        <v>4447</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58">
        <f t="shared" si="88"/>
        <v>0</v>
      </c>
    </row>
    <row r="550" spans="1:20" ht="22.2"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58">
        <f t="shared" si="88"/>
        <v>0</v>
      </c>
    </row>
    <row r="551" spans="1:20" ht="22.2"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58">
        <f t="shared" si="88"/>
        <v>0</v>
      </c>
    </row>
    <row r="552" spans="1:20" ht="22.2"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58">
        <f t="shared" si="88"/>
        <v>0</v>
      </c>
    </row>
    <row r="553" spans="1:20" ht="22.2"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58">
        <f t="shared" si="88"/>
        <v>0</v>
      </c>
    </row>
    <row r="554" spans="1:20" ht="22.2"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58">
        <f t="shared" si="88"/>
        <v>0</v>
      </c>
    </row>
    <row r="555" spans="1:20" ht="22.2"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58">
        <f t="shared" si="88"/>
        <v>0</v>
      </c>
    </row>
    <row r="556" spans="1:20" ht="22.2"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58">
        <f t="shared" si="88"/>
        <v>0</v>
      </c>
    </row>
    <row r="557" spans="1:20" ht="22.2"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58">
        <f t="shared" si="88"/>
        <v>0</v>
      </c>
    </row>
    <row r="558" spans="1:20" ht="22.2"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58">
        <f t="shared" si="88"/>
        <v>0</v>
      </c>
    </row>
    <row r="559" spans="1:20" ht="22.2"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58">
        <f t="shared" si="88"/>
        <v>0</v>
      </c>
    </row>
    <row r="560" spans="1:20" ht="22.2"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58">
        <f t="shared" si="88"/>
        <v>0</v>
      </c>
    </row>
    <row r="561" spans="1:20" ht="22.2"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58">
        <f t="shared" si="88"/>
        <v>0</v>
      </c>
    </row>
    <row r="562" spans="1:20" ht="22.2"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58">
        <f t="shared" si="88"/>
        <v>0</v>
      </c>
    </row>
    <row r="563" spans="1:20" ht="22.2"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58">
        <f>IFERROR(HLOOKUP(B563,pp1p!$1:$3,3,0),0)+IFERROR(HLOOKUP(B563,pp3p1m!$1:$3,3,0),0)</f>
        <v>0</v>
      </c>
    </row>
    <row r="564" spans="1:20" ht="22.2"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58">
        <f t="shared" si="88"/>
        <v>0</v>
      </c>
    </row>
    <row r="565" spans="1:20" ht="22.2"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58">
        <f t="shared" si="88"/>
        <v>0</v>
      </c>
    </row>
    <row r="566" spans="1:20" ht="22.2"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58">
        <f t="shared" si="88"/>
        <v>0</v>
      </c>
    </row>
    <row r="567" spans="1:20" ht="22.2"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58">
        <f t="shared" si="88"/>
        <v>0</v>
      </c>
    </row>
    <row r="568" spans="1:20" ht="22.2"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58">
        <f t="shared" si="88"/>
        <v>0</v>
      </c>
    </row>
    <row r="569" spans="1:20" ht="22.2"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58">
        <f t="shared" si="88"/>
        <v>0</v>
      </c>
    </row>
    <row r="570" spans="1:20" ht="22.2"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58">
        <f t="shared" si="88"/>
        <v>0</v>
      </c>
    </row>
    <row r="571" spans="1:20" ht="22.2"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58">
        <f>IFERROR(HLOOKUP(B571,pp1p!$1:$3,3,0),0)+IFERROR(HLOOKUP(B571,pp3p1m!$1:$3,3,0),0)</f>
        <v>0</v>
      </c>
    </row>
    <row r="572" spans="1:20" ht="22.2"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58">
        <f t="shared" si="88"/>
        <v>0</v>
      </c>
    </row>
    <row r="573" spans="1:20" ht="22.2"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58">
        <f t="shared" si="88"/>
        <v>0</v>
      </c>
    </row>
    <row r="574" spans="1:20" ht="22.2"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58">
        <f t="shared" si="88"/>
        <v>0</v>
      </c>
    </row>
    <row r="575" spans="1:20" ht="22.2"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58">
        <f t="shared" si="88"/>
        <v>0</v>
      </c>
    </row>
    <row r="576" spans="1:20" ht="22.2"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58">
        <f t="shared" si="88"/>
        <v>0</v>
      </c>
    </row>
    <row r="577" spans="1:20" ht="22.2"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58">
        <f t="shared" si="88"/>
        <v>0</v>
      </c>
    </row>
    <row r="578" spans="1:20" ht="22.2"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58">
        <f t="shared" si="88"/>
        <v>0</v>
      </c>
    </row>
    <row r="579" spans="1:20" ht="22.2"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58">
        <f t="shared" si="88"/>
        <v>0</v>
      </c>
    </row>
    <row r="580" spans="1:20" ht="22.2"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58">
        <f t="shared" si="88"/>
        <v>0</v>
      </c>
    </row>
    <row r="581" spans="1:20" ht="22.2" hidden="1" customHeight="1">
      <c r="A581" s="56" t="s">
        <v>5</v>
      </c>
      <c r="B581" s="1584" t="s">
        <v>5</v>
      </c>
      <c r="C581" s="62" t="str">
        <f t="shared" si="89"/>
        <v xml:space="preserve"> </v>
      </c>
      <c r="D581" s="1542"/>
      <c r="E581" s="1048"/>
      <c r="F581" s="1396" t="s">
        <v>4586</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58">
        <f>IFERROR(HLOOKUP(B581,pp1p!$1:$3,3,0),0)+IFERROR(HLOOKUP(B581,pp3p1m!$1:$3,3,0),0)</f>
        <v>0</v>
      </c>
    </row>
    <row r="582" spans="1:20" ht="22.2"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58">
        <f t="shared" si="88"/>
        <v>0</v>
      </c>
    </row>
    <row r="583" spans="1:20" ht="22.2"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58">
        <f t="shared" si="88"/>
        <v>0</v>
      </c>
    </row>
    <row r="584" spans="1:20" ht="22.2"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58">
        <f t="shared" si="88"/>
        <v>0</v>
      </c>
    </row>
    <row r="585" spans="1:20" ht="22.2"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58">
        <f t="shared" si="88"/>
        <v>0</v>
      </c>
    </row>
    <row r="586" spans="1:20" ht="22.2"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58">
        <f t="shared" si="88"/>
        <v>0</v>
      </c>
    </row>
    <row r="587" spans="1:20" ht="22.2"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58">
        <f t="shared" si="88"/>
        <v>0</v>
      </c>
    </row>
    <row r="588" spans="1:20" ht="22.2"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58">
        <f t="shared" si="88"/>
        <v>0</v>
      </c>
    </row>
    <row r="589" spans="1:20" ht="22.2"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58">
        <f t="shared" si="88"/>
        <v>0</v>
      </c>
    </row>
    <row r="590" spans="1:20" ht="22.2"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58">
        <f t="shared" ref="T590:T664" si="97">IFERROR(HLOOKUP(B590,BangKeTru,3,0),0)</f>
        <v>0</v>
      </c>
    </row>
    <row r="591" spans="1:20" ht="22.2"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58">
        <f>IFERROR(HLOOKUP(B591,pp1p!$1:$3,3,0),0)+IFERROR(HLOOKUP(B591,pp3p1m!$1:$3,3,0),0)</f>
        <v>0</v>
      </c>
    </row>
    <row r="592" spans="1:20" ht="22.2"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58">
        <f t="shared" si="97"/>
        <v>0</v>
      </c>
    </row>
    <row r="593" spans="1:20" ht="22.2"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58">
        <f t="shared" si="97"/>
        <v>0</v>
      </c>
    </row>
    <row r="594" spans="1:20" ht="22.2"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58">
        <f t="shared" si="97"/>
        <v>0</v>
      </c>
    </row>
    <row r="595" spans="1:20" ht="22.2"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58">
        <f t="shared" si="97"/>
        <v>0</v>
      </c>
    </row>
    <row r="596" spans="1:20" ht="22.2"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58">
        <f t="shared" si="97"/>
        <v>0</v>
      </c>
    </row>
    <row r="597" spans="1:20" ht="22.2"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58">
        <f t="shared" si="97"/>
        <v>0</v>
      </c>
    </row>
    <row r="598" spans="1:20" ht="22.2"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58">
        <f t="shared" si="97"/>
        <v>0</v>
      </c>
    </row>
    <row r="599" spans="1:20" ht="22.2"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58">
        <f>IFERROR(HLOOKUP(B599,pp1p!$1:$3,3,0),0)+IFERROR(HLOOKUP(B599,pp3p1m!$1:$3,3,0),0)</f>
        <v>0</v>
      </c>
    </row>
    <row r="600" spans="1:20" ht="22.2"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58">
        <f t="shared" si="97"/>
        <v>0</v>
      </c>
    </row>
    <row r="601" spans="1:20" ht="22.2"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58">
        <f t="shared" si="97"/>
        <v>0</v>
      </c>
    </row>
    <row r="602" spans="1:20" ht="22.2"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58">
        <f t="shared" si="97"/>
        <v>0</v>
      </c>
    </row>
    <row r="603" spans="1:20" ht="22.2"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58">
        <f t="shared" si="97"/>
        <v>0</v>
      </c>
    </row>
    <row r="604" spans="1:20" ht="22.2"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58">
        <f t="shared" si="97"/>
        <v>0</v>
      </c>
    </row>
    <row r="605" spans="1:20" ht="22.2"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58">
        <f t="shared" si="97"/>
        <v>0</v>
      </c>
    </row>
    <row r="606" spans="1:20" ht="22.2"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58">
        <f t="shared" si="97"/>
        <v>0</v>
      </c>
    </row>
    <row r="607" spans="1:20" ht="22.2"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58">
        <f t="shared" si="97"/>
        <v>0</v>
      </c>
    </row>
    <row r="608" spans="1:20" ht="22.2"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58">
        <f t="shared" si="97"/>
        <v>0</v>
      </c>
    </row>
    <row r="609" spans="1:20" ht="22.2"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58">
        <f>IFERROR(HLOOKUP(B609,pp1p!$1:$3,3,0),0)+IFERROR(HLOOKUP(B609,pp3p1m!$1:$3,3,0),0)</f>
        <v>0</v>
      </c>
    </row>
    <row r="610" spans="1:20" ht="22.2" hidden="1" customHeight="1">
      <c r="A610" s="1017"/>
      <c r="B610" s="1581" t="s">
        <v>103</v>
      </c>
      <c r="C610" s="1020" t="str">
        <f t="shared" si="98"/>
        <v xml:space="preserve"> </v>
      </c>
      <c r="D610" s="1544">
        <f>0.224*E610</f>
        <v>2.6880000000000002</v>
      </c>
      <c r="E610" s="2085">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58">
        <f t="shared" si="97"/>
        <v>0</v>
      </c>
    </row>
    <row r="611" spans="1:20" ht="22.2"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58">
        <f t="shared" si="97"/>
        <v>0</v>
      </c>
    </row>
    <row r="612" spans="1:20" ht="22.2"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58">
        <f t="shared" si="97"/>
        <v>0</v>
      </c>
    </row>
    <row r="613" spans="1:20" ht="22.2"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58">
        <f t="shared" si="97"/>
        <v>0</v>
      </c>
    </row>
    <row r="614" spans="1:20" ht="22.2"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58">
        <f t="shared" si="97"/>
        <v>0</v>
      </c>
    </row>
    <row r="615" spans="1:20" ht="22.2"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3" t="str">
        <f>G610</f>
        <v>kg</v>
      </c>
      <c r="H615" s="2132">
        <f>H$609*$D615</f>
        <v>0</v>
      </c>
      <c r="I615" s="1846"/>
      <c r="J615" s="1846"/>
      <c r="K615" s="1846"/>
      <c r="L615" s="1846"/>
      <c r="M615" s="1846"/>
      <c r="N615" s="1846"/>
      <c r="O615" s="1846"/>
      <c r="P615" s="1846">
        <f>D615*$P$609</f>
        <v>0</v>
      </c>
      <c r="Q615" s="1061"/>
      <c r="R615" s="1061"/>
      <c r="S615" s="1061"/>
      <c r="T615" s="2058">
        <f t="shared" si="97"/>
        <v>0</v>
      </c>
    </row>
    <row r="616" spans="1:20" ht="22.2"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58">
        <f t="shared" si="97"/>
        <v>0</v>
      </c>
    </row>
    <row r="617" spans="1:20" ht="22.2"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58">
        <f t="shared" si="97"/>
        <v>0</v>
      </c>
    </row>
    <row r="618" spans="1:20" ht="22.2"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58">
        <f t="shared" si="97"/>
        <v>0</v>
      </c>
    </row>
    <row r="619" spans="1:20" ht="22.2"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58">
        <f>IFERROR(HLOOKUP(B619,pp1p!$1:$3,3,0),0)+IFERROR(HLOOKUP(B619,pp3p1m!$1:$3,3,0),0)</f>
        <v>0</v>
      </c>
    </row>
    <row r="620" spans="1:20" ht="22.2"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58">
        <f t="shared" si="97"/>
        <v>0</v>
      </c>
    </row>
    <row r="621" spans="1:20" ht="22.2"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58">
        <f t="shared" si="97"/>
        <v>0</v>
      </c>
    </row>
    <row r="622" spans="1:20" ht="22.2"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58">
        <f t="shared" si="97"/>
        <v>0</v>
      </c>
    </row>
    <row r="623" spans="1:20" ht="22.2"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58">
        <f t="shared" si="97"/>
        <v>0</v>
      </c>
    </row>
    <row r="624" spans="1:20" ht="22.2"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58">
        <f t="shared" si="97"/>
        <v>0</v>
      </c>
    </row>
    <row r="625" spans="1:20" ht="22.2"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58">
        <f t="shared" si="97"/>
        <v>0</v>
      </c>
    </row>
    <row r="626" spans="1:20" ht="22.2"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58">
        <f t="shared" si="97"/>
        <v>0</v>
      </c>
    </row>
    <row r="627" spans="1:20" ht="22.2"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58">
        <f t="shared" si="97"/>
        <v>0</v>
      </c>
    </row>
    <row r="628" spans="1:20" ht="22.2"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58">
        <f t="shared" si="97"/>
        <v>0</v>
      </c>
    </row>
    <row r="629" spans="1:20" ht="22.2"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58">
        <f t="shared" si="97"/>
        <v>0</v>
      </c>
    </row>
    <row r="630" spans="1:20" ht="22.2" customHeight="1">
      <c r="A630" s="1582" t="s">
        <v>2243</v>
      </c>
      <c r="B630" s="1584" t="s">
        <v>4869</v>
      </c>
      <c r="C630" s="64" t="str">
        <f t="shared" ref="C630:C640" si="106">IF(OR(P630&lt;&gt;0,H630&lt;&gt;0),"x"," ")</f>
        <v xml:space="preserve"> </v>
      </c>
      <c r="D630" s="1554"/>
      <c r="E630" s="1048"/>
      <c r="F630" s="1396" t="s">
        <v>4867</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58">
        <f>IFERROR(HLOOKUP(B630,pp1p!$1:$3,3,0),0)+IFERROR(HLOOKUP(B630,pp3p1m!$1:$3,3,0),0)</f>
        <v>0</v>
      </c>
    </row>
    <row r="631" spans="1:20" ht="22.2"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58">
        <f t="shared" ref="T631:T640" si="108">IFERROR(HLOOKUP(B631,BangKeTru,3,0),0)</f>
        <v>0</v>
      </c>
    </row>
    <row r="632" spans="1:20" ht="22.2"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58">
        <f t="shared" si="108"/>
        <v>0</v>
      </c>
    </row>
    <row r="633" spans="1:20" ht="22.2" customHeight="1">
      <c r="B633" s="1587" t="s">
        <v>4868</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58">
        <f t="shared" si="108"/>
        <v>0</v>
      </c>
    </row>
    <row r="634" spans="1:20" ht="22.2"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58">
        <f t="shared" si="108"/>
        <v>0</v>
      </c>
    </row>
    <row r="635" spans="1:20" ht="22.2"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58">
        <f t="shared" si="108"/>
        <v>0</v>
      </c>
    </row>
    <row r="636" spans="1:20" ht="22.2"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58">
        <f t="shared" si="108"/>
        <v>0</v>
      </c>
    </row>
    <row r="637" spans="1:20" ht="22.2"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58">
        <f t="shared" si="108"/>
        <v>0</v>
      </c>
    </row>
    <row r="638" spans="1:20" ht="22.2"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58">
        <f t="shared" si="108"/>
        <v>0</v>
      </c>
    </row>
    <row r="639" spans="1:20" ht="22.2"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58">
        <f t="shared" si="108"/>
        <v>0</v>
      </c>
    </row>
    <row r="640" spans="1:20" ht="22.2"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58">
        <f t="shared" si="108"/>
        <v>0</v>
      </c>
    </row>
    <row r="641" spans="1:20" ht="22.2"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58">
        <f>IFERROR(HLOOKUP(B641,pp1p!$1:$3,3,0),0)+IFERROR(HLOOKUP(B641,pp3p1m!$1:$3,3,0),0)</f>
        <v>0</v>
      </c>
    </row>
    <row r="642" spans="1:20" ht="22.2"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58">
        <f t="shared" si="97"/>
        <v>0</v>
      </c>
    </row>
    <row r="643" spans="1:20" ht="22.2"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58">
        <f t="shared" si="97"/>
        <v>0</v>
      </c>
    </row>
    <row r="644" spans="1:20" ht="22.2"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58">
        <f t="shared" si="97"/>
        <v>0</v>
      </c>
    </row>
    <row r="645" spans="1:20" ht="22.2"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58">
        <f t="shared" si="97"/>
        <v>0</v>
      </c>
    </row>
    <row r="646" spans="1:20" ht="22.2"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58">
        <f t="shared" si="97"/>
        <v>0</v>
      </c>
    </row>
    <row r="647" spans="1:20" ht="22.2"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58">
        <f t="shared" si="97"/>
        <v>0</v>
      </c>
    </row>
    <row r="648" spans="1:20" ht="22.2"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58">
        <f t="shared" si="97"/>
        <v>0</v>
      </c>
    </row>
    <row r="649" spans="1:20" ht="22.2"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58">
        <f t="shared" si="97"/>
        <v>0</v>
      </c>
    </row>
    <row r="650" spans="1:20" ht="22.2"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58">
        <f t="shared" si="97"/>
        <v>0</v>
      </c>
    </row>
    <row r="651" spans="1:20" ht="22.2"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58">
        <f>IFERROR(HLOOKUP(B651,pp1p!$1:$3,3,0),0)+IFERROR(HLOOKUP(B651,pp3p1m!$1:$3,3,0),0)</f>
        <v>0</v>
      </c>
    </row>
    <row r="652" spans="1:20" ht="22.2"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58">
        <f t="shared" si="97"/>
        <v>0</v>
      </c>
    </row>
    <row r="653" spans="1:20" ht="22.2"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58">
        <f t="shared" si="97"/>
        <v>0</v>
      </c>
    </row>
    <row r="654" spans="1:20" ht="22.2"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58">
        <f t="shared" si="97"/>
        <v>0</v>
      </c>
    </row>
    <row r="655" spans="1:20" ht="22.2"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58">
        <f t="shared" si="97"/>
        <v>0</v>
      </c>
    </row>
    <row r="656" spans="1:20" ht="22.2"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58">
        <f t="shared" si="97"/>
        <v>0</v>
      </c>
    </row>
    <row r="657" spans="1:20" ht="22.2"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58">
        <f t="shared" si="97"/>
        <v>0</v>
      </c>
    </row>
    <row r="658" spans="1:20" ht="22.2"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58">
        <f t="shared" si="97"/>
        <v>0</v>
      </c>
    </row>
    <row r="659" spans="1:20" ht="22.2"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58">
        <f t="shared" si="97"/>
        <v>0</v>
      </c>
    </row>
    <row r="660" spans="1:20" ht="22.2"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58">
        <f t="shared" si="97"/>
        <v>0</v>
      </c>
    </row>
    <row r="661" spans="1:20" ht="22.2"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58">
        <f>IFERROR(HLOOKUP(B661,pp1p!$1:$3,3,0),0)+IFERROR(HLOOKUP(B661,pp3p1m!$1:$3,3,0),0)</f>
        <v>0</v>
      </c>
    </row>
    <row r="662" spans="1:20" ht="22.2"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58">
        <f t="shared" si="97"/>
        <v>0</v>
      </c>
    </row>
    <row r="663" spans="1:20" ht="22.2"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58">
        <f t="shared" si="97"/>
        <v>0</v>
      </c>
    </row>
    <row r="664" spans="1:20" ht="22.2"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58">
        <f t="shared" si="97"/>
        <v>0</v>
      </c>
    </row>
    <row r="665" spans="1:20" ht="22.2"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58">
        <f t="shared" ref="T665:T728" si="116">IFERROR(HLOOKUP(B665,BangKeTru,3,0),0)</f>
        <v>0</v>
      </c>
    </row>
    <row r="666" spans="1:20" ht="22.2"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58">
        <f t="shared" si="116"/>
        <v>0</v>
      </c>
    </row>
    <row r="667" spans="1:20" ht="22.2"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58">
        <f t="shared" si="116"/>
        <v>0</v>
      </c>
    </row>
    <row r="668" spans="1:20" ht="22.2"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58">
        <f t="shared" si="116"/>
        <v>0</v>
      </c>
    </row>
    <row r="669" spans="1:20" ht="22.2"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58">
        <f>IFERROR(HLOOKUP(B669,pp1p!$1:$3,3,0),0)+IFERROR(HLOOKUP(B669,pp3p1m!$1:$3,3,0),0)</f>
        <v>0</v>
      </c>
    </row>
    <row r="670" spans="1:20" ht="22.2"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58">
        <f t="shared" si="116"/>
        <v>0</v>
      </c>
    </row>
    <row r="671" spans="1:20" ht="22.2"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58">
        <f t="shared" si="116"/>
        <v>0</v>
      </c>
    </row>
    <row r="672" spans="1:20" ht="22.2"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58">
        <f t="shared" si="116"/>
        <v>0</v>
      </c>
    </row>
    <row r="673" spans="1:20" ht="22.2"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58">
        <f t="shared" si="116"/>
        <v>0</v>
      </c>
    </row>
    <row r="674" spans="1:20" ht="22.2"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58">
        <f t="shared" si="116"/>
        <v>0</v>
      </c>
    </row>
    <row r="675" spans="1:20" ht="22.2"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58">
        <f t="shared" si="116"/>
        <v>0</v>
      </c>
    </row>
    <row r="676" spans="1:20" ht="22.2"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58">
        <f t="shared" si="116"/>
        <v>0</v>
      </c>
    </row>
    <row r="677" spans="1:20" ht="22.2"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58">
        <f t="shared" si="116"/>
        <v>0</v>
      </c>
    </row>
    <row r="678" spans="1:20" ht="22.2"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58">
        <f>IFERROR(HLOOKUP(B678,pp1p!$1:$3,3,0),0)+IFERROR(HLOOKUP(B678,pp3p1m!$1:$3,3,0),0)</f>
        <v>0</v>
      </c>
    </row>
    <row r="679" spans="1:20" ht="22.2"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58">
        <f t="shared" si="116"/>
        <v>0</v>
      </c>
    </row>
    <row r="680" spans="1:20" ht="22.2"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58">
        <f t="shared" si="116"/>
        <v>0</v>
      </c>
    </row>
    <row r="681" spans="1:20" ht="22.2"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58">
        <f t="shared" si="116"/>
        <v>0</v>
      </c>
    </row>
    <row r="682" spans="1:20" ht="22.2"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58">
        <f t="shared" si="116"/>
        <v>0</v>
      </c>
    </row>
    <row r="683" spans="1:20" ht="22.2"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58">
        <f t="shared" si="116"/>
        <v>0</v>
      </c>
    </row>
    <row r="684" spans="1:20" ht="22.2"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58">
        <f t="shared" si="116"/>
        <v>0</v>
      </c>
    </row>
    <row r="685" spans="1:20" ht="22.2"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58">
        <f t="shared" si="116"/>
        <v>0</v>
      </c>
    </row>
    <row r="686" spans="1:20" ht="22.2"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58">
        <f t="shared" si="116"/>
        <v>0</v>
      </c>
    </row>
    <row r="687" spans="1:20" ht="22.2"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58">
        <f t="shared" si="116"/>
        <v>0</v>
      </c>
    </row>
    <row r="688" spans="1:20" ht="22.2"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58">
        <f t="shared" si="116"/>
        <v>0</v>
      </c>
    </row>
    <row r="689" spans="1:20" ht="22.2"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58">
        <f t="shared" si="116"/>
        <v>0</v>
      </c>
    </row>
    <row r="690" spans="1:20" ht="22.2"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58">
        <f t="shared" si="116"/>
        <v>0</v>
      </c>
    </row>
    <row r="691" spans="1:20" ht="22.2"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58">
        <f t="shared" si="116"/>
        <v>0</v>
      </c>
    </row>
    <row r="692" spans="1:20" ht="22.2"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58">
        <f t="shared" si="116"/>
        <v>0</v>
      </c>
    </row>
    <row r="693" spans="1:20" ht="22.2"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58">
        <f>IFERROR(HLOOKUP(B693,pp1p!$1:$3,3,0),0)+IFERROR(HLOOKUP(B693,pp3p1m!$1:$3,3,0),0)</f>
        <v>0</v>
      </c>
    </row>
    <row r="694" spans="1:20" ht="22.2"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58">
        <f>IFERROR(HLOOKUP(B694,pp1p!$1:$3,3,0),0)+IFERROR(HLOOKUP(B694,pp3p1m!$1:$3,3,0),0)</f>
        <v>0</v>
      </c>
    </row>
    <row r="695" spans="1:20" ht="22.2"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58">
        <f t="shared" si="116"/>
        <v>0</v>
      </c>
    </row>
    <row r="696" spans="1:20" ht="22.2"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58">
        <f t="shared" si="116"/>
        <v>0</v>
      </c>
    </row>
    <row r="697" spans="1:20" ht="22.2"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58">
        <f t="shared" si="116"/>
        <v>0</v>
      </c>
    </row>
    <row r="698" spans="1:20" ht="22.2"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58">
        <f t="shared" si="116"/>
        <v>0</v>
      </c>
    </row>
    <row r="699" spans="1:20" ht="22.2"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58">
        <f t="shared" si="116"/>
        <v>0</v>
      </c>
    </row>
    <row r="700" spans="1:20" ht="22.2"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58">
        <f t="shared" si="116"/>
        <v>0</v>
      </c>
    </row>
    <row r="701" spans="1:20" ht="22.2"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58">
        <f>IFERROR(HLOOKUP(B701,pp1p!$1:$3,3,0),0)+IFERROR(HLOOKUP(B701,pp3p1m!$1:$3,3,0),0)</f>
        <v>0</v>
      </c>
    </row>
    <row r="702" spans="1:20" ht="22.2"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58">
        <f t="shared" si="116"/>
        <v>0</v>
      </c>
    </row>
    <row r="703" spans="1:20" ht="22.2"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58">
        <f t="shared" si="116"/>
        <v>0</v>
      </c>
    </row>
    <row r="704" spans="1:20" ht="22.2"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58">
        <f t="shared" si="116"/>
        <v>0</v>
      </c>
    </row>
    <row r="705" spans="1:20" ht="22.2"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58">
        <f t="shared" si="116"/>
        <v>0</v>
      </c>
    </row>
    <row r="706" spans="1:20" ht="22.2"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58">
        <f t="shared" si="116"/>
        <v>0</v>
      </c>
    </row>
    <row r="707" spans="1:20" ht="22.2"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58">
        <f t="shared" si="116"/>
        <v>0</v>
      </c>
    </row>
    <row r="708" spans="1:20" ht="22.2" hidden="1" customHeight="1">
      <c r="A708" s="968" t="s">
        <v>232</v>
      </c>
      <c r="B708" s="1590" t="s">
        <v>232</v>
      </c>
      <c r="C708" s="1015" t="str">
        <f t="shared" si="117"/>
        <v xml:space="preserve"> </v>
      </c>
      <c r="D708" s="1542"/>
      <c r="E708" s="1048"/>
      <c r="F708" s="1396" t="s">
        <v>4587</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58">
        <f>IFERROR(HLOOKUP(B708,pp1p!$1:$3,3,0),0)+IFERROR(HLOOKUP(B708,pp3p1m!$1:$3,3,0),0)</f>
        <v>0</v>
      </c>
    </row>
    <row r="709" spans="1:20" ht="22.2"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58">
        <f t="shared" si="116"/>
        <v>0</v>
      </c>
    </row>
    <row r="710" spans="1:20" ht="22.2"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58">
        <f t="shared" si="116"/>
        <v>0</v>
      </c>
    </row>
    <row r="711" spans="1:20" ht="22.2"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58">
        <f t="shared" si="116"/>
        <v>0</v>
      </c>
    </row>
    <row r="712" spans="1:20" ht="22.2"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58">
        <f t="shared" si="116"/>
        <v>0</v>
      </c>
    </row>
    <row r="713" spans="1:20" ht="22.2"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58">
        <f t="shared" si="116"/>
        <v>0</v>
      </c>
    </row>
    <row r="714" spans="1:20" ht="22.2"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58">
        <f t="shared" si="116"/>
        <v>0</v>
      </c>
    </row>
    <row r="715" spans="1:20" ht="22.2"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58">
        <f>IFERROR(HLOOKUP(B715,pp1p!$1:$3,3,0),0)+IFERROR(HLOOKUP(B715,pp3p1m!$1:$3,3,0),0)</f>
        <v>0</v>
      </c>
    </row>
    <row r="716" spans="1:20" ht="22.2"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58">
        <f t="shared" si="116"/>
        <v>0</v>
      </c>
    </row>
    <row r="717" spans="1:20" ht="22.2"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58">
        <f t="shared" si="116"/>
        <v>0</v>
      </c>
    </row>
    <row r="718" spans="1:20" ht="22.2"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58">
        <f t="shared" si="116"/>
        <v>0</v>
      </c>
    </row>
    <row r="719" spans="1:20" ht="22.2"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58">
        <f t="shared" si="116"/>
        <v>0</v>
      </c>
    </row>
    <row r="720" spans="1:20" ht="22.2"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58">
        <f t="shared" si="116"/>
        <v>0</v>
      </c>
    </row>
    <row r="721" spans="1:20" ht="22.2"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58">
        <f t="shared" si="116"/>
        <v>0</v>
      </c>
    </row>
    <row r="722" spans="1:20" ht="22.2"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58">
        <f>IFERROR(HLOOKUP(B722,pp1p!$1:$3,3,0),0)+IFERROR(HLOOKUP(B722,pp3p1m!$1:$3,3,0),0)</f>
        <v>0</v>
      </c>
    </row>
    <row r="723" spans="1:20" ht="22.2"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58">
        <f t="shared" si="116"/>
        <v>0</v>
      </c>
    </row>
    <row r="724" spans="1:20" ht="22.2"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58">
        <f t="shared" si="116"/>
        <v>0</v>
      </c>
    </row>
    <row r="725" spans="1:20" ht="22.2"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58">
        <f t="shared" si="116"/>
        <v>0</v>
      </c>
    </row>
    <row r="726" spans="1:20" ht="22.2"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58">
        <f>IFERROR(HLOOKUP(B726,pp1p!$1:$3,3,0),0)+IFERROR(HLOOKUP(B726,pp3p1m!$1:$3,3,0),0)</f>
        <v>0</v>
      </c>
    </row>
    <row r="727" spans="1:20" ht="22.2"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58">
        <f t="shared" si="116"/>
        <v>0</v>
      </c>
    </row>
    <row r="728" spans="1:20" ht="22.2"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58">
        <f t="shared" si="116"/>
        <v>0</v>
      </c>
    </row>
    <row r="729" spans="1:20" ht="22.2"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58">
        <f t="shared" ref="T729:T792" si="128">IFERROR(HLOOKUP(B729,BangKeTru,3,0),0)</f>
        <v>0</v>
      </c>
    </row>
    <row r="730" spans="1:20" ht="22.2"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58">
        <f t="shared" si="128"/>
        <v>0</v>
      </c>
    </row>
    <row r="731" spans="1:20" ht="22.2"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58">
        <f t="shared" si="128"/>
        <v>0</v>
      </c>
    </row>
    <row r="732" spans="1:20" ht="22.2"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58">
        <f>IFERROR(HLOOKUP(B732,pp1p!$1:$3,3,0),0)+IFERROR(HLOOKUP(B732,pp3p1m!$1:$3,3,0),0)</f>
        <v>0</v>
      </c>
    </row>
    <row r="733" spans="1:20" ht="22.2"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58">
        <f t="shared" si="128"/>
        <v>0</v>
      </c>
    </row>
    <row r="734" spans="1:20" ht="22.2"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58">
        <f t="shared" si="128"/>
        <v>0</v>
      </c>
    </row>
    <row r="735" spans="1:20" ht="22.2"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58">
        <f t="shared" si="128"/>
        <v>0</v>
      </c>
    </row>
    <row r="736" spans="1:20" ht="22.2"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58">
        <f t="shared" si="128"/>
        <v>0</v>
      </c>
    </row>
    <row r="737" spans="1:20" ht="22.2"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58">
        <f t="shared" si="128"/>
        <v>0</v>
      </c>
    </row>
    <row r="738" spans="1:20" ht="22.2"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58">
        <f t="shared" si="128"/>
        <v>0</v>
      </c>
    </row>
    <row r="739" spans="1:20" ht="22.2"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58">
        <f>IFERROR(HLOOKUP(B739,pp1p!$1:$3,3,0),0)+IFERROR(HLOOKUP(B739,pp3p1m!$1:$3,3,0),0)</f>
        <v>0</v>
      </c>
    </row>
    <row r="740" spans="1:20" ht="22.2"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58">
        <f t="shared" si="128"/>
        <v>0</v>
      </c>
    </row>
    <row r="741" spans="1:20" ht="22.2"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58">
        <f>IFERROR(HLOOKUP(B741,pp1p!$1:$3,3,0),0)+IFERROR(HLOOKUP(B741,pp3p1m!$1:$3,3,0),0)</f>
        <v>0</v>
      </c>
    </row>
    <row r="742" spans="1:20" ht="22.2"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58">
        <f t="shared" si="128"/>
        <v>0</v>
      </c>
    </row>
    <row r="743" spans="1:20" ht="22.2"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58">
        <f t="shared" si="128"/>
        <v>0</v>
      </c>
    </row>
    <row r="744" spans="1:20" ht="22.2"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58">
        <f t="shared" si="128"/>
        <v>0</v>
      </c>
    </row>
    <row r="745" spans="1:20" ht="22.2"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58">
        <f t="shared" si="128"/>
        <v>0</v>
      </c>
    </row>
    <row r="746" spans="1:20" ht="22.2"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58">
        <f t="shared" si="128"/>
        <v>0</v>
      </c>
    </row>
    <row r="747" spans="1:20" ht="22.2"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58">
        <f t="shared" si="128"/>
        <v>0</v>
      </c>
    </row>
    <row r="748" spans="1:20" ht="22.2"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58">
        <f>IFERROR(HLOOKUP(B748,pp1p!$1:$3,3,0),0)+IFERROR(HLOOKUP(B748,pp3p1m!$1:$3,3,0),0)</f>
        <v>0</v>
      </c>
    </row>
    <row r="749" spans="1:20" ht="22.2"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58">
        <f t="shared" si="128"/>
        <v>0</v>
      </c>
    </row>
    <row r="750" spans="1:20" ht="22.2"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58">
        <f t="shared" si="128"/>
        <v>0</v>
      </c>
    </row>
    <row r="751" spans="1:20" ht="22.2"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58">
        <f t="shared" si="128"/>
        <v>0</v>
      </c>
    </row>
    <row r="752" spans="1:20" ht="22.2"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58">
        <f t="shared" si="128"/>
        <v>0</v>
      </c>
    </row>
    <row r="753" spans="1:20" ht="22.2"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58">
        <f t="shared" si="128"/>
        <v>0</v>
      </c>
    </row>
    <row r="754" spans="1:20" ht="22.2"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58">
        <f t="shared" si="128"/>
        <v>0</v>
      </c>
    </row>
    <row r="755" spans="1:20" ht="22.2"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58">
        <f>IFERROR(HLOOKUP(B755,pp1p!$1:$3,3,0),0)+IFERROR(HLOOKUP(B755,pp3p1m!$1:$3,3,0),0)</f>
        <v>0</v>
      </c>
    </row>
    <row r="756" spans="1:20" ht="22.2"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58">
        <f t="shared" si="128"/>
        <v>0</v>
      </c>
    </row>
    <row r="757" spans="1:20" ht="22.2"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58">
        <f t="shared" si="128"/>
        <v>0</v>
      </c>
    </row>
    <row r="758" spans="1:20" ht="22.2"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58">
        <f t="shared" si="128"/>
        <v>0</v>
      </c>
    </row>
    <row r="759" spans="1:20" ht="22.2"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58">
        <f>IFERROR(HLOOKUP(B759,pp1p!$1:$3,3,0),0)+IFERROR(HLOOKUP(B759,pp3p1m!$1:$3,3,0),0)</f>
        <v>0</v>
      </c>
    </row>
    <row r="760" spans="1:20" ht="22.2"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58">
        <f t="shared" si="128"/>
        <v>0</v>
      </c>
    </row>
    <row r="761" spans="1:20" ht="22.2"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58">
        <f t="shared" si="128"/>
        <v>0</v>
      </c>
    </row>
    <row r="762" spans="1:20" ht="22.2"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58">
        <f t="shared" si="128"/>
        <v>0</v>
      </c>
    </row>
    <row r="763" spans="1:20" ht="22.2"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58">
        <f t="shared" si="128"/>
        <v>0</v>
      </c>
    </row>
    <row r="764" spans="1:20" ht="22.2"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58">
        <f t="shared" si="128"/>
        <v>0</v>
      </c>
    </row>
    <row r="765" spans="1:20" ht="22.2"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58">
        <f t="shared" si="128"/>
        <v>0</v>
      </c>
    </row>
    <row r="766" spans="1:20" ht="22.2"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58">
        <f>IFERROR(HLOOKUP(B766,pp1p!$1:$3,3,0),0)+IFERROR(HLOOKUP(B766,pp3p1m!$1:$3,3,0),0)</f>
        <v>0</v>
      </c>
    </row>
    <row r="767" spans="1:20" ht="22.2"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58">
        <f t="shared" si="128"/>
        <v>0</v>
      </c>
    </row>
    <row r="768" spans="1:20" ht="22.2"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58">
        <f t="shared" si="128"/>
        <v>0</v>
      </c>
    </row>
    <row r="769" spans="1:20" ht="22.2"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58">
        <f t="shared" si="128"/>
        <v>0</v>
      </c>
    </row>
    <row r="770" spans="1:20" ht="22.2"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58">
        <f t="shared" si="128"/>
        <v>0</v>
      </c>
    </row>
    <row r="771" spans="1:20" ht="22.2"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58">
        <f t="shared" si="128"/>
        <v>0</v>
      </c>
    </row>
    <row r="772" spans="1:20" ht="22.2"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58">
        <f t="shared" si="128"/>
        <v>0</v>
      </c>
    </row>
    <row r="773" spans="1:20" ht="22.2"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58">
        <f>IFERROR(HLOOKUP(B773,pp1p!$1:$3,3,0),0)+IFERROR(HLOOKUP(B773,pp3p1m!$1:$3,3,0),0)</f>
        <v>0</v>
      </c>
    </row>
    <row r="774" spans="1:20" ht="22.2"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58">
        <f>IFERROR(HLOOKUP(B774,pp1p!$1:$3,3,0),0)+IFERROR(HLOOKUP(B774,pp3p1m!$1:$3,3,0),0)</f>
        <v>0</v>
      </c>
    </row>
    <row r="775" spans="1:20" ht="22.2" hidden="1" customHeight="1">
      <c r="A775" s="59"/>
      <c r="B775" s="1587" t="s">
        <v>4732</v>
      </c>
      <c r="C775" s="1015" t="str">
        <f t="shared" si="129"/>
        <v xml:space="preserve"> </v>
      </c>
      <c r="D775" s="1544">
        <v>1</v>
      </c>
      <c r="E775" s="1047"/>
      <c r="F775" s="1059" t="str">
        <f>VLOOKUP($B775,DG!A:D,DG!$C$2,)</f>
        <v>Đà 1,66m X-16Đ</v>
      </c>
      <c r="G775" s="1047" t="str">
        <f>VLOOKUP($B775,DG!A:D,DG!$D$2,)</f>
        <v>Cái</v>
      </c>
      <c r="H775" s="1846">
        <f>H$774*$D775</f>
        <v>0</v>
      </c>
      <c r="I775" s="2132">
        <f t="shared" ref="I775:O775" si="137">I$774*$D775</f>
        <v>0</v>
      </c>
      <c r="J775" s="2132">
        <f t="shared" si="137"/>
        <v>0</v>
      </c>
      <c r="K775" s="2132">
        <f t="shared" si="137"/>
        <v>0</v>
      </c>
      <c r="L775" s="2132">
        <f t="shared" si="137"/>
        <v>0</v>
      </c>
      <c r="M775" s="2132">
        <f t="shared" si="137"/>
        <v>0</v>
      </c>
      <c r="N775" s="2132">
        <f t="shared" si="137"/>
        <v>0</v>
      </c>
      <c r="O775" s="2132">
        <f t="shared" si="137"/>
        <v>0</v>
      </c>
      <c r="P775" s="1846">
        <f>P$774*$D775</f>
        <v>0</v>
      </c>
      <c r="Q775" s="2132"/>
      <c r="R775" s="2132"/>
      <c r="S775" s="1056"/>
      <c r="T775" s="2058">
        <f t="shared" si="128"/>
        <v>0</v>
      </c>
    </row>
    <row r="776" spans="1:20" ht="22.2" hidden="1" customHeight="1">
      <c r="A776" s="59"/>
      <c r="B776" s="1587" t="s">
        <v>4728</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2">
        <f t="shared" si="138"/>
        <v>0</v>
      </c>
      <c r="J776" s="2132">
        <f t="shared" si="138"/>
        <v>0</v>
      </c>
      <c r="K776" s="2132">
        <f t="shared" si="138"/>
        <v>0</v>
      </c>
      <c r="L776" s="2132">
        <f t="shared" si="138"/>
        <v>0</v>
      </c>
      <c r="M776" s="2132">
        <f t="shared" si="138"/>
        <v>0</v>
      </c>
      <c r="N776" s="2132">
        <f t="shared" si="138"/>
        <v>0</v>
      </c>
      <c r="O776" s="2132">
        <f t="shared" si="138"/>
        <v>0</v>
      </c>
      <c r="P776" s="1846">
        <f t="shared" si="138"/>
        <v>0</v>
      </c>
      <c r="Q776" s="2132"/>
      <c r="R776" s="2132"/>
      <c r="S776" s="1056"/>
      <c r="T776" s="2058">
        <f t="shared" si="128"/>
        <v>0</v>
      </c>
    </row>
    <row r="777" spans="1:20" ht="22.2"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2">
        <f t="shared" si="138"/>
        <v>0</v>
      </c>
      <c r="J777" s="2132">
        <f t="shared" si="138"/>
        <v>0</v>
      </c>
      <c r="K777" s="2132">
        <f t="shared" si="138"/>
        <v>0</v>
      </c>
      <c r="L777" s="2132">
        <f t="shared" si="138"/>
        <v>0</v>
      </c>
      <c r="M777" s="2132">
        <f t="shared" si="138"/>
        <v>0</v>
      </c>
      <c r="N777" s="2132">
        <f t="shared" si="138"/>
        <v>0</v>
      </c>
      <c r="O777" s="2132">
        <f t="shared" si="138"/>
        <v>0</v>
      </c>
      <c r="P777" s="1846">
        <f t="shared" si="138"/>
        <v>0</v>
      </c>
      <c r="Q777" s="2132"/>
      <c r="R777" s="2132"/>
      <c r="S777" s="1056"/>
      <c r="T777" s="2058">
        <f t="shared" si="128"/>
        <v>0</v>
      </c>
    </row>
    <row r="778" spans="1:20" ht="22.2"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2">
        <f t="shared" si="138"/>
        <v>0</v>
      </c>
      <c r="J778" s="2132">
        <f t="shared" si="138"/>
        <v>0</v>
      </c>
      <c r="K778" s="2132">
        <f t="shared" si="138"/>
        <v>0</v>
      </c>
      <c r="L778" s="2132">
        <f t="shared" si="138"/>
        <v>0</v>
      </c>
      <c r="M778" s="2132">
        <f t="shared" si="138"/>
        <v>0</v>
      </c>
      <c r="N778" s="2132">
        <f t="shared" si="138"/>
        <v>0</v>
      </c>
      <c r="O778" s="2132">
        <f t="shared" si="138"/>
        <v>0</v>
      </c>
      <c r="P778" s="1846">
        <f t="shared" si="138"/>
        <v>0</v>
      </c>
      <c r="Q778" s="2132"/>
      <c r="R778" s="2132"/>
      <c r="S778" s="1056"/>
      <c r="T778" s="2058">
        <f t="shared" si="128"/>
        <v>0</v>
      </c>
    </row>
    <row r="779" spans="1:20" ht="22.2"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2">
        <f t="shared" si="138"/>
        <v>0</v>
      </c>
      <c r="J779" s="2132">
        <f t="shared" si="138"/>
        <v>0</v>
      </c>
      <c r="K779" s="2132">
        <f t="shared" si="138"/>
        <v>0</v>
      </c>
      <c r="L779" s="2132">
        <f t="shared" si="138"/>
        <v>0</v>
      </c>
      <c r="M779" s="2132">
        <f t="shared" si="138"/>
        <v>0</v>
      </c>
      <c r="N779" s="2132">
        <f t="shared" si="138"/>
        <v>0</v>
      </c>
      <c r="O779" s="2132">
        <f t="shared" si="138"/>
        <v>0</v>
      </c>
      <c r="P779" s="1846">
        <f t="shared" si="138"/>
        <v>0</v>
      </c>
      <c r="Q779" s="2132"/>
      <c r="R779" s="2132"/>
      <c r="S779" s="1056"/>
      <c r="T779" s="2058">
        <f t="shared" si="128"/>
        <v>0</v>
      </c>
    </row>
    <row r="780" spans="1:20" ht="22.2"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2">
        <f t="shared" si="138"/>
        <v>0</v>
      </c>
      <c r="J780" s="2132">
        <f t="shared" si="138"/>
        <v>0</v>
      </c>
      <c r="K780" s="2132">
        <f t="shared" si="138"/>
        <v>0</v>
      </c>
      <c r="L780" s="2132">
        <f t="shared" si="138"/>
        <v>0</v>
      </c>
      <c r="M780" s="2132">
        <f t="shared" si="138"/>
        <v>0</v>
      </c>
      <c r="N780" s="2132">
        <f t="shared" si="138"/>
        <v>0</v>
      </c>
      <c r="O780" s="2132">
        <f t="shared" si="138"/>
        <v>0</v>
      </c>
      <c r="P780" s="1846">
        <f t="shared" si="138"/>
        <v>0</v>
      </c>
      <c r="Q780" s="2132"/>
      <c r="R780" s="2132"/>
      <c r="S780" s="1061"/>
      <c r="T780" s="2058">
        <f t="shared" si="128"/>
        <v>0</v>
      </c>
    </row>
    <row r="781" spans="1:20" ht="22.2"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2">
        <f t="shared" si="138"/>
        <v>0</v>
      </c>
      <c r="I781" s="2132">
        <f t="shared" si="138"/>
        <v>0</v>
      </c>
      <c r="J781" s="2132">
        <f t="shared" si="138"/>
        <v>0</v>
      </c>
      <c r="K781" s="2132">
        <f t="shared" si="138"/>
        <v>0</v>
      </c>
      <c r="L781" s="2132">
        <f t="shared" si="138"/>
        <v>0</v>
      </c>
      <c r="M781" s="2132">
        <f t="shared" si="138"/>
        <v>0</v>
      </c>
      <c r="N781" s="2132">
        <f t="shared" si="138"/>
        <v>0</v>
      </c>
      <c r="O781" s="2132">
        <f t="shared" si="138"/>
        <v>0</v>
      </c>
      <c r="P781" s="2132"/>
      <c r="Q781" s="2132"/>
      <c r="R781" s="2132"/>
      <c r="S781" s="1061"/>
      <c r="T781" s="2058">
        <f t="shared" si="128"/>
        <v>0</v>
      </c>
    </row>
    <row r="782" spans="1:20" ht="22.2"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2">
        <f t="shared" si="138"/>
        <v>0</v>
      </c>
      <c r="I782" s="2132">
        <f t="shared" si="138"/>
        <v>0</v>
      </c>
      <c r="J782" s="2132">
        <f t="shared" si="138"/>
        <v>0</v>
      </c>
      <c r="K782" s="2132">
        <f t="shared" si="138"/>
        <v>0</v>
      </c>
      <c r="L782" s="2132">
        <f t="shared" si="138"/>
        <v>0</v>
      </c>
      <c r="M782" s="2132">
        <f t="shared" si="138"/>
        <v>0</v>
      </c>
      <c r="N782" s="2132">
        <f t="shared" si="138"/>
        <v>0</v>
      </c>
      <c r="O782" s="2132">
        <f t="shared" si="138"/>
        <v>0</v>
      </c>
      <c r="P782" s="2132"/>
      <c r="Q782" s="2132"/>
      <c r="R782" s="2132"/>
      <c r="S782" s="1061"/>
      <c r="T782" s="2058">
        <f t="shared" si="128"/>
        <v>0</v>
      </c>
    </row>
    <row r="783" spans="1:20" ht="22.2"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2">
        <f t="shared" si="138"/>
        <v>0</v>
      </c>
      <c r="I783" s="2132">
        <f t="shared" si="138"/>
        <v>0</v>
      </c>
      <c r="J783" s="2132">
        <f t="shared" si="138"/>
        <v>0</v>
      </c>
      <c r="K783" s="2132">
        <f t="shared" si="138"/>
        <v>0</v>
      </c>
      <c r="L783" s="2132">
        <f t="shared" si="138"/>
        <v>0</v>
      </c>
      <c r="M783" s="2132">
        <f t="shared" si="138"/>
        <v>0</v>
      </c>
      <c r="N783" s="2132">
        <f t="shared" si="138"/>
        <v>0</v>
      </c>
      <c r="O783" s="2132">
        <f t="shared" si="138"/>
        <v>0</v>
      </c>
      <c r="P783" s="2132"/>
      <c r="Q783" s="2132"/>
      <c r="R783" s="2132"/>
      <c r="S783" s="1061"/>
      <c r="T783" s="2058">
        <f t="shared" si="128"/>
        <v>0</v>
      </c>
    </row>
    <row r="784" spans="1:20" ht="22.2"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58">
        <f>IFERROR(HLOOKUP(B784,pp1p!$1:$3,3,0),0)+IFERROR(HLOOKUP(B784,pp3p1m!$1:$3,3,0),0)</f>
        <v>0</v>
      </c>
    </row>
    <row r="785" spans="1:20" ht="22.2"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58">
        <f t="shared" si="128"/>
        <v>0</v>
      </c>
    </row>
    <row r="786" spans="1:20" ht="22.2"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58">
        <f t="shared" si="128"/>
        <v>0</v>
      </c>
    </row>
    <row r="787" spans="1:20" ht="22.2"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58">
        <f t="shared" si="128"/>
        <v>0</v>
      </c>
    </row>
    <row r="788" spans="1:20" ht="22.2"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58">
        <f t="shared" si="128"/>
        <v>0</v>
      </c>
    </row>
    <row r="789" spans="1:20" ht="22.2"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58">
        <f t="shared" si="128"/>
        <v>0</v>
      </c>
    </row>
    <row r="790" spans="1:20" ht="22.2"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58">
        <f t="shared" si="128"/>
        <v>0</v>
      </c>
    </row>
    <row r="791" spans="1:20" ht="22.2"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58">
        <f t="shared" si="128"/>
        <v>0</v>
      </c>
    </row>
    <row r="792" spans="1:20" ht="22.2"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58">
        <f t="shared" si="128"/>
        <v>0</v>
      </c>
    </row>
    <row r="793" spans="1:20" ht="22.2"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58">
        <f t="shared" ref="T793:T856" si="141">IFERROR(HLOOKUP(B793,BangKeTru,3,0),0)</f>
        <v>0</v>
      </c>
    </row>
    <row r="794" spans="1:20" ht="22.2" hidden="1" customHeight="1">
      <c r="A794" s="1582" t="s">
        <v>2303</v>
      </c>
      <c r="B794" s="1584" t="s">
        <v>2303</v>
      </c>
      <c r="C794" s="1855" t="str">
        <f t="shared" si="140"/>
        <v xml:space="preserve"> </v>
      </c>
      <c r="D794" s="1542"/>
      <c r="E794" s="1048"/>
      <c r="F794" s="1396" t="s">
        <v>4356</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58">
        <f>IFERROR(HLOOKUP(B794,pp1p!$1:$3,3,0),0)+IFERROR(HLOOKUP(B794,pp3p1m!$1:$3,3,0),0)</f>
        <v>0</v>
      </c>
    </row>
    <row r="795" spans="1:20" ht="22.2" hidden="1" customHeight="1">
      <c r="B795" s="1581" t="s">
        <v>4810</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58">
        <f t="shared" si="141"/>
        <v>0</v>
      </c>
    </row>
    <row r="796" spans="1:20" ht="22.2" hidden="1" customHeight="1">
      <c r="B796" s="1581" t="s">
        <v>4728</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58">
        <f t="shared" si="141"/>
        <v>0</v>
      </c>
    </row>
    <row r="797" spans="1:20" ht="22.2"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58">
        <f t="shared" si="141"/>
        <v>0</v>
      </c>
    </row>
    <row r="798" spans="1:20" ht="22.2"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58">
        <f t="shared" si="141"/>
        <v>0</v>
      </c>
    </row>
    <row r="799" spans="1:20" ht="22.2"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58">
        <f t="shared" si="141"/>
        <v>0</v>
      </c>
    </row>
    <row r="800" spans="1:20" ht="22.2"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58">
        <f t="shared" si="141"/>
        <v>0</v>
      </c>
    </row>
    <row r="801" spans="1:20" ht="22.2"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58">
        <f t="shared" si="141"/>
        <v>0</v>
      </c>
    </row>
    <row r="802" spans="1:20" ht="22.2"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58">
        <f t="shared" si="141"/>
        <v>0</v>
      </c>
    </row>
    <row r="803" spans="1:20" ht="22.2"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58">
        <f t="shared" si="141"/>
        <v>0</v>
      </c>
    </row>
    <row r="804" spans="1:20" ht="22.2"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58">
        <f t="shared" si="141"/>
        <v>0</v>
      </c>
    </row>
    <row r="805" spans="1:20" ht="22.2"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58">
        <f>IFERROR(HLOOKUP(B805,pp1p!$1:$3,3,0),0)+IFERROR(HLOOKUP(B805,pp3p1m!$1:$3,3,0),0)</f>
        <v>0</v>
      </c>
    </row>
    <row r="806" spans="1:20" ht="22.2"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58">
        <f t="shared" si="141"/>
        <v>0</v>
      </c>
    </row>
    <row r="807" spans="1:20" ht="22.2"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58">
        <f t="shared" si="141"/>
        <v>0</v>
      </c>
    </row>
    <row r="808" spans="1:20" ht="22.2"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58">
        <f t="shared" si="141"/>
        <v>0</v>
      </c>
    </row>
    <row r="809" spans="1:20" ht="22.2"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58">
        <f t="shared" si="141"/>
        <v>0</v>
      </c>
    </row>
    <row r="810" spans="1:20" ht="22.2"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58">
        <f t="shared" si="141"/>
        <v>0</v>
      </c>
    </row>
    <row r="811" spans="1:20" ht="22.2"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58">
        <f t="shared" si="141"/>
        <v>0</v>
      </c>
    </row>
    <row r="812" spans="1:20" ht="22.2"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58">
        <f t="shared" si="141"/>
        <v>0</v>
      </c>
    </row>
    <row r="813" spans="1:20" ht="22.2"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58">
        <f t="shared" si="141"/>
        <v>0</v>
      </c>
    </row>
    <row r="814" spans="1:20" ht="22.2"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58">
        <f>IFERROR(HLOOKUP(B814,pp1p!$1:$3,3,0),0)+IFERROR(HLOOKUP(B814,pp3p1m!$1:$3,3,0),0)</f>
        <v>0</v>
      </c>
    </row>
    <row r="815" spans="1:20" ht="22.2" hidden="1" customHeight="1">
      <c r="A815" s="59"/>
      <c r="B815" s="1587" t="s">
        <v>4871</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58">
        <f t="shared" si="141"/>
        <v>0</v>
      </c>
    </row>
    <row r="816" spans="1:20" ht="22.2"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58">
        <f t="shared" si="141"/>
        <v>0</v>
      </c>
    </row>
    <row r="817" spans="1:20" ht="22.2"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58">
        <f t="shared" si="141"/>
        <v>0</v>
      </c>
    </row>
    <row r="818" spans="1:20" ht="22.2"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58">
        <f t="shared" si="141"/>
        <v>0</v>
      </c>
    </row>
    <row r="819" spans="1:20" ht="22.2"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58">
        <f t="shared" si="141"/>
        <v>0</v>
      </c>
    </row>
    <row r="820" spans="1:20" ht="22.2"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58">
        <f t="shared" si="141"/>
        <v>0</v>
      </c>
    </row>
    <row r="821" spans="1:20" ht="22.2"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58">
        <f t="shared" si="141"/>
        <v>0</v>
      </c>
    </row>
    <row r="822" spans="1:20" ht="22.2"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58">
        <f t="shared" si="141"/>
        <v>0</v>
      </c>
    </row>
    <row r="823" spans="1:20" ht="22.2"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58">
        <f t="shared" si="141"/>
        <v>0</v>
      </c>
    </row>
    <row r="824" spans="1:20" ht="22.2"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58">
        <f t="shared" si="141"/>
        <v>0</v>
      </c>
    </row>
    <row r="825" spans="1:20" ht="22.2"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58">
        <f>IFERROR(HLOOKUP(B825,pp1p!$1:$3,3,0),0)+IFERROR(HLOOKUP(B825,pp3p1m!$1:$3,3,0),0)</f>
        <v>0</v>
      </c>
    </row>
    <row r="826" spans="1:20" ht="22.2"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58">
        <f t="shared" si="141"/>
        <v>0</v>
      </c>
    </row>
    <row r="827" spans="1:20" ht="22.2"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58">
        <f t="shared" si="141"/>
        <v>0</v>
      </c>
    </row>
    <row r="828" spans="1:20" ht="22.2"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58">
        <f t="shared" si="141"/>
        <v>0</v>
      </c>
    </row>
    <row r="829" spans="1:20" ht="22.2"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58">
        <f t="shared" si="141"/>
        <v>0</v>
      </c>
    </row>
    <row r="830" spans="1:20" ht="22.2"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58">
        <f t="shared" si="141"/>
        <v>0</v>
      </c>
    </row>
    <row r="831" spans="1:20" ht="22.2"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58">
        <f t="shared" si="141"/>
        <v>0</v>
      </c>
    </row>
    <row r="832" spans="1:20" ht="22.2"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58">
        <f t="shared" si="141"/>
        <v>0</v>
      </c>
    </row>
    <row r="833" spans="1:20" ht="22.2"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58">
        <f t="shared" si="141"/>
        <v>0</v>
      </c>
    </row>
    <row r="834" spans="1:20" ht="22.2"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58">
        <f t="shared" si="141"/>
        <v>0</v>
      </c>
    </row>
    <row r="835" spans="1:20" ht="22.2"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58">
        <f t="shared" si="141"/>
        <v>0</v>
      </c>
    </row>
    <row r="836" spans="1:20" ht="22.2"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58">
        <f>IFERROR(HLOOKUP(B836,pp1p!$1:$3,3,0),0)+IFERROR(HLOOKUP(B836,pp3p1m!$1:$3,3,0),0)</f>
        <v>0</v>
      </c>
    </row>
    <row r="837" spans="1:20" ht="22.2"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58">
        <f t="shared" si="141"/>
        <v>0</v>
      </c>
    </row>
    <row r="838" spans="1:20" ht="22.2"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58">
        <f t="shared" si="141"/>
        <v>0</v>
      </c>
    </row>
    <row r="839" spans="1:20" ht="22.2"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58">
        <f t="shared" si="141"/>
        <v>0</v>
      </c>
    </row>
    <row r="840" spans="1:20" ht="22.2"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58">
        <f t="shared" si="141"/>
        <v>0</v>
      </c>
    </row>
    <row r="841" spans="1:20" ht="22.2"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58">
        <f t="shared" si="141"/>
        <v>0</v>
      </c>
    </row>
    <row r="842" spans="1:20" ht="22.2"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58">
        <f t="shared" si="141"/>
        <v>0</v>
      </c>
    </row>
    <row r="843" spans="1:20" ht="22.2"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58">
        <f t="shared" si="141"/>
        <v>0</v>
      </c>
    </row>
    <row r="844" spans="1:20" ht="22.2"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58">
        <f t="shared" si="141"/>
        <v>0</v>
      </c>
    </row>
    <row r="845" spans="1:20" ht="22.2"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58">
        <f>IFERROR(HLOOKUP(B845,pp1p!$1:$3,3,0),0)+IFERROR(HLOOKUP(B845,pp3p1m!$1:$3,3,0),0)</f>
        <v>0</v>
      </c>
    </row>
    <row r="846" spans="1:20" ht="22.2"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58">
        <f t="shared" si="141"/>
        <v>0</v>
      </c>
    </row>
    <row r="847" spans="1:20" ht="22.2"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58">
        <f t="shared" si="141"/>
        <v>0</v>
      </c>
    </row>
    <row r="848" spans="1:20" ht="22.2"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58">
        <f t="shared" si="141"/>
        <v>0</v>
      </c>
    </row>
    <row r="849" spans="1:20" ht="22.2"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58">
        <f t="shared" si="141"/>
        <v>0</v>
      </c>
    </row>
    <row r="850" spans="1:20" ht="22.2"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58">
        <f>IFERROR(HLOOKUP(B850,pp1p!$1:$3,3,0),0)+IFERROR(HLOOKUP(B850,pp3p1m!$1:$3,3,0),0)</f>
        <v>0</v>
      </c>
    </row>
    <row r="851" spans="1:20" ht="22.2"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58">
        <f t="shared" si="141"/>
        <v>0</v>
      </c>
    </row>
    <row r="852" spans="1:20" ht="22.2"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58">
        <f t="shared" si="141"/>
        <v>0</v>
      </c>
    </row>
    <row r="853" spans="1:20" ht="22.2"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58">
        <f t="shared" si="141"/>
        <v>0</v>
      </c>
    </row>
    <row r="854" spans="1:20" ht="22.2"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58">
        <f t="shared" si="141"/>
        <v>0</v>
      </c>
    </row>
    <row r="855" spans="1:20" ht="22.2"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58">
        <f t="shared" si="141"/>
        <v>0</v>
      </c>
    </row>
    <row r="856" spans="1:20" ht="22.2"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58">
        <f t="shared" si="141"/>
        <v>0</v>
      </c>
    </row>
    <row r="857" spans="1:20" ht="22.2"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58">
        <f t="shared" ref="T857:T931" si="164">IFERROR(HLOOKUP(B857,BangKeTru,3,0),0)</f>
        <v>0</v>
      </c>
    </row>
    <row r="858" spans="1:20" ht="22.2"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58">
        <f t="shared" si="164"/>
        <v>0</v>
      </c>
    </row>
    <row r="859" spans="1:20" ht="22.2"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58">
        <f t="shared" si="164"/>
        <v>0</v>
      </c>
    </row>
    <row r="860" spans="1:20" ht="22.2"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58">
        <f t="shared" si="164"/>
        <v>0</v>
      </c>
    </row>
    <row r="861" spans="1:20" ht="22.2"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58">
        <f t="shared" si="164"/>
        <v>0</v>
      </c>
    </row>
    <row r="862" spans="1:20" ht="22.2"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58">
        <f t="shared" si="164"/>
        <v>0</v>
      </c>
    </row>
    <row r="863" spans="1:20" ht="22.2" customHeight="1">
      <c r="A863" s="56" t="s">
        <v>1114</v>
      </c>
      <c r="B863" s="1584" t="s">
        <v>4864</v>
      </c>
      <c r="C863" s="1015" t="str">
        <f t="shared" si="157"/>
        <v xml:space="preserve"> </v>
      </c>
      <c r="D863" s="1542"/>
      <c r="E863" s="1048"/>
      <c r="F863" s="1396" t="s">
        <v>4866</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58">
        <f>IFERROR(HLOOKUP(B863,pp1p!$1:$3,3,0),0)+IFERROR(HLOOKUP(B863,pp3p1m!$1:$3,3,0),0)</f>
        <v>0</v>
      </c>
    </row>
    <row r="864" spans="1:20" ht="22.2" customHeight="1">
      <c r="A864" s="59"/>
      <c r="B864" s="1587" t="s">
        <v>4872</v>
      </c>
      <c r="C864" s="1015" t="str">
        <f t="shared" si="157"/>
        <v xml:space="preserve"> </v>
      </c>
      <c r="D864" s="1544">
        <v>1</v>
      </c>
      <c r="E864" s="1047"/>
      <c r="F864" s="1059" t="str">
        <f>VLOOKUP($B864,DG!A:D,DG!$C$2,)</f>
        <v>Sắt góc L75 x75 x8 x2200</v>
      </c>
      <c r="G864" s="1047" t="str">
        <f>VLOOKUP($B864,DG!A:D,DG!$D$2,)</f>
        <v>cái</v>
      </c>
      <c r="H864" s="2221">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1">
        <f t="shared" si="165"/>
        <v>0</v>
      </c>
      <c r="Q864" s="1846">
        <f t="shared" si="165"/>
        <v>0</v>
      </c>
      <c r="R864" s="1846">
        <f t="shared" si="165"/>
        <v>0</v>
      </c>
      <c r="S864" s="1056"/>
      <c r="T864" s="2058">
        <f t="shared" si="164"/>
        <v>0</v>
      </c>
    </row>
    <row r="865" spans="1:20" ht="22.2" customHeight="1">
      <c r="A865" s="59"/>
      <c r="B865" s="1587" t="s">
        <v>4873</v>
      </c>
      <c r="C865" s="1015" t="str">
        <f t="shared" si="157"/>
        <v xml:space="preserve"> </v>
      </c>
      <c r="D865" s="1544">
        <v>2</v>
      </c>
      <c r="E865" s="1047"/>
      <c r="F865" s="1059" t="str">
        <f>VLOOKUP($B865,DG!A:D,DG!$C$2,)</f>
        <v>Sắt góc L50 x50 x5 x920</v>
      </c>
      <c r="G865" s="1047" t="str">
        <f>VLOOKUP($B865,DG!A:D,DG!$D$2,)</f>
        <v>cái</v>
      </c>
      <c r="H865" s="2221">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1">
        <f t="shared" si="165"/>
        <v>0</v>
      </c>
      <c r="Q865" s="1846">
        <f t="shared" si="165"/>
        <v>0</v>
      </c>
      <c r="R865" s="1846">
        <f t="shared" si="165"/>
        <v>0</v>
      </c>
      <c r="S865" s="1056"/>
      <c r="T865" s="2058">
        <f t="shared" si="164"/>
        <v>0</v>
      </c>
    </row>
    <row r="866" spans="1:20" ht="22.2"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58">
        <f t="shared" si="164"/>
        <v>0</v>
      </c>
    </row>
    <row r="867" spans="1:20" ht="22.2"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58">
        <f t="shared" si="164"/>
        <v>0</v>
      </c>
    </row>
    <row r="868" spans="1:20" ht="22.2"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58">
        <f t="shared" si="164"/>
        <v>0</v>
      </c>
    </row>
    <row r="869" spans="1:20" ht="22.2"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58">
        <f t="shared" si="164"/>
        <v>0</v>
      </c>
    </row>
    <row r="870" spans="1:20" ht="22.2"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58">
        <f t="shared" si="164"/>
        <v>0</v>
      </c>
    </row>
    <row r="871" spans="1:20" ht="22.2"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58">
        <f t="shared" si="164"/>
        <v>0</v>
      </c>
    </row>
    <row r="872" spans="1:20" ht="22.2"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58">
        <f t="shared" si="164"/>
        <v>0</v>
      </c>
    </row>
    <row r="873" spans="1:20" ht="22.2"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58">
        <f t="shared" si="164"/>
        <v>0</v>
      </c>
    </row>
    <row r="874" spans="1:20" ht="22.2" customHeight="1">
      <c r="A874" s="56" t="s">
        <v>1114</v>
      </c>
      <c r="B874" s="1584" t="s">
        <v>4865</v>
      </c>
      <c r="C874" s="1015" t="str">
        <f t="shared" ref="C874:C884" si="169">IF(OR(P874&lt;&gt;0,H874&lt;&gt;0),"x"," ")</f>
        <v xml:space="preserve"> </v>
      </c>
      <c r="D874" s="1542"/>
      <c r="E874" s="1048"/>
      <c r="F874" s="1396" t="s">
        <v>4870</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58">
        <f>IFERROR(HLOOKUP(B874,pp1p!$1:$3,3,0),0)+IFERROR(HLOOKUP(B874,pp3p1m!$1:$3,3,0),0)</f>
        <v>0</v>
      </c>
    </row>
    <row r="875" spans="1:20" ht="22.2" customHeight="1">
      <c r="A875" s="59"/>
      <c r="B875" s="1587" t="s">
        <v>4872</v>
      </c>
      <c r="C875" s="1015" t="str">
        <f t="shared" si="169"/>
        <v xml:space="preserve"> </v>
      </c>
      <c r="D875" s="1544">
        <v>2</v>
      </c>
      <c r="E875" s="1047"/>
      <c r="F875" s="1059" t="str">
        <f>VLOOKUP($B875,DG!A:D,DG!$C$2,)</f>
        <v>Sắt góc L75 x75 x8 x2200</v>
      </c>
      <c r="G875" s="1047" t="str">
        <f>VLOOKUP($B875,DG!A:D,DG!$D$2,)</f>
        <v>cái</v>
      </c>
      <c r="H875" s="2221">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1">
        <f t="shared" ref="P875:R880" si="174">P$863*$D875</f>
        <v>0</v>
      </c>
      <c r="Q875" s="2221">
        <f t="shared" si="174"/>
        <v>0</v>
      </c>
      <c r="R875" s="2221">
        <f t="shared" si="174"/>
        <v>0</v>
      </c>
      <c r="S875" s="1056"/>
      <c r="T875" s="2058">
        <f t="shared" ref="T875:T884" si="175">IFERROR(HLOOKUP(B875,BangKeTru,3,0),0)</f>
        <v>0</v>
      </c>
    </row>
    <row r="876" spans="1:20" ht="22.2" customHeight="1">
      <c r="A876" s="59"/>
      <c r="B876" s="1587" t="s">
        <v>4873</v>
      </c>
      <c r="C876" s="1015" t="str">
        <f t="shared" si="169"/>
        <v xml:space="preserve"> </v>
      </c>
      <c r="D876" s="1544">
        <v>4</v>
      </c>
      <c r="E876" s="1047"/>
      <c r="F876" s="1059" t="str">
        <f>VLOOKUP($B876,DG!A:D,DG!$C$2,)</f>
        <v>Sắt góc L50 x50 x5 x920</v>
      </c>
      <c r="G876" s="1047" t="str">
        <f>VLOOKUP($B876,DG!A:D,DG!$D$2,)</f>
        <v>cái</v>
      </c>
      <c r="H876" s="2221">
        <f t="shared" si="170"/>
        <v>0</v>
      </c>
      <c r="I876" s="1846">
        <f t="shared" si="171"/>
        <v>0</v>
      </c>
      <c r="J876" s="1846">
        <f t="shared" si="171"/>
        <v>0</v>
      </c>
      <c r="K876" s="1846">
        <f t="shared" si="172"/>
        <v>0</v>
      </c>
      <c r="L876" s="1846">
        <f t="shared" si="173"/>
        <v>0</v>
      </c>
      <c r="M876" s="1846">
        <f t="shared" si="173"/>
        <v>0</v>
      </c>
      <c r="N876" s="1846">
        <f t="shared" si="173"/>
        <v>0</v>
      </c>
      <c r="O876" s="1846"/>
      <c r="P876" s="2221">
        <f t="shared" si="174"/>
        <v>0</v>
      </c>
      <c r="Q876" s="2221">
        <f t="shared" si="174"/>
        <v>0</v>
      </c>
      <c r="R876" s="2221">
        <f t="shared" si="174"/>
        <v>0</v>
      </c>
      <c r="S876" s="1056"/>
      <c r="T876" s="2058">
        <f t="shared" si="175"/>
        <v>0</v>
      </c>
    </row>
    <row r="877" spans="1:20" ht="22.2"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58">
        <f t="shared" si="175"/>
        <v>0</v>
      </c>
    </row>
    <row r="878" spans="1:20" ht="22.2"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58">
        <f t="shared" si="175"/>
        <v>0</v>
      </c>
    </row>
    <row r="879" spans="1:20" ht="22.2"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58">
        <f t="shared" si="175"/>
        <v>0</v>
      </c>
    </row>
    <row r="880" spans="1:20" ht="22.2"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58">
        <f t="shared" si="175"/>
        <v>0</v>
      </c>
    </row>
    <row r="881" spans="1:20" ht="22.2"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58">
        <f t="shared" si="175"/>
        <v>0</v>
      </c>
    </row>
    <row r="882" spans="1:20" ht="22.2"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58">
        <f t="shared" si="175"/>
        <v>0</v>
      </c>
    </row>
    <row r="883" spans="1:20" ht="22.2"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58">
        <f t="shared" si="175"/>
        <v>0</v>
      </c>
    </row>
    <row r="884" spans="1:20" ht="22.2"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58">
        <f t="shared" si="175"/>
        <v>0</v>
      </c>
    </row>
    <row r="885" spans="1:20" ht="22.2"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58">
        <f>IFERROR(HLOOKUP(B885,pp1p!$1:$3,3,0),0)+IFERROR(HLOOKUP(B885,pp3p1m!$1:$3,3,0),0)</f>
        <v>0</v>
      </c>
    </row>
    <row r="886" spans="1:20" ht="22.2"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58">
        <f t="shared" si="164"/>
        <v>0</v>
      </c>
    </row>
    <row r="887" spans="1:20" ht="22.2"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58">
        <f t="shared" si="164"/>
        <v>0</v>
      </c>
    </row>
    <row r="888" spans="1:20" ht="22.2"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58">
        <f t="shared" si="164"/>
        <v>0</v>
      </c>
    </row>
    <row r="889" spans="1:20" ht="22.2"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58">
        <f t="shared" si="164"/>
        <v>0</v>
      </c>
    </row>
    <row r="890" spans="1:20" ht="22.2"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58">
        <f t="shared" si="164"/>
        <v>0</v>
      </c>
    </row>
    <row r="891" spans="1:20" ht="22.2"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58">
        <f t="shared" si="164"/>
        <v>0</v>
      </c>
    </row>
    <row r="892" spans="1:20" ht="22.2"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58">
        <f t="shared" si="164"/>
        <v>0</v>
      </c>
    </row>
    <row r="893" spans="1:20" ht="22.2"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58">
        <f t="shared" si="164"/>
        <v>0</v>
      </c>
    </row>
    <row r="894" spans="1:20" ht="22.2"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58">
        <f>IFERROR(HLOOKUP(B894,pp1p!$1:$3,3,0),0)+IFERROR(HLOOKUP(B894,pp3p1m!$1:$3,3,0),0)</f>
        <v>0</v>
      </c>
    </row>
    <row r="895" spans="1:20" ht="22.2"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58">
        <f t="shared" si="164"/>
        <v>0</v>
      </c>
    </row>
    <row r="896" spans="1:20" ht="22.2"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58">
        <f t="shared" si="164"/>
        <v>0</v>
      </c>
    </row>
    <row r="897" spans="1:20" ht="22.2"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58">
        <f t="shared" si="164"/>
        <v>0</v>
      </c>
    </row>
    <row r="898" spans="1:20" ht="22.2"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58">
        <f t="shared" si="164"/>
        <v>0</v>
      </c>
    </row>
    <row r="899" spans="1:20" ht="22.2"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58">
        <f t="shared" si="164"/>
        <v>0</v>
      </c>
    </row>
    <row r="900" spans="1:20" ht="22.2"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58">
        <f t="shared" si="164"/>
        <v>0</v>
      </c>
    </row>
    <row r="901" spans="1:20" ht="22.2"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58">
        <f t="shared" si="164"/>
        <v>0</v>
      </c>
    </row>
    <row r="902" spans="1:20" ht="22.2"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58">
        <f t="shared" si="164"/>
        <v>0</v>
      </c>
    </row>
    <row r="903" spans="1:20" ht="22.2"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58">
        <f t="shared" si="164"/>
        <v>0</v>
      </c>
    </row>
    <row r="904" spans="1:20" ht="22.2"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58">
        <f>IFERROR(HLOOKUP(B904,pp1p!$1:$3,3,0),0)+IFERROR(HLOOKUP(B904,pp3p1m!$1:$3,3,0),0)</f>
        <v>0</v>
      </c>
    </row>
    <row r="905" spans="1:20" ht="22.2"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58">
        <f t="shared" si="164"/>
        <v>0</v>
      </c>
    </row>
    <row r="906" spans="1:20" ht="22.2"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58">
        <f t="shared" si="164"/>
        <v>0</v>
      </c>
    </row>
    <row r="907" spans="1:20" ht="22.2"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58">
        <f t="shared" si="164"/>
        <v>0</v>
      </c>
    </row>
    <row r="908" spans="1:20" ht="22.2"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58">
        <f t="shared" si="164"/>
        <v>0</v>
      </c>
    </row>
    <row r="909" spans="1:20" ht="22.2"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58">
        <f>IFERROR(HLOOKUP(B909,pp1p!$1:$3,3,0),0)+IFERROR(HLOOKUP(B909,pp3p1m!$1:$3,3,0),0)</f>
        <v>0</v>
      </c>
    </row>
    <row r="910" spans="1:20" ht="22.2"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58">
        <f t="shared" si="164"/>
        <v>0</v>
      </c>
    </row>
    <row r="911" spans="1:20" ht="22.2"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58">
        <f t="shared" si="164"/>
        <v>0</v>
      </c>
    </row>
    <row r="912" spans="1:20" ht="22.2"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58">
        <f t="shared" si="164"/>
        <v>0</v>
      </c>
    </row>
    <row r="913" spans="1:20" ht="22.2"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58">
        <f t="shared" si="164"/>
        <v>0</v>
      </c>
    </row>
    <row r="914" spans="1:20" ht="22.2"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58">
        <f t="shared" si="164"/>
        <v>0</v>
      </c>
    </row>
    <row r="915" spans="1:20" ht="22.2"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58">
        <f t="shared" si="164"/>
        <v>0</v>
      </c>
    </row>
    <row r="916" spans="1:20" ht="22.2"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58">
        <f t="shared" si="164"/>
        <v>0</v>
      </c>
    </row>
    <row r="917" spans="1:20" ht="22.2"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58">
        <f t="shared" si="164"/>
        <v>0</v>
      </c>
    </row>
    <row r="918" spans="1:20" ht="22.2"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58">
        <f>IFERROR(HLOOKUP(B918,pp1p!$1:$3,3,0),0)+IFERROR(HLOOKUP(B918,pp3p1m!$1:$3,3,0),0)</f>
        <v>0</v>
      </c>
    </row>
    <row r="919" spans="1:20" ht="22.2"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58">
        <f t="shared" si="164"/>
        <v>0</v>
      </c>
    </row>
    <row r="920" spans="1:20" ht="22.2"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58">
        <f t="shared" si="164"/>
        <v>0</v>
      </c>
    </row>
    <row r="921" spans="1:20" ht="22.2"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58">
        <f t="shared" si="164"/>
        <v>0</v>
      </c>
    </row>
    <row r="922" spans="1:20" ht="22.2"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58">
        <f t="shared" si="164"/>
        <v>0</v>
      </c>
    </row>
    <row r="923" spans="1:20" ht="22.2"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58">
        <f t="shared" si="164"/>
        <v>0</v>
      </c>
    </row>
    <row r="924" spans="1:20" ht="22.2"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58">
        <f t="shared" si="164"/>
        <v>0</v>
      </c>
    </row>
    <row r="925" spans="1:20" ht="22.2"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58">
        <f t="shared" si="164"/>
        <v>0</v>
      </c>
    </row>
    <row r="926" spans="1:20" ht="22.2"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58">
        <f t="shared" si="164"/>
        <v>0</v>
      </c>
    </row>
    <row r="927" spans="1:20" ht="22.2"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58">
        <f t="shared" si="164"/>
        <v>0</v>
      </c>
    </row>
    <row r="928" spans="1:20" ht="22.2"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58">
        <f>IFERROR(HLOOKUP(B928,pp1p!$1:$3,3,0),0)+IFERROR(HLOOKUP(B928,pp3p1m!$1:$3,3,0),0)</f>
        <v>0</v>
      </c>
    </row>
    <row r="929" spans="1:20" ht="22.2" customHeight="1">
      <c r="A929" s="59"/>
      <c r="B929" s="1587" t="s">
        <v>4874</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58">
        <f t="shared" si="164"/>
        <v>0</v>
      </c>
    </row>
    <row r="930" spans="1:20" ht="22.2" customHeight="1">
      <c r="A930" s="59"/>
      <c r="B930" s="1587" t="s">
        <v>4875</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58">
        <f t="shared" si="164"/>
        <v>0</v>
      </c>
    </row>
    <row r="931" spans="1:20" ht="22.2"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58">
        <f t="shared" si="164"/>
        <v>0</v>
      </c>
    </row>
    <row r="932" spans="1:20" ht="22.2"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58">
        <f t="shared" ref="T932:T995" si="182">IFERROR(HLOOKUP(B932,BangKeTru,3,0),0)</f>
        <v>0</v>
      </c>
    </row>
    <row r="933" spans="1:20" ht="22.2"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58">
        <f t="shared" si="182"/>
        <v>0</v>
      </c>
    </row>
    <row r="934" spans="1:20" ht="22.2"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58">
        <f t="shared" si="182"/>
        <v>0</v>
      </c>
    </row>
    <row r="935" spans="1:20" ht="22.2"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58">
        <f t="shared" si="182"/>
        <v>0</v>
      </c>
    </row>
    <row r="936" spans="1:20" ht="22.2"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58">
        <f t="shared" si="182"/>
        <v>0</v>
      </c>
    </row>
    <row r="937" spans="1:20" ht="22.2"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58">
        <f t="shared" si="182"/>
        <v>0</v>
      </c>
    </row>
    <row r="938" spans="1:20" ht="22.2"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58">
        <f>IFERROR(HLOOKUP(B938,pp1p!$1:$3,3,0),0)+IFERROR(HLOOKUP(B938,pp3p1m!$1:$3,3,0),0)</f>
        <v>0</v>
      </c>
    </row>
    <row r="939" spans="1:20" ht="22.2" customHeight="1">
      <c r="A939" s="59"/>
      <c r="B939" s="1587" t="s">
        <v>4874</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58">
        <f t="shared" si="182"/>
        <v>0</v>
      </c>
    </row>
    <row r="940" spans="1:20" ht="22.2" customHeight="1">
      <c r="A940" s="59"/>
      <c r="B940" s="1587" t="s">
        <v>4875</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58">
        <f t="shared" si="182"/>
        <v>0</v>
      </c>
    </row>
    <row r="941" spans="1:20" ht="22.2"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58">
        <f t="shared" si="182"/>
        <v>0</v>
      </c>
    </row>
    <row r="942" spans="1:20" ht="22.2"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58">
        <f t="shared" si="182"/>
        <v>0</v>
      </c>
    </row>
    <row r="943" spans="1:20" ht="22.2"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58">
        <f t="shared" si="182"/>
        <v>0</v>
      </c>
    </row>
    <row r="944" spans="1:20" ht="22.2"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58">
        <f t="shared" si="182"/>
        <v>0</v>
      </c>
    </row>
    <row r="945" spans="1:20" ht="22.2"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58">
        <f t="shared" si="182"/>
        <v>0</v>
      </c>
    </row>
    <row r="946" spans="1:20" ht="22.2"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58">
        <f t="shared" si="182"/>
        <v>0</v>
      </c>
    </row>
    <row r="947" spans="1:20" ht="22.2"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58">
        <f t="shared" si="182"/>
        <v>0</v>
      </c>
    </row>
    <row r="948" spans="1:20" ht="22.2"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58">
        <f t="shared" si="182"/>
        <v>0</v>
      </c>
    </row>
    <row r="949" spans="1:20" ht="22.2"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58">
        <f>IFERROR(HLOOKUP(B949,pp1p!$1:$3,3,0),0)+IFERROR(HLOOKUP(B949,pp3p1m!$1:$3,3,0),0)</f>
        <v>0</v>
      </c>
    </row>
    <row r="950" spans="1:20" ht="22.2"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58">
        <f t="shared" si="182"/>
        <v>0</v>
      </c>
    </row>
    <row r="951" spans="1:20" ht="22.2"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58">
        <f t="shared" si="182"/>
        <v>0</v>
      </c>
    </row>
    <row r="952" spans="1:20" ht="22.2"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58">
        <f t="shared" si="182"/>
        <v>0</v>
      </c>
    </row>
    <row r="953" spans="1:20" ht="22.2"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58">
        <f t="shared" si="182"/>
        <v>0</v>
      </c>
    </row>
    <row r="954" spans="1:20" ht="22.2"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58">
        <f t="shared" si="182"/>
        <v>0</v>
      </c>
    </row>
    <row r="955" spans="1:20" ht="22.2"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58">
        <f t="shared" si="182"/>
        <v>0</v>
      </c>
    </row>
    <row r="956" spans="1:20" ht="22.2"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58">
        <f t="shared" si="182"/>
        <v>0</v>
      </c>
    </row>
    <row r="957" spans="1:20" ht="22.2"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58">
        <f t="shared" si="182"/>
        <v>0</v>
      </c>
    </row>
    <row r="958" spans="1:20" ht="22.2"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58">
        <f>IFERROR(HLOOKUP(B958,pp1p!$1:$3,3,0),0)+IFERROR(HLOOKUP(B958,pp3p1m!$1:$3,3,0),0)</f>
        <v>0</v>
      </c>
    </row>
    <row r="959" spans="1:20" ht="22.2"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58">
        <f t="shared" si="182"/>
        <v>0</v>
      </c>
    </row>
    <row r="960" spans="1:20" ht="22.2"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58">
        <f t="shared" si="182"/>
        <v>0</v>
      </c>
    </row>
    <row r="961" spans="1:20" ht="22.2"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58">
        <f t="shared" si="182"/>
        <v>0</v>
      </c>
    </row>
    <row r="962" spans="1:20" ht="22.2"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58">
        <f t="shared" si="182"/>
        <v>0</v>
      </c>
    </row>
    <row r="963" spans="1:20" ht="22.2"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58">
        <f t="shared" si="182"/>
        <v>0</v>
      </c>
    </row>
    <row r="964" spans="1:20" ht="22.2"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58">
        <f t="shared" si="182"/>
        <v>0</v>
      </c>
    </row>
    <row r="965" spans="1:20" ht="22.2"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58">
        <f t="shared" si="182"/>
        <v>0</v>
      </c>
    </row>
    <row r="966" spans="1:20" ht="22.2"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58">
        <f t="shared" si="182"/>
        <v>0</v>
      </c>
    </row>
    <row r="967" spans="1:20" ht="22.2"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58">
        <f t="shared" si="182"/>
        <v>0</v>
      </c>
    </row>
    <row r="968" spans="1:20" ht="22.2"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58">
        <f t="shared" si="182"/>
        <v>0</v>
      </c>
    </row>
    <row r="969" spans="1:20" ht="22.2"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58">
        <f>IFERROR(HLOOKUP(B969,pp1p!$1:$3,3,0),0)+IFERROR(HLOOKUP(B969,pp3p1m!$1:$3,3,0),0)</f>
        <v>0</v>
      </c>
    </row>
    <row r="970" spans="1:20" ht="22.2"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58">
        <f t="shared" si="182"/>
        <v>0</v>
      </c>
    </row>
    <row r="971" spans="1:20" ht="22.2"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58">
        <f t="shared" si="182"/>
        <v>0</v>
      </c>
    </row>
    <row r="972" spans="1:20" ht="22.2"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58">
        <f t="shared" si="182"/>
        <v>0</v>
      </c>
    </row>
    <row r="973" spans="1:20" ht="22.2"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58">
        <f t="shared" si="182"/>
        <v>0</v>
      </c>
    </row>
    <row r="974" spans="1:20" ht="22.2"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58">
        <f t="shared" si="182"/>
        <v>0</v>
      </c>
    </row>
    <row r="975" spans="1:20" ht="22.2"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58">
        <f t="shared" si="182"/>
        <v>0</v>
      </c>
    </row>
    <row r="976" spans="1:20" ht="22.2"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58">
        <f>IFERROR(HLOOKUP(B976,pp1p!$1:$3,3,0),0)+IFERROR(HLOOKUP(B976,pp3p1m!$1:$3,3,0),0)</f>
        <v>0</v>
      </c>
    </row>
    <row r="977" spans="1:20" ht="22.2"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58">
        <f t="shared" si="182"/>
        <v>0</v>
      </c>
    </row>
    <row r="978" spans="1:20" ht="22.2"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58">
        <f t="shared" si="182"/>
        <v>0</v>
      </c>
    </row>
    <row r="979" spans="1:20" ht="22.2"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58">
        <f t="shared" si="182"/>
        <v>0</v>
      </c>
    </row>
    <row r="980" spans="1:20" ht="22.2"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58">
        <f t="shared" si="182"/>
        <v>0</v>
      </c>
    </row>
    <row r="981" spans="1:20" ht="22.2"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58">
        <f t="shared" si="182"/>
        <v>0</v>
      </c>
    </row>
    <row r="982" spans="1:20" ht="22.2"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58">
        <f t="shared" si="182"/>
        <v>0</v>
      </c>
    </row>
    <row r="983" spans="1:20" ht="22.2"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58">
        <f t="shared" si="182"/>
        <v>0</v>
      </c>
    </row>
    <row r="984" spans="1:20" ht="22.2"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58">
        <f>IFERROR(HLOOKUP(B984,pp1p!$1:$3,3,0),0)+IFERROR(HLOOKUP(B984,pp3p1m!$1:$3,3,0),0)</f>
        <v>0</v>
      </c>
    </row>
    <row r="985" spans="1:20" ht="22.2"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58">
        <f t="shared" si="182"/>
        <v>0</v>
      </c>
    </row>
    <row r="986" spans="1:20" ht="22.2"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58">
        <f t="shared" si="182"/>
        <v>0</v>
      </c>
    </row>
    <row r="987" spans="1:20" ht="22.2"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58">
        <f t="shared" si="182"/>
        <v>0</v>
      </c>
    </row>
    <row r="988" spans="1:20" ht="22.2"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58">
        <f t="shared" si="182"/>
        <v>0</v>
      </c>
    </row>
    <row r="989" spans="1:20" ht="22.2"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58">
        <f t="shared" si="182"/>
        <v>0</v>
      </c>
    </row>
    <row r="990" spans="1:20" ht="22.2"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58">
        <f t="shared" si="182"/>
        <v>0</v>
      </c>
    </row>
    <row r="991" spans="1:20" ht="22.2"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58">
        <f>IFERROR(HLOOKUP(B991,pp1p!$1:$3,3,0),0)+IFERROR(HLOOKUP(B991,pp3p1m!$1:$3,3,0),0)</f>
        <v>0</v>
      </c>
    </row>
    <row r="992" spans="1:20" ht="22.2"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58">
        <f t="shared" si="182"/>
        <v>0</v>
      </c>
    </row>
    <row r="993" spans="1:20" ht="22.2"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58">
        <f t="shared" si="182"/>
        <v>0</v>
      </c>
    </row>
    <row r="994" spans="1:20" ht="22.2"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58">
        <f t="shared" si="182"/>
        <v>0</v>
      </c>
    </row>
    <row r="995" spans="1:20" ht="22.2"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58">
        <f t="shared" si="182"/>
        <v>0</v>
      </c>
    </row>
    <row r="996" spans="1:20" ht="22.2"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58">
        <f t="shared" ref="T996:T1059" si="192">IFERROR(HLOOKUP(B996,BangKeTru,3,0),0)</f>
        <v>0</v>
      </c>
    </row>
    <row r="997" spans="1:20" ht="22.2"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58">
        <f t="shared" si="192"/>
        <v>0</v>
      </c>
    </row>
    <row r="998" spans="1:20" ht="22.2"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58">
        <f t="shared" si="192"/>
        <v>0</v>
      </c>
    </row>
    <row r="999" spans="1:20" ht="22.2"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58">
        <f>IFERROR(HLOOKUP(B999,pp1p!$1:$3,3,0),0)+IFERROR(HLOOKUP(B999,pp3p1m!$1:$3,3,0),0)</f>
        <v>0</v>
      </c>
    </row>
    <row r="1000" spans="1:20" ht="22.2"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58">
        <f t="shared" si="192"/>
        <v>0</v>
      </c>
    </row>
    <row r="1001" spans="1:20" ht="22.2"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58">
        <f t="shared" si="192"/>
        <v>0</v>
      </c>
    </row>
    <row r="1002" spans="1:20" ht="22.2"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58">
        <f t="shared" si="192"/>
        <v>0</v>
      </c>
    </row>
    <row r="1003" spans="1:20" ht="22.2"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58">
        <f t="shared" si="192"/>
        <v>0</v>
      </c>
    </row>
    <row r="1004" spans="1:20" ht="22.2"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58">
        <f t="shared" si="192"/>
        <v>0</v>
      </c>
    </row>
    <row r="1005" spans="1:20" ht="22.2"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58">
        <f t="shared" si="192"/>
        <v>0</v>
      </c>
    </row>
    <row r="1006" spans="1:20" ht="22.2"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58">
        <f t="shared" si="192"/>
        <v>0</v>
      </c>
    </row>
    <row r="1007" spans="1:20" ht="22.2"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58">
        <f t="shared" si="192"/>
        <v>0</v>
      </c>
    </row>
    <row r="1008" spans="1:20" ht="22.2"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58">
        <f t="shared" si="192"/>
        <v>0</v>
      </c>
    </row>
    <row r="1009" spans="1:20" ht="22.2"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58">
        <f>IFERROR(HLOOKUP(B1009,pp1p!$1:$3,3,0),0)+IFERROR(HLOOKUP(B1009,pp3p1m!$1:$3,3,0),0)</f>
        <v>0</v>
      </c>
    </row>
    <row r="1010" spans="1:20" ht="22.2"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58">
        <f t="shared" si="192"/>
        <v>0</v>
      </c>
    </row>
    <row r="1011" spans="1:20" ht="22.2"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58">
        <f t="shared" si="192"/>
        <v>0</v>
      </c>
    </row>
    <row r="1012" spans="1:20" ht="22.2"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58">
        <f t="shared" si="192"/>
        <v>0</v>
      </c>
    </row>
    <row r="1013" spans="1:20" ht="22.2"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58">
        <f t="shared" si="192"/>
        <v>0</v>
      </c>
    </row>
    <row r="1014" spans="1:20" ht="22.2"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58">
        <f t="shared" si="192"/>
        <v>0</v>
      </c>
    </row>
    <row r="1015" spans="1:20" ht="22.2"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58">
        <f t="shared" si="192"/>
        <v>0</v>
      </c>
    </row>
    <row r="1016" spans="1:20" ht="22.2"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58">
        <f t="shared" si="192"/>
        <v>0</v>
      </c>
    </row>
    <row r="1017" spans="1:20" ht="22.2"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58">
        <f t="shared" si="192"/>
        <v>0</v>
      </c>
    </row>
    <row r="1018" spans="1:20" ht="22.2"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58">
        <f t="shared" si="192"/>
        <v>0</v>
      </c>
    </row>
    <row r="1019" spans="1:20" ht="22.2"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58">
        <f>IFERROR(HLOOKUP(B1019,pp1p!$1:$3,3,0),0)+IFERROR(HLOOKUP(B1019,pp3p1m!$1:$3,3,0),0)</f>
        <v>0</v>
      </c>
    </row>
    <row r="1020" spans="1:20" ht="22.2"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58">
        <f t="shared" si="192"/>
        <v>0</v>
      </c>
    </row>
    <row r="1021" spans="1:20" ht="22.2"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58">
        <f t="shared" si="192"/>
        <v>0</v>
      </c>
    </row>
    <row r="1022" spans="1:20" ht="22.2"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58">
        <f t="shared" si="192"/>
        <v>0</v>
      </c>
    </row>
    <row r="1023" spans="1:20" ht="22.2"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58">
        <f t="shared" si="192"/>
        <v>0</v>
      </c>
    </row>
    <row r="1024" spans="1:20" ht="22.2"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58">
        <f t="shared" si="192"/>
        <v>0</v>
      </c>
    </row>
    <row r="1025" spans="1:20" ht="22.2"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58">
        <f t="shared" si="192"/>
        <v>0</v>
      </c>
    </row>
    <row r="1026" spans="1:20" ht="22.2"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58">
        <f t="shared" si="192"/>
        <v>0</v>
      </c>
    </row>
    <row r="1027" spans="1:20" ht="22.2"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58">
        <f t="shared" si="192"/>
        <v>0</v>
      </c>
    </row>
    <row r="1028" spans="1:20" ht="22.2"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58">
        <f t="shared" si="192"/>
        <v>0</v>
      </c>
    </row>
    <row r="1029" spans="1:20" ht="22.2"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58">
        <f>IFERROR(HLOOKUP(B1029,pp1p!$1:$3,3,0),0)+IFERROR(HLOOKUP(B1029,pp3p1m!$1:$3,3,0),0)</f>
        <v>0</v>
      </c>
    </row>
    <row r="1030" spans="1:20" ht="22.2"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58">
        <f t="shared" si="192"/>
        <v>0</v>
      </c>
    </row>
    <row r="1031" spans="1:20" ht="22.2"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58">
        <f t="shared" si="192"/>
        <v>0</v>
      </c>
    </row>
    <row r="1032" spans="1:20" ht="22.2"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58">
        <f t="shared" si="192"/>
        <v>0</v>
      </c>
    </row>
    <row r="1033" spans="1:20" ht="22.2"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58">
        <f t="shared" si="192"/>
        <v>0</v>
      </c>
    </row>
    <row r="1034" spans="1:20" ht="22.2"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58">
        <f t="shared" si="192"/>
        <v>0</v>
      </c>
    </row>
    <row r="1035" spans="1:20" ht="22.2"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58">
        <f t="shared" si="192"/>
        <v>0</v>
      </c>
    </row>
    <row r="1036" spans="1:20" ht="22.2"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58">
        <f t="shared" si="192"/>
        <v>0</v>
      </c>
    </row>
    <row r="1037" spans="1:20" ht="22.2"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58">
        <f t="shared" si="192"/>
        <v>0</v>
      </c>
    </row>
    <row r="1038" spans="1:20" ht="22.2"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58">
        <f>IFERROR(HLOOKUP(B1038,pp1p!$1:$3,3,0),0)+IFERROR(HLOOKUP(B1038,pp3p1m!$1:$3,3,0),0)</f>
        <v>0</v>
      </c>
    </row>
    <row r="1039" spans="1:20" ht="22.2"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58">
        <f t="shared" si="192"/>
        <v>0</v>
      </c>
    </row>
    <row r="1040" spans="1:20" ht="22.2"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58">
        <f t="shared" si="192"/>
        <v>0</v>
      </c>
    </row>
    <row r="1041" spans="1:20" ht="22.2"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58">
        <f t="shared" si="192"/>
        <v>0</v>
      </c>
    </row>
    <row r="1042" spans="1:20" ht="22.2"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58">
        <f t="shared" si="192"/>
        <v>0</v>
      </c>
    </row>
    <row r="1043" spans="1:20" ht="22.2"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58">
        <f t="shared" si="192"/>
        <v>0</v>
      </c>
    </row>
    <row r="1044" spans="1:20" ht="22.2"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58">
        <f t="shared" si="192"/>
        <v>0</v>
      </c>
    </row>
    <row r="1045" spans="1:20" ht="22.2"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58">
        <f t="shared" si="192"/>
        <v>0</v>
      </c>
    </row>
    <row r="1046" spans="1:20" ht="22.2"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58">
        <f t="shared" si="192"/>
        <v>0</v>
      </c>
    </row>
    <row r="1047" spans="1:20" ht="22.2"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58">
        <f t="shared" si="192"/>
        <v>0</v>
      </c>
    </row>
    <row r="1048" spans="1:20" ht="22.2"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58">
        <f>IFERROR(HLOOKUP(B1048,pp1p!$1:$3,3,0),0)+IFERROR(HLOOKUP(B1048,pp3p1m!$1:$3,3,0),0)</f>
        <v>0</v>
      </c>
    </row>
    <row r="1049" spans="1:20" ht="22.2"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58">
        <f t="shared" si="192"/>
        <v>0</v>
      </c>
    </row>
    <row r="1050" spans="1:20" ht="22.2"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58">
        <f t="shared" si="192"/>
        <v>0</v>
      </c>
    </row>
    <row r="1051" spans="1:20" ht="22.2"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58">
        <f t="shared" si="192"/>
        <v>0</v>
      </c>
    </row>
    <row r="1052" spans="1:20" ht="22.2"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58">
        <f t="shared" si="192"/>
        <v>0</v>
      </c>
    </row>
    <row r="1053" spans="1:20" ht="22.2"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58">
        <f t="shared" si="192"/>
        <v>0</v>
      </c>
    </row>
    <row r="1054" spans="1:20" ht="22.2"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58">
        <f t="shared" si="192"/>
        <v>0</v>
      </c>
    </row>
    <row r="1055" spans="1:20" ht="22.2"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58">
        <f t="shared" si="192"/>
        <v>0</v>
      </c>
    </row>
    <row r="1056" spans="1:20" ht="22.2"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58">
        <f t="shared" si="192"/>
        <v>0</v>
      </c>
    </row>
    <row r="1057" spans="1:20" ht="22.2"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58">
        <f t="shared" si="192"/>
        <v>0</v>
      </c>
    </row>
    <row r="1058" spans="1:20" ht="22.2"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58">
        <f>IFERROR(HLOOKUP(B1058,pp1p!$1:$3,3,0),0)+IFERROR(HLOOKUP(B1058,pp3p1m!$1:$3,3,0),0)</f>
        <v>0</v>
      </c>
    </row>
    <row r="1059" spans="1:20" ht="22.2"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58">
        <f t="shared" si="192"/>
        <v>0</v>
      </c>
    </row>
    <row r="1060" spans="1:20" ht="22.2"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58">
        <f t="shared" ref="T1060:T1123" si="201">IFERROR(HLOOKUP(B1060,BangKeTru,3,0),0)</f>
        <v>0</v>
      </c>
    </row>
    <row r="1061" spans="1:20" ht="22.2"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58">
        <f t="shared" si="201"/>
        <v>0</v>
      </c>
    </row>
    <row r="1062" spans="1:20" ht="22.2"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58">
        <f t="shared" si="201"/>
        <v>0</v>
      </c>
    </row>
    <row r="1063" spans="1:20" ht="22.2"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58">
        <f t="shared" si="201"/>
        <v>0</v>
      </c>
    </row>
    <row r="1064" spans="1:20" ht="22.2"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58">
        <f t="shared" si="201"/>
        <v>0</v>
      </c>
    </row>
    <row r="1065" spans="1:20" ht="22.2"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58">
        <f t="shared" si="201"/>
        <v>0</v>
      </c>
    </row>
    <row r="1066" spans="1:20" ht="22.2"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58">
        <f t="shared" si="201"/>
        <v>0</v>
      </c>
    </row>
    <row r="1067" spans="1:20" ht="22.2"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58">
        <f t="shared" si="201"/>
        <v>0</v>
      </c>
    </row>
    <row r="1068" spans="1:20" ht="22.2"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58">
        <f>IFERROR(HLOOKUP(B1068,pp1p!$1:$3,3,0),0)+IFERROR(HLOOKUP(B1068,pp3p1m!$1:$3,3,0),0)</f>
        <v>0</v>
      </c>
    </row>
    <row r="1069" spans="1:20" ht="22.2"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58">
        <f t="shared" si="201"/>
        <v>0</v>
      </c>
    </row>
    <row r="1070" spans="1:20" ht="22.2"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58">
        <f t="shared" si="201"/>
        <v>0</v>
      </c>
    </row>
    <row r="1071" spans="1:20" ht="22.2"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58">
        <f t="shared" si="201"/>
        <v>0</v>
      </c>
    </row>
    <row r="1072" spans="1:20" ht="22.2"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58">
        <f t="shared" si="201"/>
        <v>0</v>
      </c>
    </row>
    <row r="1073" spans="1:20" ht="22.2"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58">
        <f t="shared" si="201"/>
        <v>0</v>
      </c>
    </row>
    <row r="1074" spans="1:20" ht="22.2"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58">
        <f t="shared" si="201"/>
        <v>0</v>
      </c>
    </row>
    <row r="1075" spans="1:20" ht="22.2"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58">
        <f t="shared" si="201"/>
        <v>0</v>
      </c>
    </row>
    <row r="1076" spans="1:20" ht="22.2"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58">
        <f>IFERROR(HLOOKUP(B1076,pp1p!$1:$3,3,0),0)+IFERROR(HLOOKUP(B1076,pp3p1m!$1:$3,3,0),0)</f>
        <v>0</v>
      </c>
    </row>
    <row r="1077" spans="1:20" ht="22.2"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58">
        <f t="shared" si="201"/>
        <v>0</v>
      </c>
    </row>
    <row r="1078" spans="1:20" ht="22.2"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58">
        <f t="shared" si="201"/>
        <v>0</v>
      </c>
    </row>
    <row r="1079" spans="1:20" ht="22.2"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58">
        <f t="shared" si="201"/>
        <v>0</v>
      </c>
    </row>
    <row r="1080" spans="1:20" ht="22.2"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58">
        <f t="shared" si="201"/>
        <v>0</v>
      </c>
    </row>
    <row r="1081" spans="1:20" ht="22.2"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58">
        <f t="shared" si="201"/>
        <v>0</v>
      </c>
    </row>
    <row r="1082" spans="1:20" ht="22.2"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58">
        <f t="shared" si="201"/>
        <v>0</v>
      </c>
    </row>
    <row r="1083" spans="1:20" ht="22.2" hidden="1" customHeight="1">
      <c r="A1083" s="1582" t="s">
        <v>361</v>
      </c>
      <c r="B1083" s="1584" t="s">
        <v>4752</v>
      </c>
      <c r="C1083" s="1855" t="str">
        <f t="shared" si="199"/>
        <v xml:space="preserve"> </v>
      </c>
      <c r="D1083" s="1542"/>
      <c r="E1083" s="1048"/>
      <c r="F1083" s="1396" t="s">
        <v>4776</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58">
        <f>IFERROR(HLOOKUP(B1083,pp1p!$1:$3,3,0),0)+IFERROR(HLOOKUP(B1083,pp3p1m!$1:$3,3,0),0)</f>
        <v>0</v>
      </c>
    </row>
    <row r="1084" spans="1:20" ht="22.2" hidden="1" customHeight="1">
      <c r="B1084" s="1581" t="s">
        <v>4738</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58">
        <f t="shared" si="201"/>
        <v>0</v>
      </c>
    </row>
    <row r="1085" spans="1:20" ht="22.2"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58">
        <f t="shared" si="201"/>
        <v>0</v>
      </c>
    </row>
    <row r="1086" spans="1:20" ht="22.2" hidden="1" customHeight="1">
      <c r="B1086" s="1581" t="s">
        <v>4777</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58">
        <f t="shared" si="201"/>
        <v>0</v>
      </c>
    </row>
    <row r="1087" spans="1:20" ht="22.2"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58">
        <f t="shared" si="201"/>
        <v>0</v>
      </c>
    </row>
    <row r="1088" spans="1:20" ht="22.2"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58">
        <f t="shared" si="201"/>
        <v>0</v>
      </c>
    </row>
    <row r="1089" spans="1:20" ht="22.2"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58">
        <f t="shared" si="201"/>
        <v>0</v>
      </c>
    </row>
    <row r="1090" spans="1:20" ht="22.2"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58">
        <f>IFERROR(HLOOKUP(B1090,pp1p!$1:$3,3,0),0)+IFERROR(HLOOKUP(B1090,pp3p1m!$1:$3,3,0),0)</f>
        <v>0</v>
      </c>
    </row>
    <row r="1091" spans="1:20" ht="22.2" customHeight="1">
      <c r="B1091" s="1581" t="s">
        <v>4357</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58">
        <f t="shared" si="201"/>
        <v>0</v>
      </c>
    </row>
    <row r="1092" spans="1:20" ht="22.2"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58">
        <f t="shared" si="201"/>
        <v>0</v>
      </c>
    </row>
    <row r="1093" spans="1:20" ht="22.2"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58">
        <f t="shared" si="201"/>
        <v>0</v>
      </c>
    </row>
    <row r="1094" spans="1:20" ht="22.2"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58">
        <f t="shared" si="201"/>
        <v>0</v>
      </c>
    </row>
    <row r="1095" spans="1:20" ht="22.2"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58">
        <f t="shared" si="201"/>
        <v>0</v>
      </c>
    </row>
    <row r="1096" spans="1:20" ht="22.2"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58">
        <f t="shared" si="201"/>
        <v>0</v>
      </c>
    </row>
    <row r="1097" spans="1:20" ht="22.2"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58">
        <f>IFERROR(HLOOKUP(B1097,pp1p!$1:$3,3,0),0)+IFERROR(HLOOKUP(B1097,pp3p1m!$1:$3,3,0),0)</f>
        <v>0</v>
      </c>
    </row>
    <row r="1098" spans="1:20" ht="22.2"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58">
        <f t="shared" si="201"/>
        <v>0</v>
      </c>
    </row>
    <row r="1099" spans="1:20" ht="22.2"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58">
        <f t="shared" si="201"/>
        <v>0</v>
      </c>
    </row>
    <row r="1100" spans="1:20" ht="22.2"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58">
        <f t="shared" si="201"/>
        <v>0</v>
      </c>
    </row>
    <row r="1101" spans="1:20" ht="22.2"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58">
        <f t="shared" si="201"/>
        <v>0</v>
      </c>
    </row>
    <row r="1102" spans="1:20" ht="22.2"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58">
        <f t="shared" si="201"/>
        <v>0</v>
      </c>
    </row>
    <row r="1103" spans="1:20" ht="22.2"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58">
        <f t="shared" si="201"/>
        <v>0</v>
      </c>
    </row>
    <row r="1104" spans="1:20" ht="22.2"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58">
        <f t="shared" si="201"/>
        <v>0</v>
      </c>
    </row>
    <row r="1105" spans="1:20" ht="22.2"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58">
        <f t="shared" si="201"/>
        <v>0</v>
      </c>
    </row>
    <row r="1106" spans="1:20" ht="22.2"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58">
        <f>IFERROR(HLOOKUP(B1106,pp1p!$1:$3,3,0),0)+IFERROR(HLOOKUP(B1106,pp3p1m!$1:$3,3,0),0)</f>
        <v>0</v>
      </c>
    </row>
    <row r="1107" spans="1:20" ht="22.2"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58">
        <f t="shared" si="201"/>
        <v>0</v>
      </c>
    </row>
    <row r="1108" spans="1:20" ht="22.2"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58">
        <f t="shared" si="201"/>
        <v>0</v>
      </c>
    </row>
    <row r="1109" spans="1:20" ht="22.2"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58">
        <f t="shared" si="201"/>
        <v>0</v>
      </c>
    </row>
    <row r="1110" spans="1:20" ht="22.2"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58">
        <f>IFERROR(HLOOKUP(B1110,pp1p!$1:$3,3,0),0)+IFERROR(HLOOKUP(B1110,pp3p1m!$1:$3,3,0),0)</f>
        <v>0</v>
      </c>
    </row>
    <row r="1111" spans="1:20" ht="22.2"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58">
        <f t="shared" si="201"/>
        <v>0</v>
      </c>
    </row>
    <row r="1112" spans="1:20" ht="22.2"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58">
        <f t="shared" si="201"/>
        <v>0</v>
      </c>
    </row>
    <row r="1113" spans="1:20" ht="22.2"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58">
        <f t="shared" si="201"/>
        <v>0</v>
      </c>
    </row>
    <row r="1114" spans="1:20" ht="22.2"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58">
        <f t="shared" si="201"/>
        <v>0</v>
      </c>
    </row>
    <row r="1115" spans="1:20" ht="22.2"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58">
        <f t="shared" si="201"/>
        <v>0</v>
      </c>
    </row>
    <row r="1116" spans="1:20" ht="22.2"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58">
        <f t="shared" si="201"/>
        <v>0</v>
      </c>
    </row>
    <row r="1117" spans="1:20" ht="22.2"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58">
        <f t="shared" si="201"/>
        <v>0</v>
      </c>
    </row>
    <row r="1118" spans="1:20" ht="22.2"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58">
        <f t="shared" si="201"/>
        <v>0</v>
      </c>
    </row>
    <row r="1119" spans="1:20" ht="22.2"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58">
        <f t="shared" si="201"/>
        <v>0</v>
      </c>
    </row>
    <row r="1120" spans="1:20" ht="22.2"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58">
        <f t="shared" si="201"/>
        <v>0</v>
      </c>
    </row>
    <row r="1121" spans="1:20" ht="22.2"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58">
        <f>IFERROR(HLOOKUP(B1121,pp1p!$1:$3,3,0),0)+IFERROR(HLOOKUP(B1121,pp3p1m!$1:$3,3,0),0)</f>
        <v>0</v>
      </c>
    </row>
    <row r="1122" spans="1:20" ht="22.2"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58">
        <f t="shared" si="201"/>
        <v>0</v>
      </c>
    </row>
    <row r="1123" spans="1:20" ht="22.2"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58">
        <f t="shared" si="201"/>
        <v>0</v>
      </c>
    </row>
    <row r="1124" spans="1:20" ht="22.2"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58">
        <f t="shared" ref="T1124:T1187" si="215">IFERROR(HLOOKUP(B1124,BangKeTru,3,0),0)</f>
        <v>0</v>
      </c>
    </row>
    <row r="1125" spans="1:20" ht="22.2"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58">
        <f t="shared" si="215"/>
        <v>0</v>
      </c>
    </row>
    <row r="1126" spans="1:20" ht="22.2"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58">
        <f t="shared" si="215"/>
        <v>0</v>
      </c>
    </row>
    <row r="1127" spans="1:20" ht="22.2"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58">
        <f t="shared" si="215"/>
        <v>0</v>
      </c>
    </row>
    <row r="1128" spans="1:20" ht="22.2"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58">
        <f t="shared" si="215"/>
        <v>0</v>
      </c>
    </row>
    <row r="1129" spans="1:20" ht="22.2"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58">
        <f t="shared" si="215"/>
        <v>0</v>
      </c>
    </row>
    <row r="1130" spans="1:20" ht="22.2"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58">
        <f>IFERROR(HLOOKUP(B1130,pp1p!$1:$3,3,0),0)+IFERROR(HLOOKUP(B1130,pp3p1m!$1:$3,3,0),0)</f>
        <v>0</v>
      </c>
    </row>
    <row r="1131" spans="1:20" ht="22.2"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58">
        <f t="shared" si="215"/>
        <v>0</v>
      </c>
    </row>
    <row r="1132" spans="1:20" ht="22.2"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58">
        <f t="shared" si="215"/>
        <v>0</v>
      </c>
    </row>
    <row r="1133" spans="1:20" ht="22.2"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58">
        <f t="shared" si="215"/>
        <v>0</v>
      </c>
    </row>
    <row r="1134" spans="1:20" ht="22.2"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58">
        <f t="shared" si="215"/>
        <v>0</v>
      </c>
    </row>
    <row r="1135" spans="1:20" ht="22.2"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58">
        <f t="shared" si="215"/>
        <v>0</v>
      </c>
    </row>
    <row r="1136" spans="1:20" ht="22.2"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58">
        <f t="shared" si="215"/>
        <v>0</v>
      </c>
    </row>
    <row r="1137" spans="1:20" ht="22.2"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58">
        <f t="shared" si="215"/>
        <v>0</v>
      </c>
    </row>
    <row r="1138" spans="1:20" ht="22.2"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58">
        <f t="shared" si="215"/>
        <v>0</v>
      </c>
    </row>
    <row r="1139" spans="1:20" ht="22.2"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58">
        <f t="shared" si="215"/>
        <v>0</v>
      </c>
    </row>
    <row r="1140" spans="1:20" ht="22.2"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58">
        <f t="shared" si="215"/>
        <v>0</v>
      </c>
    </row>
    <row r="1141" spans="1:20" ht="22.2"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58">
        <f>IFERROR(HLOOKUP(B1141,pp1p!$1:$3,3,0),0)+IFERROR(HLOOKUP(B1141,pp3p1m!$1:$3,3,0),0)</f>
        <v>0</v>
      </c>
    </row>
    <row r="1142" spans="1:20" ht="22.2"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58">
        <f t="shared" si="215"/>
        <v>0</v>
      </c>
    </row>
    <row r="1143" spans="1:20" ht="22.2"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58">
        <f t="shared" si="215"/>
        <v>0</v>
      </c>
    </row>
    <row r="1144" spans="1:20" ht="22.2"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58">
        <f t="shared" si="215"/>
        <v>0</v>
      </c>
    </row>
    <row r="1145" spans="1:20" ht="22.2"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58">
        <f t="shared" si="215"/>
        <v>0</v>
      </c>
    </row>
    <row r="1146" spans="1:20" ht="22.2"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58">
        <f t="shared" si="215"/>
        <v>0</v>
      </c>
    </row>
    <row r="1147" spans="1:20" ht="22.2"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58">
        <f t="shared" si="215"/>
        <v>0</v>
      </c>
    </row>
    <row r="1148" spans="1:20" ht="22.2"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58">
        <f t="shared" si="215"/>
        <v>0</v>
      </c>
    </row>
    <row r="1149" spans="1:20" ht="22.2"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58">
        <f t="shared" si="215"/>
        <v>0</v>
      </c>
    </row>
    <row r="1150" spans="1:20" ht="22.2"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58">
        <f>IFERROR(HLOOKUP(B1150,pp1p!$1:$3,3,0),0)+IFERROR(HLOOKUP(B1150,pp3p1m!$1:$3,3,0),0)</f>
        <v>0</v>
      </c>
    </row>
    <row r="1151" spans="1:20" ht="22.2"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58">
        <f t="shared" si="215"/>
        <v>0</v>
      </c>
    </row>
    <row r="1152" spans="1:20" ht="22.2"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58">
        <f t="shared" si="215"/>
        <v>0</v>
      </c>
    </row>
    <row r="1153" spans="1:20" ht="22.2"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58">
        <f>IFERROR(HLOOKUP(B1153,pp1p!$1:$3,3,0),0)+IFERROR(HLOOKUP(B1153,pp3p1m!$1:$3,3,0),0)</f>
        <v>0</v>
      </c>
    </row>
    <row r="1154" spans="1:20" ht="22.2"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58">
        <f t="shared" si="215"/>
        <v>0</v>
      </c>
    </row>
    <row r="1155" spans="1:20" ht="22.2"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58">
        <f t="shared" si="215"/>
        <v>0</v>
      </c>
    </row>
    <row r="1156" spans="1:20" ht="22.2"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58">
        <f t="shared" si="215"/>
        <v>0</v>
      </c>
    </row>
    <row r="1157" spans="1:20" ht="22.2"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58">
        <f t="shared" si="215"/>
        <v>0</v>
      </c>
    </row>
    <row r="1158" spans="1:20" ht="22.2"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58">
        <f t="shared" si="215"/>
        <v>0</v>
      </c>
    </row>
    <row r="1159" spans="1:20" ht="22.2"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58">
        <f t="shared" si="215"/>
        <v>0</v>
      </c>
    </row>
    <row r="1160" spans="1:20" ht="22.2"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58">
        <f t="shared" si="215"/>
        <v>0</v>
      </c>
    </row>
    <row r="1161" spans="1:20" ht="22.2"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58">
        <f t="shared" si="215"/>
        <v>0</v>
      </c>
    </row>
    <row r="1162" spans="1:20" ht="22.2"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58">
        <f>IFERROR(HLOOKUP(B1162,pp1p!$1:$3,3,0),0)+IFERROR(HLOOKUP(B1162,pp3p1m!$1:$3,3,0),0)</f>
        <v>0</v>
      </c>
    </row>
    <row r="1163" spans="1:20" ht="22.2"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58">
        <f t="shared" si="215"/>
        <v>0</v>
      </c>
    </row>
    <row r="1164" spans="1:20" ht="22.2"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58">
        <f t="shared" si="215"/>
        <v>0</v>
      </c>
    </row>
    <row r="1165" spans="1:20" ht="22.2"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58">
        <f t="shared" si="215"/>
        <v>0</v>
      </c>
    </row>
    <row r="1166" spans="1:20" ht="22.2"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58">
        <f>IFERROR(HLOOKUP(B1166,pp1p!$1:$3,3,0),0)+IFERROR(HLOOKUP(B1166,pp3p1m!$1:$3,3,0),0)</f>
        <v>0</v>
      </c>
    </row>
    <row r="1167" spans="1:20" ht="22.2"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58">
        <f t="shared" si="215"/>
        <v>0</v>
      </c>
    </row>
    <row r="1168" spans="1:20" ht="22.2"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58">
        <f t="shared" si="215"/>
        <v>0</v>
      </c>
    </row>
    <row r="1169" spans="1:20" ht="22.2"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58">
        <f t="shared" si="215"/>
        <v>0</v>
      </c>
    </row>
    <row r="1170" spans="1:20" ht="22.2"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58">
        <f t="shared" si="215"/>
        <v>0</v>
      </c>
    </row>
    <row r="1171" spans="1:20" ht="22.2"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58">
        <f t="shared" si="215"/>
        <v>0</v>
      </c>
    </row>
    <row r="1172" spans="1:20" ht="22.2"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58">
        <f t="shared" si="215"/>
        <v>0</v>
      </c>
    </row>
    <row r="1173" spans="1:20" ht="22.2"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58">
        <f t="shared" si="215"/>
        <v>0</v>
      </c>
    </row>
    <row r="1174" spans="1:20" ht="22.2"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58">
        <f t="shared" si="215"/>
        <v>0</v>
      </c>
    </row>
    <row r="1175" spans="1:20" ht="22.2"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58">
        <f t="shared" si="215"/>
        <v>0</v>
      </c>
    </row>
    <row r="1176" spans="1:20" ht="22.2"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58">
        <f t="shared" si="215"/>
        <v>0</v>
      </c>
    </row>
    <row r="1177" spans="1:20" ht="22.2"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58">
        <f>IFERROR(HLOOKUP(B1177,pp1p!$1:$3,3,0),0)+IFERROR(HLOOKUP(B1177,pp3p1m!$1:$3,3,0),0)</f>
        <v>0</v>
      </c>
    </row>
    <row r="1178" spans="1:20" ht="22.2"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58">
        <f t="shared" si="215"/>
        <v>0</v>
      </c>
    </row>
    <row r="1179" spans="1:20" ht="22.2"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58">
        <f t="shared" si="215"/>
        <v>0</v>
      </c>
    </row>
    <row r="1180" spans="1:20" ht="22.2"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58">
        <f t="shared" si="215"/>
        <v>0</v>
      </c>
    </row>
    <row r="1181" spans="1:20" ht="22.2"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58">
        <f t="shared" si="215"/>
        <v>0</v>
      </c>
    </row>
    <row r="1182" spans="1:20" ht="22.2"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58">
        <f t="shared" si="215"/>
        <v>0</v>
      </c>
    </row>
    <row r="1183" spans="1:20" ht="22.2"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58">
        <f t="shared" si="215"/>
        <v>0</v>
      </c>
    </row>
    <row r="1184" spans="1:20" ht="22.2"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58">
        <f t="shared" si="215"/>
        <v>0</v>
      </c>
    </row>
    <row r="1185" spans="1:20" ht="22.2"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58">
        <f t="shared" si="215"/>
        <v>0</v>
      </c>
    </row>
    <row r="1186" spans="1:20" ht="22.2"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58">
        <f>IFERROR(HLOOKUP(B1186,pp1p!$1:$3,3,0),0)+IFERROR(HLOOKUP(B1186,pp3p1m!$1:$3,3,0),0)</f>
        <v>0</v>
      </c>
    </row>
    <row r="1187" spans="1:20" ht="22.2"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58">
        <f t="shared" si="215"/>
        <v>0</v>
      </c>
    </row>
    <row r="1188" spans="1:20" ht="22.2"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58">
        <f t="shared" ref="T1188:T1251" si="229">IFERROR(HLOOKUP(B1188,BangKeTru,3,0),0)</f>
        <v>0</v>
      </c>
    </row>
    <row r="1189" spans="1:20" ht="22.2"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58">
        <f t="shared" si="229"/>
        <v>0</v>
      </c>
    </row>
    <row r="1190" spans="1:20" ht="22.2"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58">
        <f t="shared" si="229"/>
        <v>0</v>
      </c>
    </row>
    <row r="1191" spans="1:20" ht="22.2"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58">
        <f t="shared" si="229"/>
        <v>0</v>
      </c>
    </row>
    <row r="1192" spans="1:20" ht="22.2"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58">
        <f t="shared" si="229"/>
        <v>0</v>
      </c>
    </row>
    <row r="1193" spans="1:20" ht="22.2"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58">
        <f t="shared" si="229"/>
        <v>0</v>
      </c>
    </row>
    <row r="1194" spans="1:20" ht="22.2"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58">
        <f t="shared" si="229"/>
        <v>0</v>
      </c>
    </row>
    <row r="1195" spans="1:20" ht="22.2"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58">
        <f>IFERROR(HLOOKUP(B1195,pp1p!$1:$3,3,0),0)+IFERROR(HLOOKUP(B1195,pp3p1m!$1:$3,3,0),0)</f>
        <v>0</v>
      </c>
    </row>
    <row r="1196" spans="1:20" ht="22.2"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58">
        <f t="shared" si="229"/>
        <v>0</v>
      </c>
    </row>
    <row r="1197" spans="1:20" ht="22.2"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58">
        <f t="shared" si="229"/>
        <v>0</v>
      </c>
    </row>
    <row r="1198" spans="1:20" ht="22.2"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58">
        <f t="shared" si="229"/>
        <v>0</v>
      </c>
    </row>
    <row r="1199" spans="1:20" ht="22.2"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58">
        <f t="shared" si="229"/>
        <v>0</v>
      </c>
    </row>
    <row r="1200" spans="1:20" ht="22.2"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58">
        <f t="shared" si="229"/>
        <v>0</v>
      </c>
    </row>
    <row r="1201" spans="1:20" ht="22.2"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58">
        <f t="shared" si="229"/>
        <v>0</v>
      </c>
    </row>
    <row r="1202" spans="1:20" ht="22.2"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58">
        <f t="shared" si="229"/>
        <v>0</v>
      </c>
    </row>
    <row r="1203" spans="1:20" ht="22.2"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58">
        <f t="shared" si="229"/>
        <v>0</v>
      </c>
    </row>
    <row r="1204" spans="1:20" ht="22.2"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58">
        <f t="shared" si="229"/>
        <v>0</v>
      </c>
    </row>
    <row r="1205" spans="1:20" ht="22.2"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58">
        <f t="shared" si="229"/>
        <v>0</v>
      </c>
    </row>
    <row r="1206" spans="1:20" ht="22.2"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58">
        <f>IFERROR(HLOOKUP(B1206,pp1p!$1:$3,3,0),0)+IFERROR(HLOOKUP(B1206,pp3p1m!$1:$3,3,0),0)</f>
        <v>0</v>
      </c>
    </row>
    <row r="1207" spans="1:20" ht="22.2"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58">
        <f t="shared" si="229"/>
        <v>0</v>
      </c>
    </row>
    <row r="1208" spans="1:20" ht="22.2"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58">
        <f t="shared" si="229"/>
        <v>0</v>
      </c>
    </row>
    <row r="1209" spans="1:20" ht="22.2"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58">
        <f t="shared" si="229"/>
        <v>0</v>
      </c>
    </row>
    <row r="1210" spans="1:20" ht="22.2"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58">
        <f t="shared" si="229"/>
        <v>0</v>
      </c>
    </row>
    <row r="1211" spans="1:20" ht="22.2"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58">
        <f t="shared" si="229"/>
        <v>0</v>
      </c>
    </row>
    <row r="1212" spans="1:20" ht="22.2"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58">
        <f t="shared" si="229"/>
        <v>0</v>
      </c>
    </row>
    <row r="1213" spans="1:20" ht="22.2"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58">
        <f t="shared" si="229"/>
        <v>0</v>
      </c>
    </row>
    <row r="1214" spans="1:20" ht="22.2"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58">
        <f t="shared" si="229"/>
        <v>0</v>
      </c>
    </row>
    <row r="1215" spans="1:20" ht="22.2"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58">
        <f>IFERROR(HLOOKUP(B1215,pp1p!$1:$3,3,0),0)+IFERROR(HLOOKUP(B1215,pp3p1m!$1:$3,3,0),0)</f>
        <v>0</v>
      </c>
    </row>
    <row r="1216" spans="1:20" ht="22.2"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58">
        <f t="shared" si="229"/>
        <v>0</v>
      </c>
    </row>
    <row r="1217" spans="1:20" ht="22.2"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58">
        <f t="shared" si="229"/>
        <v>0</v>
      </c>
    </row>
    <row r="1218" spans="1:20" ht="22.2"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58">
        <f t="shared" si="229"/>
        <v>0</v>
      </c>
    </row>
    <row r="1219" spans="1:20" ht="22.2"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58">
        <f t="shared" si="229"/>
        <v>0</v>
      </c>
    </row>
    <row r="1220" spans="1:20" ht="22.2"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58">
        <f t="shared" si="229"/>
        <v>0</v>
      </c>
    </row>
    <row r="1221" spans="1:20" ht="22.2"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58">
        <f t="shared" si="229"/>
        <v>0</v>
      </c>
    </row>
    <row r="1222" spans="1:20" ht="22.2"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58">
        <f t="shared" si="229"/>
        <v>0</v>
      </c>
    </row>
    <row r="1223" spans="1:20" ht="22.2"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58">
        <f>IFERROR(HLOOKUP(B1223,pp1p!$1:$3,3,0),0)+IFERROR(HLOOKUP(B1223,pp3p1m!$1:$3,3,0),0)</f>
        <v>0</v>
      </c>
    </row>
    <row r="1224" spans="1:20" ht="22.2"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58">
        <f t="shared" si="229"/>
        <v>0</v>
      </c>
    </row>
    <row r="1225" spans="1:20" ht="22.2"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58">
        <f t="shared" si="229"/>
        <v>0</v>
      </c>
    </row>
    <row r="1226" spans="1:20" ht="22.2"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58">
        <f t="shared" si="229"/>
        <v>0</v>
      </c>
    </row>
    <row r="1227" spans="1:20" ht="22.2"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58">
        <f t="shared" si="229"/>
        <v>0</v>
      </c>
    </row>
    <row r="1228" spans="1:20" ht="22.2"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58">
        <f t="shared" si="229"/>
        <v>0</v>
      </c>
    </row>
    <row r="1229" spans="1:20" ht="22.2"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58">
        <f t="shared" si="229"/>
        <v>0</v>
      </c>
    </row>
    <row r="1230" spans="1:20" ht="22.2"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58">
        <f t="shared" si="229"/>
        <v>0</v>
      </c>
    </row>
    <row r="1231" spans="1:20" ht="22.2"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58">
        <f>IFERROR(HLOOKUP(B1231,pp1p!$1:$3,3,0),0)+IFERROR(HLOOKUP(B1231,pp3p1m!$1:$3,3,0),0)</f>
        <v>0</v>
      </c>
    </row>
    <row r="1232" spans="1:20" ht="22.2"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58">
        <f t="shared" si="229"/>
        <v>0</v>
      </c>
    </row>
    <row r="1233" spans="1:20" ht="22.2"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58">
        <f t="shared" si="229"/>
        <v>0</v>
      </c>
    </row>
    <row r="1234" spans="1:20" ht="22.2"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58">
        <f t="shared" si="229"/>
        <v>0</v>
      </c>
    </row>
    <row r="1235" spans="1:20" ht="22.2"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58">
        <f t="shared" si="229"/>
        <v>0</v>
      </c>
    </row>
    <row r="1236" spans="1:20" ht="22.2"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58">
        <f t="shared" si="229"/>
        <v>0</v>
      </c>
    </row>
    <row r="1237" spans="1:20" ht="22.2"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58">
        <f t="shared" si="229"/>
        <v>0</v>
      </c>
    </row>
    <row r="1238" spans="1:20" ht="22.2"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58">
        <f t="shared" si="229"/>
        <v>0</v>
      </c>
    </row>
    <row r="1239" spans="1:20" ht="22.2"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58">
        <f t="shared" si="229"/>
        <v>0</v>
      </c>
    </row>
    <row r="1240" spans="1:20" ht="22.2"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58">
        <f t="shared" si="229"/>
        <v>0</v>
      </c>
    </row>
    <row r="1241" spans="1:20" ht="22.2"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58">
        <f t="shared" si="229"/>
        <v>0</v>
      </c>
    </row>
    <row r="1242" spans="1:20" ht="22.2"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58">
        <f t="shared" si="229"/>
        <v>0</v>
      </c>
    </row>
    <row r="1243" spans="1:20" ht="22.2"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58">
        <f t="shared" si="229"/>
        <v>0</v>
      </c>
    </row>
    <row r="1244" spans="1:20" ht="22.2"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58">
        <f>IFERROR(HLOOKUP(B1244,pp1p!$1:$3,3,0),0)+IFERROR(HLOOKUP(B1244,pp3p1m!$1:$3,3,0),0)</f>
        <v>0</v>
      </c>
    </row>
    <row r="1245" spans="1:20" ht="22.2"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58">
        <f t="shared" si="229"/>
        <v>0</v>
      </c>
    </row>
    <row r="1246" spans="1:20" ht="22.2"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58">
        <f t="shared" si="229"/>
        <v>0</v>
      </c>
    </row>
    <row r="1247" spans="1:20" ht="22.2"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58">
        <f t="shared" si="229"/>
        <v>0</v>
      </c>
    </row>
    <row r="1248" spans="1:20" ht="22.2"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58">
        <f t="shared" si="229"/>
        <v>0</v>
      </c>
    </row>
    <row r="1249" spans="1:20" ht="22.2"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58">
        <f t="shared" si="229"/>
        <v>0</v>
      </c>
    </row>
    <row r="1250" spans="1:20" ht="22.2"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58">
        <f t="shared" si="229"/>
        <v>0</v>
      </c>
    </row>
    <row r="1251" spans="1:20" ht="22.2"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58">
        <f t="shared" si="229"/>
        <v>0</v>
      </c>
    </row>
    <row r="1252" spans="1:20" ht="22.2"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58">
        <f t="shared" ref="T1252:T1314" si="237">IFERROR(HLOOKUP(B1252,BangKeTru,3,0),0)</f>
        <v>0</v>
      </c>
    </row>
    <row r="1253" spans="1:20" ht="22.2"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58">
        <f t="shared" si="237"/>
        <v>0</v>
      </c>
    </row>
    <row r="1254" spans="1:20" ht="22.2"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58">
        <f t="shared" si="237"/>
        <v>0</v>
      </c>
    </row>
    <row r="1255" spans="1:20" ht="22.2"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58">
        <f t="shared" si="237"/>
        <v>0</v>
      </c>
    </row>
    <row r="1256" spans="1:20" ht="22.2"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58">
        <f t="shared" si="237"/>
        <v>0</v>
      </c>
    </row>
    <row r="1257" spans="1:20" ht="22.2"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58">
        <f t="shared" si="237"/>
        <v>0</v>
      </c>
    </row>
    <row r="1258" spans="1:20" ht="22.2"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58">
        <f t="shared" si="237"/>
        <v>0</v>
      </c>
    </row>
    <row r="1259" spans="1:20" ht="22.2"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58">
        <f>IFERROR(HLOOKUP(B1259,pp1p!$1:$3,3,0),0)+IFERROR(HLOOKUP(B1259,pp3p1m!$1:$3,3,0),0)</f>
        <v>0</v>
      </c>
    </row>
    <row r="1260" spans="1:20" ht="22.2"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58">
        <f t="shared" si="237"/>
        <v>0</v>
      </c>
    </row>
    <row r="1261" spans="1:20" ht="22.2"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58">
        <f t="shared" si="237"/>
        <v>0</v>
      </c>
    </row>
    <row r="1262" spans="1:20" ht="22.2"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58">
        <f t="shared" si="237"/>
        <v>0</v>
      </c>
    </row>
    <row r="1263" spans="1:20" ht="22.2"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58">
        <f t="shared" si="237"/>
        <v>0</v>
      </c>
    </row>
    <row r="1264" spans="1:20" ht="22.2"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58">
        <f t="shared" si="237"/>
        <v>0</v>
      </c>
    </row>
    <row r="1265" spans="1:20" ht="22.2"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58">
        <f t="shared" si="237"/>
        <v>0</v>
      </c>
    </row>
    <row r="1266" spans="1:20" ht="22.2"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58">
        <f t="shared" si="237"/>
        <v>0</v>
      </c>
    </row>
    <row r="1267" spans="1:20" ht="22.2"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58">
        <f t="shared" si="237"/>
        <v>0</v>
      </c>
    </row>
    <row r="1268" spans="1:20" ht="22.2"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58">
        <f t="shared" si="237"/>
        <v>0</v>
      </c>
    </row>
    <row r="1269" spans="1:20" ht="22.2"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58">
        <f t="shared" si="237"/>
        <v>0</v>
      </c>
    </row>
    <row r="1270" spans="1:20" ht="22.2"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58">
        <f t="shared" si="237"/>
        <v>0</v>
      </c>
    </row>
    <row r="1271" spans="1:20" ht="22.2"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58">
        <f t="shared" si="237"/>
        <v>0</v>
      </c>
    </row>
    <row r="1272" spans="1:20" ht="22.2"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58">
        <f t="shared" si="237"/>
        <v>0</v>
      </c>
    </row>
    <row r="1273" spans="1:20" ht="22.2"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58">
        <f>IFERROR(HLOOKUP(B1273,pp1p!$1:$3,3,0),0)+IFERROR(HLOOKUP(B1273,pp3p1m!$1:$3,3,0),0)</f>
        <v>0</v>
      </c>
    </row>
    <row r="1274" spans="1:20" ht="22.2"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58">
        <f t="shared" si="237"/>
        <v>0</v>
      </c>
    </row>
    <row r="1275" spans="1:20" ht="22.2"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58">
        <f t="shared" si="237"/>
        <v>0</v>
      </c>
    </row>
    <row r="1276" spans="1:20" ht="22.2"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58">
        <f t="shared" si="237"/>
        <v>0</v>
      </c>
    </row>
    <row r="1277" spans="1:20" ht="22.2"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58">
        <f t="shared" si="237"/>
        <v>0</v>
      </c>
    </row>
    <row r="1278" spans="1:20" ht="22.2"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58">
        <f t="shared" si="237"/>
        <v>0</v>
      </c>
    </row>
    <row r="1279" spans="1:20" ht="22.2"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58">
        <f t="shared" si="237"/>
        <v>0</v>
      </c>
    </row>
    <row r="1280" spans="1:20" ht="22.2"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58">
        <f t="shared" si="237"/>
        <v>0</v>
      </c>
    </row>
    <row r="1281" spans="1:20" ht="22.2"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58">
        <f t="shared" si="237"/>
        <v>0</v>
      </c>
    </row>
    <row r="1282" spans="1:20" ht="22.2"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58">
        <f t="shared" si="237"/>
        <v>0</v>
      </c>
    </row>
    <row r="1283" spans="1:20" ht="22.2"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58">
        <f t="shared" si="237"/>
        <v>0</v>
      </c>
    </row>
    <row r="1284" spans="1:20" ht="22.2"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58">
        <f t="shared" si="237"/>
        <v>0</v>
      </c>
    </row>
    <row r="1285" spans="1:20" ht="22.2"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58">
        <f t="shared" si="237"/>
        <v>0</v>
      </c>
    </row>
    <row r="1286" spans="1:20" ht="22.2"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58">
        <f>IFERROR(HLOOKUP(B1286,pp1p!$1:$3,3,0),0)+IFERROR(HLOOKUP(B1286,pp3p1m!$1:$3,3,0),0)</f>
        <v>0</v>
      </c>
    </row>
    <row r="1287" spans="1:20" ht="22.2"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58">
        <f t="shared" si="237"/>
        <v>0</v>
      </c>
    </row>
    <row r="1288" spans="1:20" ht="22.2"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58">
        <f t="shared" si="237"/>
        <v>0</v>
      </c>
    </row>
    <row r="1289" spans="1:20" ht="22.2"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58">
        <f t="shared" si="237"/>
        <v>0</v>
      </c>
    </row>
    <row r="1290" spans="1:20" ht="22.2"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58">
        <f t="shared" si="237"/>
        <v>0</v>
      </c>
    </row>
    <row r="1291" spans="1:20" ht="22.2"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58">
        <f t="shared" si="237"/>
        <v>0</v>
      </c>
    </row>
    <row r="1292" spans="1:20" ht="22.2"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58">
        <f t="shared" si="237"/>
        <v>0</v>
      </c>
    </row>
    <row r="1293" spans="1:20" ht="22.2"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58">
        <f t="shared" si="237"/>
        <v>0</v>
      </c>
    </row>
    <row r="1294" spans="1:20" ht="22.2"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58">
        <f t="shared" si="237"/>
        <v>0</v>
      </c>
    </row>
    <row r="1295" spans="1:20" ht="22.2"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58">
        <f t="shared" si="237"/>
        <v>0</v>
      </c>
    </row>
    <row r="1296" spans="1:20" ht="22.2"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58">
        <f t="shared" si="237"/>
        <v>0</v>
      </c>
    </row>
    <row r="1297" spans="1:20" ht="22.2"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58">
        <f t="shared" si="237"/>
        <v>0</v>
      </c>
    </row>
    <row r="1298" spans="1:20" ht="22.2"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58">
        <f t="shared" si="237"/>
        <v>0</v>
      </c>
    </row>
    <row r="1299" spans="1:20" ht="22.2"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58">
        <f t="shared" si="237"/>
        <v>0</v>
      </c>
    </row>
    <row r="1300" spans="1:20" ht="22.2"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58">
        <f t="shared" si="237"/>
        <v>0</v>
      </c>
    </row>
    <row r="1301" spans="1:20" ht="22.2"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58">
        <f>IFERROR(HLOOKUP(B1301,pp1p!$1:$3,3,0),0)+IFERROR(HLOOKUP(B1301,pp3p1m!$1:$3,3,0),0)</f>
        <v>0</v>
      </c>
    </row>
    <row r="1302" spans="1:20" ht="22.2"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58">
        <f t="shared" si="237"/>
        <v>0</v>
      </c>
    </row>
    <row r="1303" spans="1:20" ht="22.2"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58">
        <f t="shared" si="237"/>
        <v>0</v>
      </c>
    </row>
    <row r="1304" spans="1:20" ht="22.2"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58">
        <f t="shared" si="237"/>
        <v>0</v>
      </c>
    </row>
    <row r="1305" spans="1:20" ht="22.2"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58">
        <f t="shared" si="237"/>
        <v>0</v>
      </c>
    </row>
    <row r="1306" spans="1:20" ht="22.2"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58">
        <f t="shared" si="237"/>
        <v>0</v>
      </c>
    </row>
    <row r="1307" spans="1:20" ht="22.2"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58">
        <f t="shared" si="237"/>
        <v>0</v>
      </c>
    </row>
    <row r="1308" spans="1:20" ht="22.2"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58">
        <f t="shared" si="237"/>
        <v>0</v>
      </c>
    </row>
    <row r="1309" spans="1:20" ht="22.2"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58">
        <f t="shared" si="237"/>
        <v>0</v>
      </c>
    </row>
    <row r="1310" spans="1:20" ht="22.2"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58">
        <f t="shared" si="237"/>
        <v>0</v>
      </c>
    </row>
    <row r="1311" spans="1:20" ht="22.2"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58">
        <f t="shared" si="237"/>
        <v>0</v>
      </c>
    </row>
    <row r="1312" spans="1:20" ht="22.2"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58">
        <f t="shared" si="237"/>
        <v>0</v>
      </c>
    </row>
    <row r="1313" spans="1:20" ht="22.2"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58">
        <f t="shared" si="237"/>
        <v>0</v>
      </c>
    </row>
    <row r="1314" spans="1:20" ht="22.2"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58">
        <f t="shared" si="237"/>
        <v>0</v>
      </c>
    </row>
    <row r="1315" spans="1:20" ht="22.2"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58">
        <f>IFERROR(HLOOKUP(B1315,pp1p!$1:$3,3,0),0)+IFERROR(HLOOKUP(B1315,pp3p1m!$1:$3,3,0),0)</f>
        <v>0</v>
      </c>
    </row>
    <row r="1316" spans="1:20" ht="22.2"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58">
        <f t="shared" ref="T1316:T1379" si="248">IFERROR(HLOOKUP(B1316,BangKeTru,3,0),0)</f>
        <v>0</v>
      </c>
    </row>
    <row r="1317" spans="1:20" ht="22.2"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58">
        <f t="shared" si="248"/>
        <v>0</v>
      </c>
    </row>
    <row r="1318" spans="1:20" ht="22.2"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58">
        <f t="shared" si="248"/>
        <v>0</v>
      </c>
    </row>
    <row r="1319" spans="1:20" ht="22.2"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58">
        <f t="shared" si="248"/>
        <v>0</v>
      </c>
    </row>
    <row r="1320" spans="1:20" ht="22.2"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58">
        <f t="shared" si="248"/>
        <v>0</v>
      </c>
    </row>
    <row r="1321" spans="1:20" ht="22.2"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58">
        <f t="shared" si="248"/>
        <v>0</v>
      </c>
    </row>
    <row r="1322" spans="1:20" ht="22.2"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58">
        <f t="shared" si="248"/>
        <v>0</v>
      </c>
    </row>
    <row r="1323" spans="1:20" ht="22.2"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58">
        <f t="shared" si="248"/>
        <v>0</v>
      </c>
    </row>
    <row r="1324" spans="1:20" ht="22.2"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58">
        <f t="shared" si="248"/>
        <v>0</v>
      </c>
    </row>
    <row r="1325" spans="1:20" ht="22.2"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58">
        <f t="shared" si="248"/>
        <v>0</v>
      </c>
    </row>
    <row r="1326" spans="1:20" ht="22.2"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58">
        <f t="shared" si="248"/>
        <v>0</v>
      </c>
    </row>
    <row r="1327" spans="1:20" ht="22.2"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58">
        <f t="shared" si="248"/>
        <v>0</v>
      </c>
    </row>
    <row r="1328" spans="1:20" ht="22.2"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58">
        <f>IFERROR(HLOOKUP(B1328,pp1p!$1:$3,3,0),0)+IFERROR(HLOOKUP(B1328,pp3p1m!$1:$3,3,0),0)</f>
        <v>0</v>
      </c>
    </row>
    <row r="1329" spans="1:20" ht="22.2"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58">
        <f t="shared" si="248"/>
        <v>0</v>
      </c>
    </row>
    <row r="1330" spans="1:20" ht="22.2"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58">
        <f t="shared" si="248"/>
        <v>0</v>
      </c>
    </row>
    <row r="1331" spans="1:20" ht="22.2"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58">
        <f t="shared" si="248"/>
        <v>0</v>
      </c>
    </row>
    <row r="1332" spans="1:20" ht="22.2"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58">
        <f t="shared" si="248"/>
        <v>0</v>
      </c>
    </row>
    <row r="1333" spans="1:20" ht="22.2"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58">
        <f t="shared" si="248"/>
        <v>0</v>
      </c>
    </row>
    <row r="1334" spans="1:20" ht="22.2"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58">
        <f t="shared" si="248"/>
        <v>0</v>
      </c>
    </row>
    <row r="1335" spans="1:20" ht="22.2"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58">
        <f t="shared" si="248"/>
        <v>0</v>
      </c>
    </row>
    <row r="1336" spans="1:20" ht="22.2"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58">
        <f t="shared" si="248"/>
        <v>0</v>
      </c>
    </row>
    <row r="1337" spans="1:20" ht="22.2"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58">
        <f t="shared" si="248"/>
        <v>0</v>
      </c>
    </row>
    <row r="1338" spans="1:20" ht="22.2"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58">
        <f t="shared" si="248"/>
        <v>0</v>
      </c>
    </row>
    <row r="1339" spans="1:20" ht="22.2"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58">
        <f t="shared" si="248"/>
        <v>0</v>
      </c>
    </row>
    <row r="1340" spans="1:20" ht="22.2"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58">
        <f t="shared" si="248"/>
        <v>0</v>
      </c>
    </row>
    <row r="1341" spans="1:20" ht="22.2"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58">
        <f t="shared" si="248"/>
        <v>0</v>
      </c>
    </row>
    <row r="1342" spans="1:20" ht="22.2"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58">
        <f t="shared" si="248"/>
        <v>0</v>
      </c>
    </row>
    <row r="1343" spans="1:20" ht="22.2"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58">
        <f t="shared" si="248"/>
        <v>0</v>
      </c>
    </row>
    <row r="1344" spans="1:20" ht="22.2"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58">
        <f>IFERROR(HLOOKUP(B1344,pp1p!$1:$3,3,0),0)+IFERROR(HLOOKUP(B1344,pp3p1m!$1:$3,3,0),0)</f>
        <v>0</v>
      </c>
    </row>
    <row r="1345" spans="1:20" ht="22.2"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58">
        <f t="shared" si="248"/>
        <v>0</v>
      </c>
    </row>
    <row r="1346" spans="1:20" ht="22.2"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58">
        <f t="shared" si="248"/>
        <v>0</v>
      </c>
    </row>
    <row r="1347" spans="1:20" ht="22.2"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58">
        <f t="shared" si="248"/>
        <v>0</v>
      </c>
    </row>
    <row r="1348" spans="1:20" ht="22.2"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58">
        <f t="shared" si="248"/>
        <v>0</v>
      </c>
    </row>
    <row r="1349" spans="1:20" ht="22.2"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58">
        <f t="shared" si="248"/>
        <v>0</v>
      </c>
    </row>
    <row r="1350" spans="1:20" ht="22.2"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58">
        <f t="shared" si="248"/>
        <v>0</v>
      </c>
    </row>
    <row r="1351" spans="1:20" ht="22.2"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58">
        <f t="shared" si="248"/>
        <v>0</v>
      </c>
    </row>
    <row r="1352" spans="1:20" ht="22.2"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58">
        <f t="shared" si="248"/>
        <v>0</v>
      </c>
    </row>
    <row r="1353" spans="1:20" ht="22.2"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58">
        <f t="shared" si="248"/>
        <v>0</v>
      </c>
    </row>
    <row r="1354" spans="1:20" ht="22.2"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58">
        <f t="shared" si="248"/>
        <v>0</v>
      </c>
    </row>
    <row r="1355" spans="1:20" ht="22.2"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58">
        <f t="shared" si="248"/>
        <v>0</v>
      </c>
    </row>
    <row r="1356" spans="1:20" ht="22.2"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58">
        <f t="shared" si="248"/>
        <v>0</v>
      </c>
    </row>
    <row r="1357" spans="1:20" ht="22.2"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58">
        <f t="shared" si="248"/>
        <v>0</v>
      </c>
    </row>
    <row r="1358" spans="1:20" ht="22.2"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58">
        <f>IFERROR(HLOOKUP(B1358,pp1p!$1:$3,3,0),0)+IFERROR(HLOOKUP(B1358,pp3p1m!$1:$3,3,0),0)</f>
        <v>0</v>
      </c>
    </row>
    <row r="1359" spans="1:20" ht="22.2"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58">
        <f t="shared" si="248"/>
        <v>0</v>
      </c>
    </row>
    <row r="1360" spans="1:20" ht="22.2"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58">
        <f t="shared" si="248"/>
        <v>0</v>
      </c>
    </row>
    <row r="1361" spans="1:20" ht="22.2"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58">
        <f t="shared" si="248"/>
        <v>0</v>
      </c>
    </row>
    <row r="1362" spans="1:20" ht="22.2"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58">
        <f t="shared" si="248"/>
        <v>0</v>
      </c>
    </row>
    <row r="1363" spans="1:20" ht="22.2"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58">
        <f t="shared" si="248"/>
        <v>0</v>
      </c>
    </row>
    <row r="1364" spans="1:20" ht="22.2"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58">
        <f t="shared" si="248"/>
        <v>0</v>
      </c>
    </row>
    <row r="1365" spans="1:20" ht="22.2"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58">
        <f t="shared" si="248"/>
        <v>0</v>
      </c>
    </row>
    <row r="1366" spans="1:20" ht="22.2"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58">
        <f t="shared" si="248"/>
        <v>0</v>
      </c>
    </row>
    <row r="1367" spans="1:20" ht="22.2"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58">
        <f t="shared" si="248"/>
        <v>0</v>
      </c>
    </row>
    <row r="1368" spans="1:20" ht="22.2"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58">
        <f t="shared" si="248"/>
        <v>0</v>
      </c>
    </row>
    <row r="1369" spans="1:20" ht="22.2"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58">
        <f t="shared" si="248"/>
        <v>0</v>
      </c>
    </row>
    <row r="1370" spans="1:20" ht="22.2"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58">
        <f t="shared" si="248"/>
        <v>0</v>
      </c>
    </row>
    <row r="1371" spans="1:20" ht="22.2"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58">
        <f>IFERROR(HLOOKUP(B1371,pp1p!$1:$3,3,0),0)+IFERROR(HLOOKUP(B1371,pp3p1m!$1:$3,3,0),0)</f>
        <v>0</v>
      </c>
    </row>
    <row r="1372" spans="1:20" ht="22.2"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58">
        <f t="shared" si="248"/>
        <v>0</v>
      </c>
    </row>
    <row r="1373" spans="1:20" ht="22.2"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58">
        <f t="shared" si="248"/>
        <v>0</v>
      </c>
    </row>
    <row r="1374" spans="1:20" ht="22.2"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58">
        <f t="shared" si="248"/>
        <v>0</v>
      </c>
    </row>
    <row r="1375" spans="1:20" ht="22.2"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58">
        <f t="shared" si="248"/>
        <v>0</v>
      </c>
    </row>
    <row r="1376" spans="1:20" ht="22.2"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58">
        <f t="shared" si="248"/>
        <v>0</v>
      </c>
    </row>
    <row r="1377" spans="1:20" ht="22.2"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58">
        <f t="shared" si="248"/>
        <v>0</v>
      </c>
    </row>
    <row r="1378" spans="1:20" ht="22.2"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58">
        <f t="shared" si="248"/>
        <v>0</v>
      </c>
    </row>
    <row r="1379" spans="1:20" ht="22.2"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58">
        <f t="shared" si="248"/>
        <v>0</v>
      </c>
    </row>
    <row r="1380" spans="1:20" ht="22.2"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58">
        <f t="shared" ref="T1380:T1443" si="254">IFERROR(HLOOKUP(B1380,BangKeTru,3,0),0)</f>
        <v>0</v>
      </c>
    </row>
    <row r="1381" spans="1:20" ht="22.2"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58">
        <f t="shared" si="254"/>
        <v>0</v>
      </c>
    </row>
    <row r="1382" spans="1:20" ht="22.2"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58">
        <f t="shared" si="254"/>
        <v>0</v>
      </c>
    </row>
    <row r="1383" spans="1:20" ht="22.2"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58">
        <f>IFERROR(HLOOKUP(B1383,pp1p!$1:$3,3,0),0)+IFERROR(HLOOKUP(B1383,pp3p1m!$1:$3,3,0),0)</f>
        <v>0</v>
      </c>
    </row>
    <row r="1384" spans="1:20" ht="22.2"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58">
        <f t="shared" si="254"/>
        <v>0</v>
      </c>
    </row>
    <row r="1385" spans="1:20" ht="22.2"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58">
        <f t="shared" si="254"/>
        <v>0</v>
      </c>
    </row>
    <row r="1386" spans="1:20" ht="22.2"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58">
        <f t="shared" si="254"/>
        <v>0</v>
      </c>
    </row>
    <row r="1387" spans="1:20" ht="22.2"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58">
        <f t="shared" si="254"/>
        <v>0</v>
      </c>
    </row>
    <row r="1388" spans="1:20" ht="22.2"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58">
        <f t="shared" si="254"/>
        <v>0</v>
      </c>
    </row>
    <row r="1389" spans="1:20" ht="22.2"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58">
        <f t="shared" si="254"/>
        <v>0</v>
      </c>
    </row>
    <row r="1390" spans="1:20" ht="22.2"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58">
        <f t="shared" si="254"/>
        <v>0</v>
      </c>
    </row>
    <row r="1391" spans="1:20" ht="22.2"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58">
        <f t="shared" si="254"/>
        <v>0</v>
      </c>
    </row>
    <row r="1392" spans="1:20" ht="22.2"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58">
        <f t="shared" si="254"/>
        <v>0</v>
      </c>
    </row>
    <row r="1393" spans="1:20" ht="22.2"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58">
        <f t="shared" si="254"/>
        <v>0</v>
      </c>
    </row>
    <row r="1394" spans="1:20" ht="22.2"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58">
        <f t="shared" si="254"/>
        <v>0</v>
      </c>
    </row>
    <row r="1395" spans="1:20" ht="22.2"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58">
        <f>IFERROR(HLOOKUP(B1395,pp1p!$1:$3,3,0),0)+IFERROR(HLOOKUP(B1395,pp3p1m!$1:$3,3,0),0)</f>
        <v>0</v>
      </c>
    </row>
    <row r="1396" spans="1:20" ht="22.2"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58">
        <f t="shared" si="254"/>
        <v>0</v>
      </c>
    </row>
    <row r="1397" spans="1:20" ht="22.2"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58">
        <f t="shared" si="254"/>
        <v>0</v>
      </c>
    </row>
    <row r="1398" spans="1:20" ht="22.2"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58">
        <f t="shared" si="254"/>
        <v>0</v>
      </c>
    </row>
    <row r="1399" spans="1:20" ht="22.2"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58">
        <f t="shared" si="254"/>
        <v>0</v>
      </c>
    </row>
    <row r="1400" spans="1:20" ht="22.2"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58">
        <f t="shared" si="254"/>
        <v>0</v>
      </c>
    </row>
    <row r="1401" spans="1:20" ht="22.2"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58">
        <f t="shared" si="254"/>
        <v>0</v>
      </c>
    </row>
    <row r="1402" spans="1:20" ht="22.2"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58">
        <f t="shared" si="254"/>
        <v>0</v>
      </c>
    </row>
    <row r="1403" spans="1:20" ht="22.2"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58">
        <f>IFERROR(HLOOKUP(B1403,pp1p!$1:$3,3,0),0)+IFERROR(HLOOKUP(B1403,pp3p1m!$1:$3,3,0),0)</f>
        <v>0</v>
      </c>
    </row>
    <row r="1404" spans="1:20" ht="22.2"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58">
        <f t="shared" si="254"/>
        <v>0</v>
      </c>
    </row>
    <row r="1405" spans="1:20" ht="22.2"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58">
        <f t="shared" si="254"/>
        <v>0</v>
      </c>
    </row>
    <row r="1406" spans="1:20" ht="22.2"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58">
        <f t="shared" si="254"/>
        <v>0</v>
      </c>
    </row>
    <row r="1407" spans="1:20" ht="22.2"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58">
        <f t="shared" si="254"/>
        <v>0</v>
      </c>
    </row>
    <row r="1408" spans="1:20" ht="22.2"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58">
        <f t="shared" si="254"/>
        <v>0</v>
      </c>
    </row>
    <row r="1409" spans="1:20" ht="22.2"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58">
        <f t="shared" si="254"/>
        <v>0</v>
      </c>
    </row>
    <row r="1410" spans="1:20" ht="22.2"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58">
        <f t="shared" si="254"/>
        <v>0</v>
      </c>
    </row>
    <row r="1411" spans="1:20" ht="22.2"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58">
        <f>IFERROR(HLOOKUP(B1411,pp1p!$1:$3,3,0),0)+IFERROR(HLOOKUP(B1411,pp3p1m!$1:$3,3,0),0)</f>
        <v>0</v>
      </c>
    </row>
    <row r="1412" spans="1:20" ht="22.2"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58">
        <f t="shared" si="254"/>
        <v>0</v>
      </c>
    </row>
    <row r="1413" spans="1:20" ht="22.2"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58">
        <f t="shared" si="254"/>
        <v>0</v>
      </c>
    </row>
    <row r="1414" spans="1:20" ht="22.2"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58">
        <f t="shared" si="254"/>
        <v>0</v>
      </c>
    </row>
    <row r="1415" spans="1:20" ht="22.2"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58">
        <f t="shared" si="254"/>
        <v>0</v>
      </c>
    </row>
    <row r="1416" spans="1:20" ht="22.2"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58">
        <f t="shared" si="254"/>
        <v>0</v>
      </c>
    </row>
    <row r="1417" spans="1:20" ht="22.2"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58">
        <f t="shared" si="254"/>
        <v>0</v>
      </c>
    </row>
    <row r="1418" spans="1:20" ht="22.2"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58">
        <f t="shared" si="254"/>
        <v>0</v>
      </c>
    </row>
    <row r="1419" spans="1:20" ht="22.2"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58">
        <f t="shared" si="254"/>
        <v>0</v>
      </c>
    </row>
    <row r="1420" spans="1:20" ht="22.2"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58">
        <f>IFERROR(HLOOKUP(B1420,pp1p!$1:$3,3,0),0)+IFERROR(HLOOKUP(B1420,pp3p1m!$1:$3,3,0),0)</f>
        <v>0</v>
      </c>
    </row>
    <row r="1421" spans="1:20" ht="22.2"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58">
        <f t="shared" si="254"/>
        <v>0</v>
      </c>
    </row>
    <row r="1422" spans="1:20" ht="22.2"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58">
        <f t="shared" si="254"/>
        <v>0</v>
      </c>
    </row>
    <row r="1423" spans="1:20" ht="22.2"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58">
        <f t="shared" si="254"/>
        <v>0</v>
      </c>
    </row>
    <row r="1424" spans="1:20" ht="22.2"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58">
        <f t="shared" si="254"/>
        <v>0</v>
      </c>
    </row>
    <row r="1425" spans="1:20" ht="22.2"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58">
        <f t="shared" si="254"/>
        <v>0</v>
      </c>
    </row>
    <row r="1426" spans="1:20" ht="22.2"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58">
        <f t="shared" si="254"/>
        <v>0</v>
      </c>
    </row>
    <row r="1427" spans="1:20" ht="22.2"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58">
        <f t="shared" si="254"/>
        <v>0</v>
      </c>
    </row>
    <row r="1428" spans="1:20" ht="22.2"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58">
        <f t="shared" si="254"/>
        <v>0</v>
      </c>
    </row>
    <row r="1429" spans="1:20" ht="22.2"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58">
        <f>IFERROR(HLOOKUP(B1429,pp1p!$1:$3,3,0),0)+IFERROR(HLOOKUP(B1429,pp3p1m!$1:$3,3,0),0)</f>
        <v>0</v>
      </c>
    </row>
    <row r="1430" spans="1:20" ht="22.2"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58">
        <f t="shared" si="254"/>
        <v>0</v>
      </c>
    </row>
    <row r="1431" spans="1:20" ht="22.2"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58">
        <f t="shared" si="254"/>
        <v>0</v>
      </c>
    </row>
    <row r="1432" spans="1:20" ht="22.2"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58">
        <f t="shared" si="254"/>
        <v>0</v>
      </c>
    </row>
    <row r="1433" spans="1:20" ht="22.2"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58">
        <f t="shared" si="254"/>
        <v>0</v>
      </c>
    </row>
    <row r="1434" spans="1:20" ht="22.2"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58">
        <f t="shared" si="254"/>
        <v>0</v>
      </c>
    </row>
    <row r="1435" spans="1:20" ht="22.2"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58">
        <f t="shared" si="254"/>
        <v>0</v>
      </c>
    </row>
    <row r="1436" spans="1:20" ht="22.2"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58">
        <f t="shared" si="254"/>
        <v>0</v>
      </c>
    </row>
    <row r="1437" spans="1:20" ht="22.2"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58">
        <f t="shared" si="254"/>
        <v>0</v>
      </c>
    </row>
    <row r="1438" spans="1:20" ht="22.2"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58">
        <f>IFERROR(HLOOKUP(B1438,pp1p!$1:$3,3,0),0)+IFERROR(HLOOKUP(B1438,pp3p1m!$1:$3,3,0),0)</f>
        <v>0</v>
      </c>
    </row>
    <row r="1439" spans="1:20" ht="22.2"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58">
        <f t="shared" si="254"/>
        <v>0</v>
      </c>
    </row>
    <row r="1440" spans="1:20" ht="22.2"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58">
        <f t="shared" si="254"/>
        <v>0</v>
      </c>
    </row>
    <row r="1441" spans="1:20" ht="22.2"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58">
        <f t="shared" si="254"/>
        <v>0</v>
      </c>
    </row>
    <row r="1442" spans="1:20" ht="22.2"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58">
        <f t="shared" si="254"/>
        <v>0</v>
      </c>
    </row>
    <row r="1443" spans="1:20" ht="22.2"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58">
        <f t="shared" si="254"/>
        <v>0</v>
      </c>
    </row>
    <row r="1444" spans="1:20" ht="22.2"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58">
        <f t="shared" ref="T1444:T1507" si="263">IFERROR(HLOOKUP(B1444,BangKeTru,3,0),0)</f>
        <v>0</v>
      </c>
    </row>
    <row r="1445" spans="1:20" ht="22.2"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58">
        <f t="shared" si="263"/>
        <v>0</v>
      </c>
    </row>
    <row r="1446" spans="1:20" ht="22.2"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58">
        <f t="shared" si="263"/>
        <v>0</v>
      </c>
    </row>
    <row r="1447" spans="1:20" ht="22.2"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58">
        <f>IFERROR(HLOOKUP(B1447,pp1p!$1:$3,3,0),0)+IFERROR(HLOOKUP(B1447,pp3p1m!$1:$3,3,0),0)</f>
        <v>0</v>
      </c>
    </row>
    <row r="1448" spans="1:20" ht="22.2"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58">
        <f t="shared" si="263"/>
        <v>0</v>
      </c>
    </row>
    <row r="1449" spans="1:20" ht="22.2"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58">
        <f t="shared" si="263"/>
        <v>0</v>
      </c>
    </row>
    <row r="1450" spans="1:20" ht="22.2"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58">
        <f t="shared" si="263"/>
        <v>0</v>
      </c>
    </row>
    <row r="1451" spans="1:20" ht="22.2"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58">
        <f t="shared" si="263"/>
        <v>0</v>
      </c>
    </row>
    <row r="1452" spans="1:20" ht="22.2"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58">
        <f t="shared" si="263"/>
        <v>0</v>
      </c>
    </row>
    <row r="1453" spans="1:20" ht="22.2"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58">
        <f t="shared" si="263"/>
        <v>0</v>
      </c>
    </row>
    <row r="1454" spans="1:20" ht="22.2"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58">
        <f t="shared" si="263"/>
        <v>0</v>
      </c>
    </row>
    <row r="1455" spans="1:20" ht="22.2"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58">
        <f t="shared" si="263"/>
        <v>0</v>
      </c>
    </row>
    <row r="1456" spans="1:20" ht="22.2"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58">
        <f>IFERROR(HLOOKUP(B1456,pp1p!$1:$3,3,0),0)+IFERROR(HLOOKUP(B1456,pp3p1m!$1:$3,3,0),0)</f>
        <v>0</v>
      </c>
    </row>
    <row r="1457" spans="1:20" ht="22.2"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58">
        <f t="shared" si="263"/>
        <v>0</v>
      </c>
    </row>
    <row r="1458" spans="1:20" ht="22.2"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58">
        <f t="shared" si="263"/>
        <v>0</v>
      </c>
    </row>
    <row r="1459" spans="1:20" ht="22.2"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58">
        <f t="shared" si="263"/>
        <v>0</v>
      </c>
    </row>
    <row r="1460" spans="1:20" ht="22.2"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58">
        <f t="shared" si="263"/>
        <v>0</v>
      </c>
    </row>
    <row r="1461" spans="1:20" ht="22.2"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58">
        <f t="shared" si="263"/>
        <v>0</v>
      </c>
    </row>
    <row r="1462" spans="1:20" ht="22.2"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58">
        <f t="shared" si="263"/>
        <v>0</v>
      </c>
    </row>
    <row r="1463" spans="1:20" ht="22.2"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58">
        <f t="shared" si="263"/>
        <v>0</v>
      </c>
    </row>
    <row r="1464" spans="1:20" ht="22.2"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58">
        <f t="shared" si="263"/>
        <v>0</v>
      </c>
    </row>
    <row r="1465" spans="1:20" ht="22.2"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58">
        <f>IFERROR(HLOOKUP(B1465,pp1p!$1:$3,3,0),0)+IFERROR(HLOOKUP(B1465,pp3p1m!$1:$3,3,0),0)</f>
        <v>0</v>
      </c>
    </row>
    <row r="1466" spans="1:20" ht="22.2"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58">
        <f t="shared" si="263"/>
        <v>0</v>
      </c>
    </row>
    <row r="1467" spans="1:20" ht="22.2"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58">
        <f t="shared" si="263"/>
        <v>0</v>
      </c>
    </row>
    <row r="1468" spans="1:20" ht="22.2"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58">
        <f t="shared" si="263"/>
        <v>0</v>
      </c>
    </row>
    <row r="1469" spans="1:20" ht="22.2"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58">
        <f t="shared" si="263"/>
        <v>0</v>
      </c>
    </row>
    <row r="1470" spans="1:20" ht="22.2"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58">
        <f t="shared" si="263"/>
        <v>0</v>
      </c>
    </row>
    <row r="1471" spans="1:20" ht="22.2"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58">
        <f t="shared" si="263"/>
        <v>0</v>
      </c>
    </row>
    <row r="1472" spans="1:20" ht="22.2"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58">
        <f t="shared" si="263"/>
        <v>0</v>
      </c>
    </row>
    <row r="1473" spans="1:20" ht="22.2"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58">
        <f t="shared" si="263"/>
        <v>0</v>
      </c>
    </row>
    <row r="1474" spans="1:20" ht="22.2"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58">
        <f>IFERROR(HLOOKUP(B1474,pp1p!$1:$3,3,0),0)+IFERROR(HLOOKUP(B1474,pp3p1m!$1:$3,3,0),0)</f>
        <v>0</v>
      </c>
    </row>
    <row r="1475" spans="1:20" ht="22.2"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58">
        <f t="shared" si="263"/>
        <v>0</v>
      </c>
    </row>
    <row r="1476" spans="1:20" ht="22.2"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58">
        <f t="shared" si="263"/>
        <v>0</v>
      </c>
    </row>
    <row r="1477" spans="1:20" ht="22.2"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58">
        <f t="shared" si="263"/>
        <v>0</v>
      </c>
    </row>
    <row r="1478" spans="1:20" ht="22.2"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58">
        <f t="shared" si="263"/>
        <v>0</v>
      </c>
    </row>
    <row r="1479" spans="1:20" ht="22.2"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58">
        <f t="shared" si="263"/>
        <v>0</v>
      </c>
    </row>
    <row r="1480" spans="1:20" ht="22.2"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58">
        <f t="shared" si="263"/>
        <v>0</v>
      </c>
    </row>
    <row r="1481" spans="1:20" ht="22.2"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58">
        <f t="shared" si="263"/>
        <v>0</v>
      </c>
    </row>
    <row r="1482" spans="1:20" ht="22.2"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58">
        <f t="shared" si="263"/>
        <v>0</v>
      </c>
    </row>
    <row r="1483" spans="1:20" ht="22.2"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58">
        <f t="shared" si="263"/>
        <v>0</v>
      </c>
    </row>
    <row r="1484" spans="1:20" ht="22.2" hidden="1" customHeight="1">
      <c r="A1484" s="1018" t="s">
        <v>28</v>
      </c>
      <c r="B1484" s="1584" t="s">
        <v>28</v>
      </c>
      <c r="C1484" s="1015" t="str">
        <f>IF(D1484&lt;&gt;0,"x"," ")</f>
        <v xml:space="preserve"> </v>
      </c>
      <c r="D1484" s="1542">
        <f>IF(SUM(D1485:D1503)&lt;&gt;0,1,0)</f>
        <v>0</v>
      </c>
      <c r="E1484" s="1049" t="s">
        <v>2178</v>
      </c>
      <c r="F1484" s="1396" t="s">
        <v>4440</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58">
        <f t="shared" si="263"/>
        <v>0</v>
      </c>
    </row>
    <row r="1485" spans="1:20" ht="22.2"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58">
        <f t="shared" si="263"/>
        <v>0</v>
      </c>
    </row>
    <row r="1486" spans="1:20" ht="22.2"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58">
        <f t="shared" si="263"/>
        <v>0</v>
      </c>
    </row>
    <row r="1487" spans="1:20" ht="22.2"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58">
        <f t="shared" si="263"/>
        <v>0</v>
      </c>
    </row>
    <row r="1488" spans="1:20" ht="22.2"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58">
        <f t="shared" si="263"/>
        <v>0</v>
      </c>
    </row>
    <row r="1489" spans="1:20" ht="22.2"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58">
        <f t="shared" si="263"/>
        <v>0</v>
      </c>
    </row>
    <row r="1490" spans="1:20" ht="22.2"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58">
        <f t="shared" si="263"/>
        <v>0</v>
      </c>
    </row>
    <row r="1491" spans="1:20" ht="22.2"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58">
        <f t="shared" si="263"/>
        <v>0</v>
      </c>
    </row>
    <row r="1492" spans="1:20" ht="22.2"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58">
        <f t="shared" si="263"/>
        <v>0</v>
      </c>
    </row>
    <row r="1493" spans="1:20" ht="22.2"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58">
        <f t="shared" si="263"/>
        <v>0</v>
      </c>
    </row>
    <row r="1494" spans="1:20" ht="22.2"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58">
        <f t="shared" si="263"/>
        <v>0</v>
      </c>
    </row>
    <row r="1495" spans="1:20" ht="22.2"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58">
        <f t="shared" si="263"/>
        <v>0</v>
      </c>
    </row>
    <row r="1496" spans="1:20" ht="22.2"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58">
        <f t="shared" si="263"/>
        <v>0</v>
      </c>
    </row>
    <row r="1497" spans="1:20" ht="22.2"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58">
        <f t="shared" si="263"/>
        <v>0</v>
      </c>
    </row>
    <row r="1498" spans="1:20" ht="22.2"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58">
        <f t="shared" si="263"/>
        <v>0</v>
      </c>
    </row>
    <row r="1499" spans="1:20" ht="22.2"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58">
        <f t="shared" si="263"/>
        <v>0</v>
      </c>
    </row>
    <row r="1500" spans="1:20" ht="22.2"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58">
        <f t="shared" si="263"/>
        <v>0</v>
      </c>
    </row>
    <row r="1501" spans="1:20" ht="22.2"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58">
        <f t="shared" si="263"/>
        <v>0</v>
      </c>
    </row>
    <row r="1502" spans="1:20" ht="22.2"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58">
        <f t="shared" si="263"/>
        <v>0</v>
      </c>
    </row>
    <row r="1503" spans="1:20" ht="22.2"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58">
        <f t="shared" si="263"/>
        <v>0</v>
      </c>
    </row>
    <row r="1504" spans="1:20" ht="22.2"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58">
        <f t="shared" si="263"/>
        <v>0</v>
      </c>
    </row>
    <row r="1505" spans="1:20" ht="22.2"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58">
        <f t="shared" si="263"/>
        <v>0</v>
      </c>
    </row>
    <row r="1506" spans="1:20" ht="22.2"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58">
        <f t="shared" si="263"/>
        <v>0</v>
      </c>
    </row>
    <row r="1507" spans="1:20" ht="22.2"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58">
        <f t="shared" si="263"/>
        <v>0</v>
      </c>
    </row>
    <row r="1508" spans="1:20" ht="22.2"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58">
        <f t="shared" ref="T1508:T1571" si="274">IFERROR(HLOOKUP(B1508,BangKeTru,3,0),0)</f>
        <v>0</v>
      </c>
    </row>
    <row r="1509" spans="1:20" ht="22.2"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58">
        <f t="shared" si="274"/>
        <v>0</v>
      </c>
    </row>
    <row r="1510" spans="1:20" ht="22.2"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58">
        <f t="shared" si="274"/>
        <v>0</v>
      </c>
    </row>
    <row r="1511" spans="1:20" ht="22.2"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58">
        <f t="shared" si="274"/>
        <v>0</v>
      </c>
    </row>
    <row r="1512" spans="1:20" ht="22.2"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58">
        <f t="shared" si="274"/>
        <v>0</v>
      </c>
    </row>
    <row r="1513" spans="1:20" ht="22.2"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58">
        <f t="shared" si="274"/>
        <v>0</v>
      </c>
    </row>
    <row r="1514" spans="1:20" ht="22.2"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58">
        <f t="shared" si="274"/>
        <v>0</v>
      </c>
    </row>
    <row r="1515" spans="1:20" ht="22.2"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58">
        <f t="shared" si="274"/>
        <v>0</v>
      </c>
    </row>
    <row r="1516" spans="1:20" ht="22.2"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58">
        <f t="shared" si="274"/>
        <v>0</v>
      </c>
    </row>
    <row r="1517" spans="1:20" ht="22.2"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58">
        <f t="shared" si="274"/>
        <v>0</v>
      </c>
    </row>
    <row r="1518" spans="1:20" ht="22.2"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58">
        <f t="shared" si="274"/>
        <v>0</v>
      </c>
    </row>
    <row r="1519" spans="1:20" ht="22.2"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58">
        <f t="shared" si="274"/>
        <v>0</v>
      </c>
    </row>
    <row r="1520" spans="1:20" ht="22.2"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58">
        <f t="shared" si="274"/>
        <v>0</v>
      </c>
    </row>
    <row r="1521" spans="1:20" ht="22.2"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58">
        <f t="shared" si="274"/>
        <v>0</v>
      </c>
    </row>
    <row r="1522" spans="1:20" ht="22.2"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58">
        <f t="shared" si="274"/>
        <v>0</v>
      </c>
    </row>
    <row r="1523" spans="1:20" ht="22.2"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58">
        <f t="shared" si="274"/>
        <v>0</v>
      </c>
    </row>
    <row r="1524" spans="1:20" ht="22.2"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58">
        <f t="shared" si="274"/>
        <v>0</v>
      </c>
    </row>
    <row r="1525" spans="1:20" ht="22.2"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58">
        <f t="shared" si="274"/>
        <v>0</v>
      </c>
    </row>
    <row r="1526" spans="1:20" ht="22.2"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58">
        <f t="shared" si="274"/>
        <v>0</v>
      </c>
    </row>
    <row r="1527" spans="1:20" ht="22.2"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58">
        <f t="shared" si="274"/>
        <v>0</v>
      </c>
    </row>
    <row r="1528" spans="1:20" ht="22.2"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58">
        <f t="shared" si="274"/>
        <v>0</v>
      </c>
    </row>
    <row r="1529" spans="1:20" ht="22.2"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58">
        <f t="shared" si="274"/>
        <v>0</v>
      </c>
    </row>
    <row r="1530" spans="1:20" ht="22.2"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58">
        <f t="shared" si="274"/>
        <v>0</v>
      </c>
    </row>
    <row r="1531" spans="1:20" ht="22.2"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58">
        <f t="shared" si="274"/>
        <v>0</v>
      </c>
    </row>
    <row r="1532" spans="1:20" ht="22.2"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58">
        <f t="shared" si="274"/>
        <v>0</v>
      </c>
    </row>
    <row r="1533" spans="1:20" ht="22.2"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58">
        <f t="shared" si="274"/>
        <v>0</v>
      </c>
    </row>
    <row r="1534" spans="1:20" ht="22.2"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58">
        <f t="shared" si="274"/>
        <v>0</v>
      </c>
    </row>
    <row r="1535" spans="1:20" ht="22.2"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58">
        <f t="shared" si="274"/>
        <v>0</v>
      </c>
    </row>
    <row r="1536" spans="1:20" ht="22.2"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58">
        <f t="shared" si="274"/>
        <v>0</v>
      </c>
    </row>
    <row r="1537" spans="1:20" ht="22.2"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58">
        <f t="shared" si="274"/>
        <v>0</v>
      </c>
    </row>
    <row r="1538" spans="1:20" ht="22.2"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58">
        <f t="shared" si="274"/>
        <v>0</v>
      </c>
    </row>
    <row r="1539" spans="1:20" ht="22.2"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58">
        <f t="shared" si="274"/>
        <v>0</v>
      </c>
    </row>
    <row r="1540" spans="1:20" ht="22.2"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58">
        <f t="shared" si="274"/>
        <v>0</v>
      </c>
    </row>
    <row r="1541" spans="1:20" ht="22.2"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58">
        <f t="shared" si="274"/>
        <v>0</v>
      </c>
    </row>
    <row r="1542" spans="1:20" ht="22.2"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58">
        <f t="shared" si="274"/>
        <v>0</v>
      </c>
    </row>
    <row r="1543" spans="1:20" ht="22.2"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58">
        <f t="shared" si="274"/>
        <v>0</v>
      </c>
    </row>
    <row r="1544" spans="1:20" ht="22.2"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58">
        <f t="shared" si="274"/>
        <v>0</v>
      </c>
    </row>
    <row r="1545" spans="1:20" ht="22.2"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58">
        <f t="shared" si="274"/>
        <v>0</v>
      </c>
    </row>
    <row r="1546" spans="1:20" ht="22.2"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58">
        <f t="shared" si="274"/>
        <v>0</v>
      </c>
    </row>
    <row r="1547" spans="1:20" ht="22.2"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58">
        <f t="shared" si="274"/>
        <v>0</v>
      </c>
    </row>
    <row r="1548" spans="1:20" ht="22.2"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58">
        <f t="shared" si="274"/>
        <v>0</v>
      </c>
    </row>
    <row r="1549" spans="1:20" ht="22.2"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58">
        <f t="shared" si="274"/>
        <v>0</v>
      </c>
    </row>
    <row r="1550" spans="1:20" ht="22.2"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58">
        <f t="shared" si="274"/>
        <v>0</v>
      </c>
    </row>
    <row r="1551" spans="1:20" ht="22.2"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58">
        <f t="shared" si="274"/>
        <v>0</v>
      </c>
    </row>
    <row r="1552" spans="1:20" ht="22.2"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58">
        <f t="shared" si="274"/>
        <v>0</v>
      </c>
    </row>
    <row r="1553" spans="1:20" ht="22.2"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58">
        <f t="shared" si="274"/>
        <v>0</v>
      </c>
    </row>
    <row r="1554" spans="1:20" ht="22.2"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58">
        <f t="shared" si="274"/>
        <v>0</v>
      </c>
    </row>
    <row r="1555" spans="1:20" ht="22.2"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58">
        <f t="shared" si="274"/>
        <v>0</v>
      </c>
    </row>
    <row r="1556" spans="1:20" ht="22.2"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58">
        <f t="shared" si="274"/>
        <v>0</v>
      </c>
    </row>
    <row r="1557" spans="1:20" ht="22.2"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58">
        <f t="shared" si="274"/>
        <v>0</v>
      </c>
    </row>
    <row r="1558" spans="1:20" ht="22.2"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58">
        <f t="shared" si="274"/>
        <v>0</v>
      </c>
    </row>
    <row r="1559" spans="1:20" ht="22.2"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58">
        <f t="shared" si="274"/>
        <v>0</v>
      </c>
    </row>
    <row r="1560" spans="1:20" ht="22.2"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58">
        <f t="shared" si="274"/>
        <v>0</v>
      </c>
    </row>
    <row r="1561" spans="1:20" ht="22.2"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58">
        <f t="shared" si="274"/>
        <v>0</v>
      </c>
    </row>
    <row r="1562" spans="1:20" ht="22.2"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58">
        <f t="shared" si="274"/>
        <v>0</v>
      </c>
    </row>
    <row r="1563" spans="1:20" ht="22.2"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58">
        <f t="shared" si="274"/>
        <v>0</v>
      </c>
    </row>
    <row r="1564" spans="1:20" ht="22.2"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58">
        <f t="shared" si="274"/>
        <v>0</v>
      </c>
    </row>
    <row r="1565" spans="1:20" ht="22.2"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58">
        <f t="shared" si="274"/>
        <v>0</v>
      </c>
    </row>
    <row r="1566" spans="1:20" ht="22.2"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58">
        <f t="shared" si="274"/>
        <v>0</v>
      </c>
    </row>
    <row r="1567" spans="1:20" ht="22.2"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58">
        <f t="shared" si="274"/>
        <v>0</v>
      </c>
    </row>
    <row r="1568" spans="1:20" ht="22.2"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58">
        <f t="shared" si="274"/>
        <v>0</v>
      </c>
    </row>
    <row r="1569" spans="1:20" ht="22.2"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58">
        <f t="shared" si="274"/>
        <v>0</v>
      </c>
    </row>
    <row r="1570" spans="1:20" ht="22.2"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58">
        <f t="shared" si="274"/>
        <v>0</v>
      </c>
    </row>
    <row r="1571" spans="1:20" ht="22.2"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58">
        <f t="shared" si="274"/>
        <v>0</v>
      </c>
    </row>
    <row r="1572" spans="1:20" ht="22.2"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58">
        <f t="shared" ref="T1572:T1635" si="281">IFERROR(HLOOKUP(B1572,BangKeTru,3,0),0)</f>
        <v>0</v>
      </c>
    </row>
    <row r="1573" spans="1:20" ht="22.2"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58">
        <f t="shared" si="281"/>
        <v>0</v>
      </c>
    </row>
    <row r="1574" spans="1:20" ht="22.2"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58">
        <f t="shared" si="281"/>
        <v>0</v>
      </c>
    </row>
    <row r="1575" spans="1:20" ht="22.2"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58">
        <f t="shared" si="281"/>
        <v>0</v>
      </c>
    </row>
    <row r="1576" spans="1:20" ht="22.2"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58">
        <f t="shared" si="281"/>
        <v>0</v>
      </c>
    </row>
    <row r="1577" spans="1:20" ht="22.2"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58">
        <f t="shared" si="281"/>
        <v>0</v>
      </c>
    </row>
    <row r="1578" spans="1:20" ht="22.2"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58">
        <f t="shared" si="281"/>
        <v>0</v>
      </c>
    </row>
    <row r="1579" spans="1:20" ht="22.2"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58">
        <f t="shared" si="281"/>
        <v>0</v>
      </c>
    </row>
    <row r="1580" spans="1:20" ht="22.2"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58">
        <f t="shared" si="281"/>
        <v>0</v>
      </c>
    </row>
    <row r="1581" spans="1:20" ht="22.2"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58">
        <f t="shared" si="281"/>
        <v>0</v>
      </c>
    </row>
    <row r="1582" spans="1:20" ht="22.2"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58">
        <f t="shared" si="281"/>
        <v>0</v>
      </c>
    </row>
    <row r="1583" spans="1:20" ht="22.2"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58">
        <f t="shared" si="281"/>
        <v>0</v>
      </c>
    </row>
    <row r="1584" spans="1:20" ht="22.2"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58">
        <f t="shared" si="281"/>
        <v>0</v>
      </c>
    </row>
    <row r="1585" spans="1:20" ht="22.2"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58">
        <f t="shared" si="281"/>
        <v>0</v>
      </c>
    </row>
    <row r="1586" spans="1:20" ht="22.2"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58">
        <f t="shared" si="281"/>
        <v>0</v>
      </c>
    </row>
    <row r="1587" spans="1:20" ht="22.2"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58">
        <f t="shared" si="281"/>
        <v>0</v>
      </c>
    </row>
    <row r="1588" spans="1:20" ht="22.2"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58">
        <f t="shared" si="281"/>
        <v>0</v>
      </c>
    </row>
    <row r="1589" spans="1:20" ht="22.2"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58">
        <f t="shared" si="281"/>
        <v>0</v>
      </c>
    </row>
    <row r="1590" spans="1:20" ht="22.2"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58">
        <f t="shared" si="281"/>
        <v>0</v>
      </c>
    </row>
    <row r="1591" spans="1:20" ht="22.2"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58">
        <f t="shared" si="281"/>
        <v>0</v>
      </c>
    </row>
    <row r="1592" spans="1:20" ht="22.2"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58">
        <f t="shared" si="281"/>
        <v>0</v>
      </c>
    </row>
    <row r="1593" spans="1:20" ht="22.2"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58">
        <f t="shared" si="281"/>
        <v>0</v>
      </c>
    </row>
    <row r="1594" spans="1:20" ht="22.2"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58">
        <f t="shared" si="281"/>
        <v>0</v>
      </c>
    </row>
    <row r="1595" spans="1:20" ht="22.2"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58">
        <f t="shared" si="281"/>
        <v>0</v>
      </c>
    </row>
    <row r="1596" spans="1:20" ht="22.2"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58">
        <f t="shared" si="281"/>
        <v>0</v>
      </c>
    </row>
    <row r="1597" spans="1:20" ht="22.2"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58">
        <f t="shared" si="281"/>
        <v>0</v>
      </c>
    </row>
    <row r="1598" spans="1:20" ht="22.2"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58">
        <f t="shared" si="281"/>
        <v>0</v>
      </c>
    </row>
    <row r="1599" spans="1:20" ht="22.2"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58">
        <f t="shared" si="281"/>
        <v>0</v>
      </c>
    </row>
    <row r="1600" spans="1:20" ht="22.2"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58">
        <f t="shared" si="281"/>
        <v>0</v>
      </c>
    </row>
    <row r="1601" spans="1:20" ht="22.2"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58">
        <f t="shared" si="281"/>
        <v>0</v>
      </c>
    </row>
    <row r="1602" spans="1:20" ht="22.2"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58">
        <f t="shared" si="281"/>
        <v>0</v>
      </c>
    </row>
    <row r="1603" spans="1:20" ht="22.2"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58">
        <f t="shared" si="281"/>
        <v>0</v>
      </c>
    </row>
    <row r="1604" spans="1:20" ht="22.2"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58">
        <f t="shared" si="281"/>
        <v>0</v>
      </c>
    </row>
    <row r="1605" spans="1:20" ht="22.2"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58">
        <f t="shared" si="281"/>
        <v>0</v>
      </c>
    </row>
    <row r="1606" spans="1:20" ht="22.2"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58">
        <f t="shared" si="281"/>
        <v>0</v>
      </c>
    </row>
    <row r="1607" spans="1:20" ht="22.2"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58">
        <f t="shared" si="281"/>
        <v>0</v>
      </c>
    </row>
    <row r="1608" spans="1:20" ht="22.2"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58">
        <f t="shared" si="281"/>
        <v>0</v>
      </c>
    </row>
    <row r="1609" spans="1:20" ht="22.2"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58">
        <f t="shared" si="281"/>
        <v>0</v>
      </c>
    </row>
    <row r="1610" spans="1:20" ht="22.2"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58">
        <f t="shared" si="281"/>
        <v>0</v>
      </c>
    </row>
    <row r="1611" spans="1:20" ht="22.2"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58">
        <f t="shared" si="281"/>
        <v>0</v>
      </c>
    </row>
    <row r="1612" spans="1:20" ht="22.2"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58">
        <f t="shared" si="281"/>
        <v>0</v>
      </c>
    </row>
    <row r="1613" spans="1:20" ht="22.2"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58">
        <f t="shared" si="281"/>
        <v>0</v>
      </c>
    </row>
    <row r="1614" spans="1:20" ht="22.2"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58">
        <f t="shared" si="281"/>
        <v>0</v>
      </c>
    </row>
    <row r="1615" spans="1:20" ht="22.2"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58">
        <f t="shared" si="281"/>
        <v>0</v>
      </c>
    </row>
    <row r="1616" spans="1:20" ht="22.2"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58">
        <f t="shared" si="281"/>
        <v>0</v>
      </c>
    </row>
    <row r="1617" spans="1:20" ht="22.2"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58">
        <f t="shared" si="281"/>
        <v>0</v>
      </c>
    </row>
    <row r="1618" spans="1:20" ht="22.2"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58">
        <f t="shared" si="281"/>
        <v>0</v>
      </c>
    </row>
    <row r="1619" spans="1:20" ht="22.2"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58">
        <f t="shared" si="281"/>
        <v>0</v>
      </c>
    </row>
    <row r="1620" spans="1:20" ht="22.2"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58">
        <f t="shared" si="281"/>
        <v>0</v>
      </c>
    </row>
    <row r="1621" spans="1:20" ht="22.2"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58">
        <f t="shared" si="281"/>
        <v>0</v>
      </c>
    </row>
    <row r="1622" spans="1:20" ht="22.2"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58">
        <f t="shared" si="281"/>
        <v>0</v>
      </c>
    </row>
    <row r="1623" spans="1:20" ht="22.2"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58">
        <f t="shared" si="281"/>
        <v>0</v>
      </c>
    </row>
    <row r="1624" spans="1:20" ht="22.2"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58">
        <f t="shared" si="281"/>
        <v>0</v>
      </c>
    </row>
    <row r="1625" spans="1:20" ht="22.2"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58">
        <f t="shared" si="281"/>
        <v>0</v>
      </c>
    </row>
    <row r="1626" spans="1:20" ht="22.2"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58">
        <f t="shared" si="281"/>
        <v>0</v>
      </c>
    </row>
    <row r="1627" spans="1:20" ht="22.2"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58">
        <f t="shared" si="281"/>
        <v>0</v>
      </c>
    </row>
    <row r="1628" spans="1:20" ht="22.2"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58">
        <f t="shared" si="281"/>
        <v>0</v>
      </c>
    </row>
    <row r="1629" spans="1:20" ht="22.2"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58">
        <f t="shared" si="281"/>
        <v>0</v>
      </c>
    </row>
    <row r="1630" spans="1:20" ht="22.2"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58">
        <f t="shared" si="281"/>
        <v>0</v>
      </c>
    </row>
    <row r="1631" spans="1:20" ht="22.2"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58">
        <f t="shared" si="281"/>
        <v>0</v>
      </c>
    </row>
    <row r="1632" spans="1:20" ht="22.2"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58">
        <f t="shared" si="281"/>
        <v>0</v>
      </c>
    </row>
    <row r="1633" spans="1:20" ht="22.2"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58">
        <f t="shared" si="281"/>
        <v>0</v>
      </c>
    </row>
    <row r="1634" spans="1:20" ht="22.2"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58">
        <f t="shared" si="281"/>
        <v>0</v>
      </c>
    </row>
    <row r="1635" spans="1:20" ht="22.2"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58">
        <f t="shared" si="281"/>
        <v>0</v>
      </c>
    </row>
    <row r="1636" spans="1:20" ht="22.2"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58">
        <f t="shared" ref="T1636:T1699" si="288">IFERROR(HLOOKUP(B1636,BangKeTru,3,0),0)</f>
        <v>0</v>
      </c>
    </row>
    <row r="1637" spans="1:20" ht="22.2"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58">
        <f t="shared" si="288"/>
        <v>0</v>
      </c>
    </row>
    <row r="1638" spans="1:20" ht="22.2"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58">
        <f t="shared" si="288"/>
        <v>0</v>
      </c>
    </row>
    <row r="1639" spans="1:20" ht="22.2"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58">
        <f t="shared" si="288"/>
        <v>0</v>
      </c>
    </row>
    <row r="1640" spans="1:20" ht="22.2"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58">
        <f t="shared" si="288"/>
        <v>0</v>
      </c>
    </row>
    <row r="1641" spans="1:20" ht="22.2"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58">
        <f t="shared" si="288"/>
        <v>0</v>
      </c>
    </row>
    <row r="1642" spans="1:20" ht="22.2"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58">
        <f t="shared" si="288"/>
        <v>0</v>
      </c>
    </row>
    <row r="1643" spans="1:20" ht="22.2"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58">
        <f t="shared" si="288"/>
        <v>0</v>
      </c>
    </row>
    <row r="1644" spans="1:20" ht="22.2"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58">
        <f t="shared" si="288"/>
        <v>0</v>
      </c>
    </row>
    <row r="1645" spans="1:20" ht="22.2"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58">
        <f t="shared" si="288"/>
        <v>0</v>
      </c>
    </row>
    <row r="1646" spans="1:20" ht="22.2"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58">
        <f t="shared" si="288"/>
        <v>0</v>
      </c>
    </row>
    <row r="1647" spans="1:20" ht="22.2"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58">
        <f t="shared" si="288"/>
        <v>0</v>
      </c>
    </row>
    <row r="1648" spans="1:20" ht="22.2"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58">
        <f t="shared" si="288"/>
        <v>0</v>
      </c>
    </row>
    <row r="1649" spans="1:20" ht="22.2"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58">
        <f t="shared" si="288"/>
        <v>0</v>
      </c>
    </row>
    <row r="1650" spans="1:20" ht="22.2"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58">
        <f t="shared" si="288"/>
        <v>0</v>
      </c>
    </row>
    <row r="1651" spans="1:20" ht="22.2"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58">
        <f t="shared" si="288"/>
        <v>0</v>
      </c>
    </row>
    <row r="1652" spans="1:20" ht="22.2"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58">
        <f t="shared" si="288"/>
        <v>0</v>
      </c>
    </row>
    <row r="1653" spans="1:20" ht="22.2"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58">
        <f t="shared" si="288"/>
        <v>0</v>
      </c>
    </row>
    <row r="1654" spans="1:20" ht="22.2"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58">
        <f t="shared" si="288"/>
        <v>0</v>
      </c>
    </row>
    <row r="1655" spans="1:20" ht="22.2"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58">
        <f t="shared" si="288"/>
        <v>0</v>
      </c>
    </row>
    <row r="1656" spans="1:20" ht="22.2"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58">
        <f t="shared" si="288"/>
        <v>0</v>
      </c>
    </row>
    <row r="1657" spans="1:20" ht="22.2"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58">
        <f t="shared" si="288"/>
        <v>0</v>
      </c>
    </row>
    <row r="1658" spans="1:20" ht="22.2"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58">
        <f t="shared" si="288"/>
        <v>0</v>
      </c>
    </row>
    <row r="1659" spans="1:20" ht="22.2"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58">
        <f t="shared" si="288"/>
        <v>0</v>
      </c>
    </row>
    <row r="1660" spans="1:20" ht="22.2"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58">
        <f t="shared" si="288"/>
        <v>0</v>
      </c>
    </row>
    <row r="1661" spans="1:20" ht="22.2"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58">
        <f t="shared" si="288"/>
        <v>0</v>
      </c>
    </row>
    <row r="1662" spans="1:20" ht="22.2"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58">
        <f t="shared" si="288"/>
        <v>0</v>
      </c>
    </row>
    <row r="1663" spans="1:20" ht="22.2"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58">
        <f t="shared" si="288"/>
        <v>0</v>
      </c>
    </row>
    <row r="1664" spans="1:20" ht="22.2"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58">
        <f t="shared" si="288"/>
        <v>0</v>
      </c>
    </row>
    <row r="1665" spans="1:20" ht="22.2"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58">
        <f t="shared" si="288"/>
        <v>0</v>
      </c>
    </row>
    <row r="1666" spans="1:20" ht="22.2"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58">
        <f t="shared" si="288"/>
        <v>0</v>
      </c>
    </row>
    <row r="1667" spans="1:20" ht="22.2"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58">
        <f t="shared" si="288"/>
        <v>0</v>
      </c>
    </row>
    <row r="1668" spans="1:20" ht="22.2"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58">
        <f t="shared" si="288"/>
        <v>0</v>
      </c>
    </row>
    <row r="1669" spans="1:20" ht="22.2"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58">
        <f t="shared" si="288"/>
        <v>0</v>
      </c>
    </row>
    <row r="1670" spans="1:20" ht="22.2"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58">
        <f t="shared" si="288"/>
        <v>0</v>
      </c>
    </row>
    <row r="1671" spans="1:20" ht="22.2"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58">
        <f t="shared" si="288"/>
        <v>0</v>
      </c>
    </row>
    <row r="1672" spans="1:20" ht="22.2"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58">
        <f t="shared" si="288"/>
        <v>0</v>
      </c>
    </row>
    <row r="1673" spans="1:20" ht="22.2"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58">
        <f t="shared" si="288"/>
        <v>0</v>
      </c>
    </row>
    <row r="1674" spans="1:20" ht="22.2"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58">
        <f t="shared" si="288"/>
        <v>0</v>
      </c>
    </row>
    <row r="1675" spans="1:20" ht="22.2"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58">
        <f t="shared" si="288"/>
        <v>0</v>
      </c>
    </row>
    <row r="1676" spans="1:20" ht="22.2"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58">
        <f t="shared" si="288"/>
        <v>0</v>
      </c>
    </row>
    <row r="1677" spans="1:20" ht="22.2"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58">
        <f t="shared" si="288"/>
        <v>0</v>
      </c>
    </row>
    <row r="1678" spans="1:20" ht="22.2"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58">
        <f t="shared" si="288"/>
        <v>0</v>
      </c>
    </row>
    <row r="1679" spans="1:20" ht="22.2"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58">
        <f t="shared" si="288"/>
        <v>0</v>
      </c>
    </row>
    <row r="1680" spans="1:20" ht="22.2"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58">
        <f t="shared" si="288"/>
        <v>0</v>
      </c>
    </row>
    <row r="1681" spans="1:20" ht="22.2"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58">
        <f t="shared" si="288"/>
        <v>0</v>
      </c>
    </row>
    <row r="1682" spans="1:20" ht="22.2"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58">
        <f t="shared" si="288"/>
        <v>0</v>
      </c>
    </row>
    <row r="1683" spans="1:20" ht="22.2"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58">
        <f t="shared" si="288"/>
        <v>0</v>
      </c>
    </row>
    <row r="1684" spans="1:20" ht="22.2"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58">
        <f t="shared" si="288"/>
        <v>0</v>
      </c>
    </row>
    <row r="1685" spans="1:20" ht="22.2"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58">
        <f t="shared" si="288"/>
        <v>0</v>
      </c>
    </row>
    <row r="1686" spans="1:20" ht="22.2"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58">
        <f t="shared" si="288"/>
        <v>0</v>
      </c>
    </row>
    <row r="1687" spans="1:20" ht="22.2"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58">
        <f t="shared" si="288"/>
        <v>0</v>
      </c>
    </row>
    <row r="1688" spans="1:20" ht="22.2"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58">
        <f t="shared" si="288"/>
        <v>0</v>
      </c>
    </row>
    <row r="1689" spans="1:20" ht="22.2"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58">
        <f t="shared" si="288"/>
        <v>0</v>
      </c>
    </row>
    <row r="1690" spans="1:20" ht="22.2"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58">
        <f t="shared" si="288"/>
        <v>0</v>
      </c>
    </row>
    <row r="1691" spans="1:20" ht="22.2"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58">
        <f t="shared" si="288"/>
        <v>0</v>
      </c>
    </row>
    <row r="1692" spans="1:20" ht="22.2"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58">
        <f t="shared" si="288"/>
        <v>0</v>
      </c>
    </row>
    <row r="1693" spans="1:20" ht="22.2"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58">
        <f t="shared" si="288"/>
        <v>0</v>
      </c>
    </row>
    <row r="1694" spans="1:20" ht="22.2"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58">
        <f t="shared" si="288"/>
        <v>0</v>
      </c>
    </row>
    <row r="1695" spans="1:20" ht="22.2"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58">
        <f t="shared" si="288"/>
        <v>0</v>
      </c>
    </row>
    <row r="1696" spans="1:20" ht="22.2"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58">
        <f t="shared" si="288"/>
        <v>0</v>
      </c>
    </row>
    <row r="1697" spans="1:20" ht="22.2"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58">
        <f t="shared" si="288"/>
        <v>0</v>
      </c>
    </row>
    <row r="1698" spans="1:20" ht="22.2"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58">
        <f t="shared" si="288"/>
        <v>0</v>
      </c>
    </row>
    <row r="1699" spans="1:20" ht="22.2"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58">
        <f t="shared" si="288"/>
        <v>0</v>
      </c>
    </row>
    <row r="1700" spans="1:20" ht="22.2"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58">
        <f t="shared" ref="T1700:T1741" si="297">IFERROR(HLOOKUP(B1700,BangKeTru,3,0),0)</f>
        <v>0</v>
      </c>
    </row>
    <row r="1701" spans="1:20" ht="22.2"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58">
        <f t="shared" si="297"/>
        <v>0</v>
      </c>
    </row>
    <row r="1702" spans="1:20" ht="22.2"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58">
        <f t="shared" si="297"/>
        <v>0</v>
      </c>
    </row>
    <row r="1703" spans="1:20" ht="22.2"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58">
        <f t="shared" si="297"/>
        <v>0</v>
      </c>
    </row>
    <row r="1704" spans="1:20" ht="22.2"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58">
        <f t="shared" si="297"/>
        <v>0</v>
      </c>
    </row>
    <row r="1705" spans="1:20" ht="22.2"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58">
        <f t="shared" si="297"/>
        <v>0</v>
      </c>
    </row>
    <row r="1706" spans="1:20" ht="22.2"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58">
        <f t="shared" si="297"/>
        <v>0</v>
      </c>
    </row>
    <row r="1707" spans="1:20" ht="22.2"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58">
        <f t="shared" si="297"/>
        <v>0</v>
      </c>
    </row>
    <row r="1708" spans="1:20" ht="22.2"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58">
        <f t="shared" si="297"/>
        <v>0</v>
      </c>
    </row>
    <row r="1709" spans="1:20" ht="22.2"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58">
        <f t="shared" si="297"/>
        <v>0</v>
      </c>
    </row>
    <row r="1710" spans="1:20" ht="22.2"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58">
        <f t="shared" si="297"/>
        <v>0</v>
      </c>
    </row>
    <row r="1711" spans="1:20" ht="22.2"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58">
        <f t="shared" si="297"/>
        <v>0</v>
      </c>
    </row>
    <row r="1712" spans="1:20" ht="22.2"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58">
        <f t="shared" si="297"/>
        <v>0</v>
      </c>
    </row>
    <row r="1713" spans="1:20" ht="22.2"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58">
        <f t="shared" si="297"/>
        <v>0</v>
      </c>
    </row>
    <row r="1714" spans="1:20" ht="22.2"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58">
        <f t="shared" si="297"/>
        <v>0</v>
      </c>
    </row>
    <row r="1715" spans="1:20" ht="22.2"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58">
        <f t="shared" si="297"/>
        <v>0</v>
      </c>
    </row>
    <row r="1716" spans="1:20" ht="22.2"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58">
        <f t="shared" si="297"/>
        <v>0</v>
      </c>
    </row>
    <row r="1717" spans="1:20" ht="22.2"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58">
        <f t="shared" si="297"/>
        <v>0</v>
      </c>
    </row>
    <row r="1718" spans="1:20" ht="22.2"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58">
        <f t="shared" si="297"/>
        <v>0</v>
      </c>
    </row>
    <row r="1719" spans="1:20" ht="22.2"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58">
        <f t="shared" si="297"/>
        <v>0</v>
      </c>
    </row>
    <row r="1720" spans="1:20" ht="22.2"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58">
        <f t="shared" si="297"/>
        <v>0</v>
      </c>
    </row>
    <row r="1721" spans="1:20" ht="22.2"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58">
        <f t="shared" si="297"/>
        <v>0</v>
      </c>
    </row>
    <row r="1722" spans="1:20" ht="22.2"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58">
        <f t="shared" si="297"/>
        <v>0</v>
      </c>
    </row>
    <row r="1723" spans="1:20" ht="22.2"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58">
        <f t="shared" si="297"/>
        <v>0</v>
      </c>
    </row>
    <row r="1724" spans="1:20" ht="22.2"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58">
        <f t="shared" si="297"/>
        <v>0</v>
      </c>
    </row>
    <row r="1725" spans="1:20" ht="22.2"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58">
        <f t="shared" si="297"/>
        <v>0</v>
      </c>
    </row>
    <row r="1726" spans="1:20" ht="22.2"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58">
        <f t="shared" si="297"/>
        <v>0</v>
      </c>
    </row>
    <row r="1727" spans="1:20" ht="22.2"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58">
        <f t="shared" si="297"/>
        <v>0</v>
      </c>
    </row>
    <row r="1728" spans="1:20" ht="22.2"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58">
        <f t="shared" si="297"/>
        <v>0</v>
      </c>
    </row>
    <row r="1729" spans="1:20" ht="22.2"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58">
        <f t="shared" si="297"/>
        <v>0</v>
      </c>
    </row>
    <row r="1730" spans="1:20" ht="22.2"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58">
        <f t="shared" si="297"/>
        <v>0</v>
      </c>
    </row>
    <row r="1731" spans="1:20" ht="22.2"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58">
        <f t="shared" si="297"/>
        <v>0</v>
      </c>
    </row>
    <row r="1732" spans="1:20" ht="22.2"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58">
        <f t="shared" si="297"/>
        <v>0</v>
      </c>
    </row>
    <row r="1733" spans="1:20" ht="22.2"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58">
        <f t="shared" si="297"/>
        <v>0</v>
      </c>
    </row>
    <row r="1734" spans="1:20" ht="22.2"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58">
        <f t="shared" si="297"/>
        <v>0</v>
      </c>
    </row>
    <row r="1735" spans="1:20" ht="22.2"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58">
        <f t="shared" si="297"/>
        <v>0</v>
      </c>
    </row>
    <row r="1736" spans="1:20" ht="22.2"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58">
        <f t="shared" si="297"/>
        <v>0</v>
      </c>
    </row>
    <row r="1737" spans="1:20" ht="22.2"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58">
        <f t="shared" si="297"/>
        <v>0</v>
      </c>
    </row>
    <row r="1738" spans="1:20" ht="22.2"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58">
        <f t="shared" si="297"/>
        <v>0</v>
      </c>
    </row>
    <row r="1739" spans="1:20" ht="22.2"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58">
        <f t="shared" si="297"/>
        <v>0</v>
      </c>
    </row>
    <row r="1740" spans="1:20" ht="22.2"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58">
        <f t="shared" si="297"/>
        <v>0</v>
      </c>
    </row>
    <row r="1741" spans="1:20" ht="22.2"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58">
        <f t="shared" si="297"/>
        <v>0</v>
      </c>
    </row>
    <row r="1742" spans="1:20" ht="22.2" customHeight="1">
      <c r="A1742" s="1582" t="s">
        <v>1925</v>
      </c>
      <c r="B1742" s="1584" t="s">
        <v>1925</v>
      </c>
      <c r="C1742" s="1855" t="str">
        <f>IF(K1742&lt;&gt;0,"x"," ")</f>
        <v xml:space="preserve"> </v>
      </c>
      <c r="D1742" s="1542">
        <f>IF(SUM(D1743:D1761)&lt;&gt;0,1,0)</f>
        <v>0</v>
      </c>
      <c r="E1742" s="1049">
        <v>1</v>
      </c>
      <c r="F1742" s="1396" t="s">
        <v>4501</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58">
        <f>IFERROR(HLOOKUP(B1742,pp3p1m!1:3,3,0),0)</f>
        <v>0</v>
      </c>
    </row>
    <row r="1743" spans="1:20" ht="22.2"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58">
        <f>IFERROR(HLOOKUP(B1743,pp3p1m!2:4,3,0),0)</f>
        <v>0</v>
      </c>
    </row>
    <row r="1744" spans="1:20" ht="22.2"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58">
        <f>IFERROR(HLOOKUP(B1744,pp3p1m!3:5,3,0),0)</f>
        <v>0</v>
      </c>
    </row>
    <row r="1745" spans="1:20" ht="22.2"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58">
        <f>IFERROR(HLOOKUP(B1745,pp3p1m!4:6,3,0),0)</f>
        <v>0</v>
      </c>
    </row>
    <row r="1746" spans="1:20" ht="22.2"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58">
        <f>IFERROR(HLOOKUP(B1746,pp3p1m!5:7,3,0),0)</f>
        <v>0</v>
      </c>
    </row>
    <row r="1747" spans="1:20" ht="22.2"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58">
        <f>IFERROR(HLOOKUP(B1747,pp3p1m!6:8,3,0),0)</f>
        <v>0</v>
      </c>
    </row>
    <row r="1748" spans="1:20" ht="22.2"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58">
        <f>IFERROR(HLOOKUP(B1748,pp3p1m!7:9,3,0),0)</f>
        <v>0</v>
      </c>
    </row>
    <row r="1749" spans="1:20" ht="22.2"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1">
        <f>D1749</f>
        <v>0</v>
      </c>
      <c r="I1749" s="1846"/>
      <c r="J1749" s="1846"/>
      <c r="K1749" s="1846">
        <f>IFERROR(HLOOKUP(B1749,pp3p1m!1:3,3,0),0)</f>
        <v>0</v>
      </c>
      <c r="L1749" s="1846"/>
      <c r="M1749" s="1846"/>
      <c r="N1749" s="1846"/>
      <c r="O1749" s="1846"/>
      <c r="P1749" s="2221">
        <f t="shared" si="302"/>
        <v>0</v>
      </c>
      <c r="Q1749" s="1056"/>
      <c r="R1749" s="1056"/>
      <c r="S1749" s="1056"/>
      <c r="T1749" s="2058">
        <f>IFERROR(HLOOKUP(B1749,pp3p1m!8:10,3,0),0)</f>
        <v>0</v>
      </c>
    </row>
    <row r="1750" spans="1:20" ht="22.2"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0">
        <f>E1750</f>
        <v>0</v>
      </c>
      <c r="I1750" s="1846"/>
      <c r="J1750" s="1846"/>
      <c r="K1750" s="1846">
        <f t="shared" si="301"/>
        <v>0</v>
      </c>
      <c r="L1750" s="1846"/>
      <c r="M1750" s="1846"/>
      <c r="N1750" s="1846"/>
      <c r="O1750" s="1846"/>
      <c r="P1750" s="1970">
        <f t="shared" si="302"/>
        <v>0</v>
      </c>
      <c r="Q1750" s="1056"/>
      <c r="R1750" s="1056"/>
      <c r="S1750" s="1056"/>
      <c r="T1750" s="2058">
        <f>IFERROR(HLOOKUP(B1750,pp3p1m!9:11,3,0),0)</f>
        <v>0</v>
      </c>
    </row>
    <row r="1751" spans="1:20" ht="22.2"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58">
        <f>IFERROR(HLOOKUP(B1751,pp3p1m!10:12,3,0),0)</f>
        <v>0</v>
      </c>
    </row>
    <row r="1752" spans="1:20" ht="22.2"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58">
        <f>IFERROR(HLOOKUP(B1752,pp3p1m!11:13,3,0),0)</f>
        <v>0</v>
      </c>
    </row>
    <row r="1753" spans="1:20" ht="22.2"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58">
        <f>IFERROR(HLOOKUP(B1753,pp3p1m!12:14,3,0),0)</f>
        <v>0</v>
      </c>
    </row>
    <row r="1754" spans="1:20" ht="22.2"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58">
        <f>IFERROR(HLOOKUP(B1754,pp3p1m!13:15,3,0),0)</f>
        <v>0</v>
      </c>
    </row>
    <row r="1755" spans="1:20" ht="22.2"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58">
        <f>IFERROR(HLOOKUP(B1755,pp3p1m!14:16,3,0),0)</f>
        <v>0</v>
      </c>
    </row>
    <row r="1756" spans="1:20" ht="22.2"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58">
        <f>IFERROR(HLOOKUP(B1756,pp3p1m!15:17,3,0),0)</f>
        <v>0</v>
      </c>
    </row>
    <row r="1757" spans="1:20" ht="22.2"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58">
        <f>IFERROR(HLOOKUP(B1757,pp3p1m!16:18,3,0),0)</f>
        <v>0</v>
      </c>
    </row>
    <row r="1758" spans="1:20" ht="22.2"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58">
        <f>IFERROR(HLOOKUP(B1758,pp3p1m!17:19,3,0),0)</f>
        <v>0</v>
      </c>
    </row>
    <row r="1759" spans="1:20" ht="22.2"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58">
        <f>IFERROR(HLOOKUP(B1759,pp3p1m!18:20,3,0),0)</f>
        <v>0</v>
      </c>
    </row>
    <row r="1760" spans="1:20" ht="22.2"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58">
        <f>IFERROR(HLOOKUP(B1760,pp3p1m!19:21,3,0),0)</f>
        <v>0</v>
      </c>
    </row>
    <row r="1761" spans="1:20" ht="22.2"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58">
        <f>IFERROR(HLOOKUP(B1761,pp3p1m!20:22,3,0),0)</f>
        <v>0</v>
      </c>
    </row>
    <row r="1762" spans="1:20" ht="22.2"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58">
        <f>IFERROR(HLOOKUP(B1762,pp3p1m!21:23,3,0),0)</f>
        <v>0</v>
      </c>
    </row>
    <row r="1763" spans="1:20" ht="22.2"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58">
        <f>IFERROR(HLOOKUP(B1763,pp3p1m!22:24,3,0),0)</f>
        <v>0</v>
      </c>
    </row>
    <row r="1764" spans="1:20" ht="22.2"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58">
        <f>IFERROR(HLOOKUP(B1764,pp3p1m!23:25,3,0),0)</f>
        <v>0</v>
      </c>
    </row>
    <row r="1765" spans="1:20" ht="22.2"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58">
        <f>IFERROR(HLOOKUP(B1765,pp3p1m!24:26,3,0),0)</f>
        <v>0</v>
      </c>
    </row>
    <row r="1766" spans="1:20" ht="22.2"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58">
        <f>IFERROR(HLOOKUP(B1766,pp3p1m!25:27,3,0),0)</f>
        <v>0</v>
      </c>
    </row>
    <row r="1767" spans="1:20" ht="22.2"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58">
        <f>IFERROR(HLOOKUP(B1767,pp3p1m!26:28,3,0),0)</f>
        <v>0</v>
      </c>
    </row>
    <row r="1768" spans="1:20" ht="22.2"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58">
        <f>IFERROR(HLOOKUP(B1768,pp3p1m!27:29,3,0),0)</f>
        <v>0</v>
      </c>
    </row>
    <row r="1769" spans="1:20" ht="22.2"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58">
        <f>IFERROR(HLOOKUP(B1769,pp3p1m!28:30,3,0),0)</f>
        <v>0</v>
      </c>
    </row>
    <row r="1770" spans="1:20" ht="22.2"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58">
        <f>IFERROR(HLOOKUP(B1770,pp3p1m!29:31,3,0),0)</f>
        <v>0</v>
      </c>
    </row>
    <row r="1771" spans="1:20" ht="22.2"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58">
        <f>IFERROR(HLOOKUP(B1771,pp3p1m!30:32,3,0),0)</f>
        <v>0</v>
      </c>
    </row>
    <row r="1772" spans="1:20" ht="22.2"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58">
        <f>IFERROR(HLOOKUP(B1772,pp3p1m!31:33,3,0),0)</f>
        <v>0</v>
      </c>
    </row>
    <row r="1773" spans="1:20" ht="22.2"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58">
        <f>IFERROR(HLOOKUP(B1773,pp3p1m!32:34,3,0),0)</f>
        <v>0</v>
      </c>
    </row>
    <row r="1774" spans="1:20" ht="22.2"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58">
        <f>IFERROR(HLOOKUP(B1774,pp3p1m!33:35,3,0),0)</f>
        <v>0</v>
      </c>
    </row>
    <row r="1775" spans="1:20" ht="22.2"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58">
        <f>IFERROR(HLOOKUP(B1775,pp3p1m!34:36,3,0),0)</f>
        <v>0</v>
      </c>
    </row>
    <row r="1776" spans="1:20" ht="22.2"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58">
        <f>IFERROR(HLOOKUP(B1776,pp3p1m!35:37,3,0),0)</f>
        <v>0</v>
      </c>
    </row>
    <row r="1777" spans="1:20" ht="22.2"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58">
        <f>IFERROR(HLOOKUP(B1777,pp3p1m!36:38,3,0),0)</f>
        <v>0</v>
      </c>
    </row>
    <row r="1778" spans="1:20" ht="22.2"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58">
        <f>IFERROR(HLOOKUP(B1778,pp3p1m!37:39,3,0),0)</f>
        <v>0</v>
      </c>
    </row>
    <row r="1779" spans="1:20" ht="22.2"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58">
        <f>IFERROR(HLOOKUP(B1779,pp3p1m!38:40,3,0),0)</f>
        <v>0</v>
      </c>
    </row>
    <row r="1780" spans="1:20" ht="22.2"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58">
        <f>IFERROR(HLOOKUP(B1780,pp3p1m!39:41,3,0),0)</f>
        <v>0</v>
      </c>
    </row>
    <row r="1781" spans="1:20" ht="22.2"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58">
        <f>IFERROR(HLOOKUP(B1781,pp3p1m!40:42,3,0),0)</f>
        <v>0</v>
      </c>
    </row>
    <row r="1782" spans="1:20" ht="22.2"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58">
        <f>IFERROR(HLOOKUP(B1782,pp3p1m!41:43,3,0),0)</f>
        <v>0</v>
      </c>
    </row>
    <row r="1783" spans="1:20" ht="22.2"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58">
        <f>IFERROR(HLOOKUP(B1783,pp3p1m!42:44,3,0),0)</f>
        <v>0</v>
      </c>
    </row>
    <row r="1784" spans="1:20" ht="22.2"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58">
        <f>IFERROR(HLOOKUP(B1784,pp3p1m!43:45,3,0),0)</f>
        <v>0</v>
      </c>
    </row>
    <row r="1785" spans="1:20" ht="22.2"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58">
        <f>IFERROR(HLOOKUP(B1785,pp3p1m!44:46,3,0),0)</f>
        <v>0</v>
      </c>
    </row>
    <row r="1786" spans="1:20" ht="22.2"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58">
        <f>IFERROR(HLOOKUP(B1786,pp3p1m!45:47,3,0),0)</f>
        <v>0</v>
      </c>
    </row>
    <row r="1787" spans="1:20" ht="22.2"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58">
        <f>IFERROR(HLOOKUP(B1787,pp3p1m!46:48,3,0),0)</f>
        <v>0</v>
      </c>
    </row>
    <row r="1788" spans="1:20" ht="22.2"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69"/>
      <c r="J1788" s="1969"/>
      <c r="K1788" s="1969"/>
      <c r="L1788" s="1969">
        <f t="shared" ref="L1788:L1789" si="306">L$1787*H1788</f>
        <v>0</v>
      </c>
      <c r="M1788" s="1969">
        <f t="shared" ref="M1788:M1789" si="307">M$1787*I1788</f>
        <v>0</v>
      </c>
      <c r="N1788" s="1969">
        <f t="shared" ref="N1788:N1789" si="308">N$1787*J1788</f>
        <v>0</v>
      </c>
      <c r="O1788" s="1969">
        <f t="shared" ref="O1788:O1789" si="309">O$1787*K1788</f>
        <v>0</v>
      </c>
      <c r="P1788" s="1846">
        <f>P$1787*$D1788</f>
        <v>0</v>
      </c>
      <c r="Q1788" s="1056"/>
      <c r="R1788" s="1056"/>
      <c r="S1788" s="1056"/>
      <c r="T1788" s="2058">
        <f>IFERROR(HLOOKUP(B1788,pp3p1m!47:49,3,0),0)</f>
        <v>0</v>
      </c>
    </row>
    <row r="1789" spans="1:20" ht="22.2"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69"/>
      <c r="J1789" s="1969"/>
      <c r="K1789" s="1969"/>
      <c r="L1789" s="1969">
        <f t="shared" si="306"/>
        <v>0</v>
      </c>
      <c r="M1789" s="1969">
        <f t="shared" si="307"/>
        <v>0</v>
      </c>
      <c r="N1789" s="1969">
        <f t="shared" si="308"/>
        <v>0</v>
      </c>
      <c r="O1789" s="1969">
        <f t="shared" si="309"/>
        <v>0</v>
      </c>
      <c r="P1789" s="1846">
        <f>P$1787*$D1789</f>
        <v>0</v>
      </c>
      <c r="Q1789" s="1056"/>
      <c r="R1789" s="1056"/>
      <c r="S1789" s="1056"/>
      <c r="T1789" s="2058">
        <f>IFERROR(HLOOKUP(B1789,pp3p1m!48:50,3,0),0)</f>
        <v>0</v>
      </c>
    </row>
    <row r="1790" spans="1:20" ht="22.2"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58">
        <f>IFERROR(HLOOKUP(B1790,pp3p1m!49:51,3,0),0)</f>
        <v>0</v>
      </c>
    </row>
    <row r="1791" spans="1:20" ht="22.2"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58">
        <f>IFERROR(HLOOKUP(B1791,pp3p1m!50:52,3,0),0)</f>
        <v>0</v>
      </c>
    </row>
    <row r="1792" spans="1:20" ht="22.2"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58">
        <f>IFERROR(HLOOKUP(B1792,pp3p1m!51:53,3,0),0)</f>
        <v>0</v>
      </c>
    </row>
    <row r="1793" spans="1:20" ht="22.2"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58">
        <f>IFERROR(HLOOKUP(B1793,pp3p1m!52:54,3,0),0)</f>
        <v>0</v>
      </c>
    </row>
    <row r="1794" spans="1:20" ht="22.2"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58">
        <f>IFERROR(HLOOKUP(B1794,pp3p1m!53:55,3,0),0)</f>
        <v>0</v>
      </c>
    </row>
    <row r="1795" spans="1:20" ht="22.2"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58">
        <f>IFERROR(HLOOKUP(B1795,pp3p1m!54:56,3,0),0)</f>
        <v>0</v>
      </c>
    </row>
    <row r="1796" spans="1:20" ht="22.2"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58">
        <f>IFERROR(HLOOKUP(B1796,pp3p1m!55:57,3,0),0)</f>
        <v>0</v>
      </c>
    </row>
    <row r="1797" spans="1:20" ht="22.2"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58">
        <f>IFERROR(HLOOKUP(B1797,pp3p1m!56:58,3,0),0)</f>
        <v>0</v>
      </c>
    </row>
    <row r="1798" spans="1:20" ht="22.2"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58">
        <f>IFERROR(HLOOKUP(B1798,pp3p1m!57:59,3,0),0)</f>
        <v>0</v>
      </c>
    </row>
    <row r="1799" spans="1:20" ht="22.2"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58">
        <f>IFERROR(HLOOKUP(B1799,pp3p1m!58:60,3,0),0)</f>
        <v>0</v>
      </c>
    </row>
    <row r="1800" spans="1:20" ht="22.2"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58">
        <f>IFERROR(HLOOKUP(B1800,pp3p1m!59:61,3,0),0)</f>
        <v>0</v>
      </c>
    </row>
    <row r="1801" spans="1:20" ht="22.2"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58">
        <f>IFERROR(HLOOKUP(B1801,pp3p1m!60:62,3,0),0)</f>
        <v>0</v>
      </c>
    </row>
    <row r="1802" spans="1:20" ht="22.2"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58">
        <f>IFERROR(HLOOKUP(B1802,pp3p1m!61:63,3,0),0)</f>
        <v>0</v>
      </c>
    </row>
    <row r="1803" spans="1:20" ht="22.2"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58">
        <f>IFERROR(HLOOKUP(B1803,pp3p1m!62:64,3,0),0)</f>
        <v>0</v>
      </c>
    </row>
    <row r="1804" spans="1:20" ht="22.2"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58">
        <f>IFERROR(HLOOKUP(B1804,pp3p1m!63:65,3,0),0)</f>
        <v>0</v>
      </c>
    </row>
    <row r="1805" spans="1:20" ht="22.2"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58">
        <f>IFERROR(HLOOKUP(B1805,pp3p1m!64:66,3,0),0)</f>
        <v>0</v>
      </c>
    </row>
    <row r="1806" spans="1:20" ht="22.2"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58">
        <f>IFERROR(HLOOKUP(B1806,pp3p1m!65:67,3,0),0)</f>
        <v>0</v>
      </c>
    </row>
    <row r="1807" spans="1:20" ht="22.2"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69">
        <f t="shared" si="302"/>
        <v>0</v>
      </c>
      <c r="Q1807" s="1056"/>
      <c r="R1807" s="1056"/>
      <c r="S1807" s="1056"/>
      <c r="T1807" s="2058">
        <f>IFERROR(HLOOKUP(B1807,pp3p1m!66:68,3,0),0)</f>
        <v>0</v>
      </c>
    </row>
    <row r="1808" spans="1:20" ht="22.2"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58">
        <f>IFERROR(HLOOKUP(B1808,pp3p1m!67:69,3,0),0)</f>
        <v>0</v>
      </c>
    </row>
    <row r="1809" spans="1:20" ht="22.2"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58">
        <f>IFERROR(HLOOKUP(B1809,pp3p1m!68:70,3,0),0)</f>
        <v>0</v>
      </c>
    </row>
    <row r="1810" spans="1:20" ht="22.2"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58">
        <f>IFERROR(HLOOKUP(B1810,pp3p1m!69:71,3,0),0)</f>
        <v>0</v>
      </c>
    </row>
    <row r="1811" spans="1:20" ht="22.2" customHeight="1">
      <c r="B1811" s="1581" t="s">
        <v>4762</v>
      </c>
      <c r="C1811" s="1855" t="str">
        <f t="shared" si="305"/>
        <v xml:space="preserve"> </v>
      </c>
      <c r="D1811" s="1551">
        <f>K1811</f>
        <v>0</v>
      </c>
      <c r="E1811" s="1047"/>
      <c r="F1811" s="1059" t="str">
        <f>VLOOKUP($B1811,DG!A:D,DG!$C$2,)</f>
        <v>Khánh lắp chuỗi sứ polymer kép</v>
      </c>
      <c r="G1811" s="1047" t="str">
        <f>VLOOKUP($B1811,DG!A:D,DG!$D$2,)</f>
        <v>cái</v>
      </c>
      <c r="H1811" s="1970">
        <f>K1811</f>
        <v>0</v>
      </c>
      <c r="I1811" s="1846"/>
      <c r="J1811" s="1846"/>
      <c r="K1811" s="1845">
        <f>IFERROR(HLOOKUP(B1811,pp3p1m!$1:$3,3,0),0)</f>
        <v>0</v>
      </c>
      <c r="L1811" s="1846"/>
      <c r="M1811" s="1846"/>
      <c r="N1811" s="1846"/>
      <c r="O1811" s="1848"/>
      <c r="P1811" s="1970"/>
      <c r="Q1811" s="1056"/>
      <c r="R1811" s="1056"/>
      <c r="S1811" s="1056"/>
      <c r="T1811" s="2058">
        <f>IFERROR(HLOOKUP(B1811,pp3p1m!70:72,3,0),0)</f>
        <v>0</v>
      </c>
    </row>
    <row r="1812" spans="1:20" ht="22.2" customHeight="1">
      <c r="A1812" s="59"/>
      <c r="B1812" s="1587" t="s">
        <v>4764</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58">
        <f>IFERROR(HLOOKUP(B1812,pp3p1m!71:73,3,0),0)</f>
        <v>0</v>
      </c>
    </row>
    <row r="1813" spans="1:20" ht="22.2"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58">
        <f>IFERROR(HLOOKUP(B1813,pp3p1m!72:74,3,0),0)</f>
        <v>0</v>
      </c>
    </row>
    <row r="1814" spans="1:20" ht="22.2"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58">
        <f>IFERROR(HLOOKUP(B1814,pp3p1m!73:75,3,0),0)</f>
        <v>0</v>
      </c>
    </row>
    <row r="1815" spans="1:20" ht="22.2"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58">
        <f>IFERROR(HLOOKUP(B1815,pp3p1m!74:76,3,0),0)</f>
        <v>0</v>
      </c>
    </row>
    <row r="1816" spans="1:20" ht="22.2"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58">
        <f>IFERROR(HLOOKUP(B1816,pp3p1m!75:77,3,0),0)</f>
        <v>0</v>
      </c>
    </row>
    <row r="1817" spans="1:20" ht="22.2"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58">
        <f>IFERROR(HLOOKUP(B1817,pp3p1m!76:78,3,0),0)</f>
        <v>0</v>
      </c>
    </row>
    <row r="1818" spans="1:20" ht="22.2"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58">
        <f>IFERROR(HLOOKUP(B1818,pp3p1m!77:79,3,0),0)</f>
        <v>0</v>
      </c>
    </row>
    <row r="1819" spans="1:20" ht="22.2"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58">
        <f>IFERROR(HLOOKUP(B1819,pp3p1m!78:80,3,0),0)</f>
        <v>0</v>
      </c>
    </row>
    <row r="1820" spans="1:20" ht="22.2"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58">
        <f>IFERROR(HLOOKUP(B1820,pp3p1m!79:81,3,0),0)</f>
        <v>0</v>
      </c>
    </row>
    <row r="1821" spans="1:20" ht="22.2"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58">
        <f>IFERROR(HLOOKUP(B1821,pp3p1m!80:82,3,0),0)</f>
        <v>0</v>
      </c>
    </row>
    <row r="1822" spans="1:20" ht="22.2"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58">
        <f>IFERROR(HLOOKUP(B1822,pp3p1m!81:83,3,0),0)</f>
        <v>0</v>
      </c>
    </row>
    <row r="1823" spans="1:20" ht="22.2"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58">
        <f>IFERROR(HLOOKUP(B1823,pp3p1m!82:84,3,0),0)</f>
        <v>0</v>
      </c>
    </row>
    <row r="1824" spans="1:20" ht="22.2"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58">
        <f>IFERROR(HLOOKUP(B1824,pp3p1m!83:85,3,0),0)</f>
        <v>0</v>
      </c>
    </row>
    <row r="1825" spans="1:20" ht="22.2"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69"/>
      <c r="O1825" s="1846"/>
      <c r="P1825" s="1846">
        <f t="shared" ref="P1825:P1840" si="320">P$1824*$D1825</f>
        <v>0</v>
      </c>
      <c r="Q1825" s="1846"/>
      <c r="R1825" s="1846"/>
      <c r="S1825" s="1056"/>
      <c r="T1825" s="2058">
        <f>IFERROR(HLOOKUP(B1825,pp3p1m!84:86,3,0),0)</f>
        <v>0</v>
      </c>
    </row>
    <row r="1826" spans="1:20" ht="22.2"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58">
        <f>IFERROR(HLOOKUP(B1826,pp3p1m!85:87,3,0),0)</f>
        <v>0</v>
      </c>
    </row>
    <row r="1827" spans="1:20" ht="22.2"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58">
        <f>IFERROR(HLOOKUP(B1827,pp3p1m!86:88,3,0),0)</f>
        <v>0</v>
      </c>
    </row>
    <row r="1828" spans="1:20" ht="22.2"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58">
        <f>IFERROR(HLOOKUP(B1828,pp3p1m!87:89,3,0),0)</f>
        <v>0</v>
      </c>
    </row>
    <row r="1829" spans="1:20" ht="22.2"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58">
        <f>IFERROR(HLOOKUP(B1829,pp3p1m!88:90,3,0),0)</f>
        <v>0</v>
      </c>
    </row>
    <row r="1830" spans="1:20" ht="22.2"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58">
        <f>IFERROR(HLOOKUP(B1830,pp3p1m!89:91,3,0),0)</f>
        <v>0</v>
      </c>
    </row>
    <row r="1831" spans="1:20" ht="22.2"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58">
        <f>IFERROR(HLOOKUP(B1831,pp3p1m!90:92,3,0),0)</f>
        <v>0</v>
      </c>
    </row>
    <row r="1832" spans="1:20" ht="22.2"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58">
        <f>IFERROR(HLOOKUP(B1832,pp3p1m!91:93,3,0),0)</f>
        <v>0</v>
      </c>
    </row>
    <row r="1833" spans="1:20" ht="22.2"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58">
        <f>IFERROR(HLOOKUP(B1833,pp3p1m!92:94,3,0),0)</f>
        <v>0</v>
      </c>
    </row>
    <row r="1834" spans="1:20" ht="22.2"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58">
        <f>IFERROR(HLOOKUP(B1834,pp3p1m!93:95,3,0),0)</f>
        <v>0</v>
      </c>
    </row>
    <row r="1835" spans="1:20" ht="22.2"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58">
        <f>IFERROR(HLOOKUP(B1835,pp3p1m!94:96,3,0),0)</f>
        <v>0</v>
      </c>
    </row>
    <row r="1836" spans="1:20" ht="22.2"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58">
        <f>IFERROR(HLOOKUP(B1836,pp3p1m!95:97,3,0),0)</f>
        <v>0</v>
      </c>
    </row>
    <row r="1837" spans="1:20" ht="22.2"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58">
        <f>IFERROR(HLOOKUP(B1837,pp3p1m!96:98,3,0),0)</f>
        <v>0</v>
      </c>
    </row>
    <row r="1838" spans="1:20" ht="22.2"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58">
        <f>IFERROR(HLOOKUP(B1838,pp3p1m!97:99,3,0),0)</f>
        <v>0</v>
      </c>
    </row>
    <row r="1839" spans="1:20" ht="22.2"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58">
        <f>IFERROR(HLOOKUP(B1839,pp3p1m!98:100,3,0),0)</f>
        <v>0</v>
      </c>
    </row>
    <row r="1840" spans="1:20" ht="22.2"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58">
        <f>IFERROR(HLOOKUP(B1840,pp3p1m!99:101,3,0),0)</f>
        <v>0</v>
      </c>
    </row>
    <row r="1841" spans="1:20" ht="22.2"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58">
        <f>IFERROR(HLOOKUP(B1841,pp3p1m!100:102,3,0),0)</f>
        <v>0</v>
      </c>
    </row>
    <row r="1842" spans="1:20" ht="22.2"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58">
        <f>IFERROR(HLOOKUP(B1842,pp3p1m!$1:$3,3,0),0)</f>
        <v>0</v>
      </c>
    </row>
    <row r="1843" spans="1:20" ht="22.2"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58">
        <f>IFERROR(HLOOKUP(B1843,pp3p1m!102:104,3,0),0)</f>
        <v>0</v>
      </c>
    </row>
    <row r="1844" spans="1:20" ht="22.2"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58">
        <f>IFERROR(HLOOKUP(B1844,pp3p1m!103:105,3,0),0)</f>
        <v>0</v>
      </c>
    </row>
    <row r="1845" spans="1:20" ht="22.2"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58">
        <f>IFERROR(HLOOKUP(B1845,pp3p1m!104:106,3,0),0)</f>
        <v>0</v>
      </c>
    </row>
    <row r="1846" spans="1:20" ht="22.2"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58">
        <f>IFERROR(HLOOKUP(B1846,pp3p1m!105:107,3,0),0)</f>
        <v>0</v>
      </c>
    </row>
    <row r="1847" spans="1:20" ht="22.2"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58">
        <f>IFERROR(HLOOKUP(B1847,pp3p1m!106:108,3,0),0)</f>
        <v>0</v>
      </c>
    </row>
    <row r="1848" spans="1:20" ht="22.2"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58">
        <f>IFERROR(HLOOKUP(B1848,pp3p1m!107:109,3,0),0)</f>
        <v>0</v>
      </c>
    </row>
    <row r="1849" spans="1:20" ht="22.2"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58">
        <f>IFERROR(HLOOKUP(B1849,pp3p1m!108:110,3,0),0)</f>
        <v>0</v>
      </c>
    </row>
    <row r="1850" spans="1:20" ht="22.2"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58">
        <f>IFERROR(HLOOKUP(B1850,pp3p1m!109:111,3,0),0)</f>
        <v>0</v>
      </c>
    </row>
    <row r="1851" spans="1:20" ht="22.2"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58">
        <f>IFERROR(HLOOKUP(B1851,pp3p1m!110:112,3,0),0)</f>
        <v>0</v>
      </c>
    </row>
    <row r="1852" spans="1:20" ht="22.2"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58">
        <f>IFERROR(HLOOKUP(B1852,pp3p1m!111:113,3,0),0)</f>
        <v>0</v>
      </c>
    </row>
    <row r="1853" spans="1:20" ht="22.2"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58">
        <f>IFERROR(HLOOKUP(B1853,pp3p1m!112:114,3,0),0)</f>
        <v>0</v>
      </c>
    </row>
    <row r="1854" spans="1:20" ht="22.2"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58">
        <f>IFERROR(HLOOKUP(B1854,pp3p1m!113:115,3,0),0)</f>
        <v>0</v>
      </c>
    </row>
    <row r="1855" spans="1:20" ht="22.2"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58">
        <f>IFERROR(HLOOKUP(B1855,pp3p1m!114:116,3,0),0)</f>
        <v>0</v>
      </c>
    </row>
    <row r="1856" spans="1:20" ht="22.2"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58">
        <f>IFERROR(HLOOKUP(B1856,pp3p1m!115:117,3,0),0)</f>
        <v>0</v>
      </c>
    </row>
    <row r="1857" spans="1:20" ht="22.2"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58">
        <f>IFERROR(HLOOKUP(B1857,pp3p1m!116:118,3,0),0)</f>
        <v>0</v>
      </c>
    </row>
    <row r="1858" spans="1:20" ht="22.2"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58">
        <f>IFERROR(HLOOKUP(B1858,pp3p1m!117:119,3,0),0)</f>
        <v>0</v>
      </c>
    </row>
    <row r="1859" spans="1:20" ht="22.2"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58">
        <f>IFERROR(HLOOKUP(B1859,pp3p1m!118:120,3,0),0)</f>
        <v>0</v>
      </c>
    </row>
    <row r="1860" spans="1:20" ht="22.2"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58">
        <f>IFERROR(HLOOKUP(B1860,pp3p1m!119:121,3,0),0)</f>
        <v>0</v>
      </c>
    </row>
    <row r="1861" spans="1:20" ht="22.2" customHeight="1">
      <c r="A1861" s="59"/>
      <c r="B1861" s="1594" t="s">
        <v>4756</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58">
        <f>IFERROR(HLOOKUP(B1861,pp3p1m!$1:$3,3,0),0)</f>
        <v>0</v>
      </c>
    </row>
    <row r="1862" spans="1:20" ht="22.2" customHeight="1">
      <c r="A1862" s="59"/>
      <c r="B1862" s="1594" t="s">
        <v>4757</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58">
        <f>IFERROR(HLOOKUP(B1862,pp3p1m!$1:$3,3,0),0)</f>
        <v>0</v>
      </c>
    </row>
    <row r="1863" spans="1:20" ht="22.2"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58">
        <f>IFERROR(HLOOKUP(B1863,pp3p1m!122:124,3,0),0)</f>
        <v>0</v>
      </c>
    </row>
    <row r="1864" spans="1:20" ht="22.2" customHeight="1">
      <c r="B1864" s="1587" t="s">
        <v>4494</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58">
        <f>IFERROR(HLOOKUP(B1864,pp3p1m!$1:$3,3,0),0)</f>
        <v>0</v>
      </c>
    </row>
    <row r="1865" spans="1:20" ht="22.2"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58">
        <f>IFERROR(HLOOKUP(B1865,pp3p1m!124:126,3,0),0)</f>
        <v>0</v>
      </c>
    </row>
    <row r="1866" spans="1:20" ht="22.2"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58">
        <f>IFERROR(HLOOKUP(B1866,pp3p1m!$1:$3,3,0),0)</f>
        <v>0</v>
      </c>
    </row>
    <row r="1867" spans="1:20" ht="22.2"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58">
        <f>IFERROR(HLOOKUP(B1867,pp3p1m!126:128,3,0),0)</f>
        <v>0</v>
      </c>
    </row>
    <row r="1868" spans="1:20" ht="22.2"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58">
        <f>IFERROR(HLOOKUP(B1868,pp3p1m!127:129,3,0),0)</f>
        <v>0</v>
      </c>
    </row>
    <row r="1869" spans="1:20" ht="22.2"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58">
        <f>IFERROR(HLOOKUP(B1869,pp3p1m!128:130,3,0),0)</f>
        <v>0</v>
      </c>
    </row>
    <row r="1870" spans="1:20" ht="22.2"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58">
        <f>IFERROR(HLOOKUP(B1870,pp3p1m!129:131,3,0),0)</f>
        <v>0</v>
      </c>
    </row>
    <row r="1871" spans="1:20" ht="22.2"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58">
        <f>IFERROR(HLOOKUP(B1871,pp3p1m!129:131,3,0),0)</f>
        <v>0</v>
      </c>
    </row>
    <row r="1872" spans="1:20" ht="22.2"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58">
        <f>IFERROR(HLOOKUP(B1872,pp3p1m!129:131,3,0),0)</f>
        <v>0</v>
      </c>
    </row>
    <row r="1873" spans="1:20" ht="22.2" hidden="1" customHeight="1">
      <c r="B1873" s="1587" t="s">
        <v>4495</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58">
        <f>IFERROR(HLOOKUP(B1873,pp3p1m!130:132,3,0),0)</f>
        <v>0</v>
      </c>
    </row>
    <row r="1874" spans="1:20" ht="22.2"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58">
        <f>IFERROR(HLOOKUP(B1874,pp3p1m!$1:$3,3,0),0)</f>
        <v>0</v>
      </c>
    </row>
    <row r="1875" spans="1:20" ht="22.2"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58">
        <f>IFERROR(HLOOKUP(B1875,pp3p1m!132:134,3,0),0)</f>
        <v>0</v>
      </c>
    </row>
    <row r="1876" spans="1:20" ht="22.2"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58">
        <f>IFERROR(HLOOKUP(B1876,pp3p1m!133:135,3,0),0)</f>
        <v>0</v>
      </c>
    </row>
    <row r="1877" spans="1:20" ht="22.2"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58">
        <f>IFERROR(HLOOKUP(B1877,pp3p1m!134:136,3,0),0)</f>
        <v>0</v>
      </c>
    </row>
    <row r="1878" spans="1:20" ht="22.2"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58">
        <f>IFERROR(HLOOKUP(B1878,pp3p1m!135:137,3,0),0)</f>
        <v>0</v>
      </c>
    </row>
    <row r="1879" spans="1:20" ht="22.2"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58">
        <f>IFERROR(HLOOKUP(B1879,pp3p1m!136:138,3,0),0)</f>
        <v>0</v>
      </c>
    </row>
    <row r="1880" spans="1:20" ht="22.2"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58">
        <f>IFERROR(HLOOKUP(B1880,pp3p1m!137:139,3,0),0)</f>
        <v>0</v>
      </c>
    </row>
    <row r="1881" spans="1:20" ht="22.2"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58">
        <f>IFERROR(HLOOKUP(B1881,pp3p1m!138:140,3,0),0)</f>
        <v>0</v>
      </c>
    </row>
    <row r="1882" spans="1:20" ht="22.2"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58">
        <f>IFERROR(HLOOKUP(B1882,pp3p1m!139:141,3,0),0)</f>
        <v>0</v>
      </c>
    </row>
    <row r="1883" spans="1:20" ht="22.2" customHeight="1">
      <c r="A1883" s="59"/>
      <c r="B1883" s="1587" t="s">
        <v>4876</v>
      </c>
      <c r="C1883" s="1015" t="str">
        <f t="shared" si="322"/>
        <v>x</v>
      </c>
      <c r="D1883" s="1558">
        <v>8</v>
      </c>
      <c r="E1883" s="1047"/>
      <c r="F1883" s="2274"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58">
        <f>IFERROR(HLOOKUP(B1883,pp3p1m!140:142,3,0),0)</f>
        <v>0</v>
      </c>
    </row>
    <row r="1884" spans="1:20" ht="22.2" customHeight="1">
      <c r="A1884" s="59"/>
      <c r="B1884" s="1587" t="s">
        <v>532</v>
      </c>
      <c r="C1884" s="1015" t="str">
        <f t="shared" si="322"/>
        <v>x</v>
      </c>
      <c r="D1884" s="1558">
        <v>8</v>
      </c>
      <c r="E1884" s="1047"/>
      <c r="F1884" s="2274"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58">
        <f>IFERROR(HLOOKUP(B1884,pp3p1m!141:143,3,0),0)</f>
        <v>0</v>
      </c>
    </row>
    <row r="1885" spans="1:20" ht="22.2" customHeight="1">
      <c r="A1885" s="59"/>
      <c r="B1885" s="1587" t="s">
        <v>1387</v>
      </c>
      <c r="C1885" s="1015" t="str">
        <f t="shared" si="322"/>
        <v>x</v>
      </c>
      <c r="D1885" s="1558">
        <v>8</v>
      </c>
      <c r="E1885" s="1047"/>
      <c r="F1885" s="2274"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58">
        <f>IFERROR(HLOOKUP(B1885,pp3p1m!142:144,3,0),0)</f>
        <v>0</v>
      </c>
    </row>
    <row r="1886" spans="1:20" ht="22.2" hidden="1" customHeight="1">
      <c r="A1886" s="59"/>
      <c r="B1886" s="1587" t="s">
        <v>1063</v>
      </c>
      <c r="C1886" s="1015" t="str">
        <f t="shared" si="322"/>
        <v xml:space="preserve"> </v>
      </c>
      <c r="D1886" s="1558"/>
      <c r="E1886" s="1047"/>
      <c r="F1886" s="2274"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58">
        <f>IFERROR(HLOOKUP(B1886,pp3p1m!143:145,3,0),0)</f>
        <v>0</v>
      </c>
    </row>
    <row r="1887" spans="1:20" ht="22.2"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58">
        <f>IFERROR(HLOOKUP(B1887,pp3p1m!144:146,3,0),0)</f>
        <v>0</v>
      </c>
    </row>
    <row r="1888" spans="1:20" ht="22.2"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58">
        <f>IFERROR(HLOOKUP(B1888,pp3p1m!145:147,3,0),0)</f>
        <v>0</v>
      </c>
    </row>
    <row r="1889" spans="1:20" ht="22.2"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58">
        <f>IFERROR(HLOOKUP(B1889,pp3p1m!146:148,3,0),0)</f>
        <v>0</v>
      </c>
    </row>
    <row r="1890" spans="1:20" ht="22.2"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58">
        <f>IFERROR(HLOOKUP(B1890,pp3p1m!147:149,3,0),0)</f>
        <v>0</v>
      </c>
    </row>
    <row r="1891" spans="1:20" ht="22.2"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58">
        <f>IFERROR(HLOOKUP(B1891,pp3p1m!$1:$3,3,0),0)</f>
        <v>0</v>
      </c>
    </row>
    <row r="1892" spans="1:20" ht="22.2"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58">
        <f>IFERROR(HLOOKUP(B1892,pp3p1m!149:151,3,0),0)</f>
        <v>0</v>
      </c>
    </row>
    <row r="1893" spans="1:20" ht="22.2" hidden="1" customHeight="1">
      <c r="B1893" s="1581" t="s">
        <v>4497</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58">
        <f>IFERROR(HLOOKUP(B1893,pp3p1m!150:152,3,0),0)</f>
        <v>0</v>
      </c>
    </row>
    <row r="1894" spans="1:20" ht="22.2" hidden="1" customHeight="1">
      <c r="A1894" s="59"/>
      <c r="B1894" s="1587" t="s">
        <v>4372</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58">
        <f>IFERROR(HLOOKUP(B1894,pp3p1m!$1:$3,3,0),0)</f>
        <v>0</v>
      </c>
    </row>
    <row r="1895" spans="1:20" ht="22.2"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58">
        <f>IFERROR(HLOOKUP(B1895,pp3p1m!$1:$3,3,0),0)</f>
        <v>0</v>
      </c>
    </row>
    <row r="1896" spans="1:20" ht="22.2"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58">
        <f>IFERROR(HLOOKUP(B1896,pp3p1m!153:155,3,0),0)</f>
        <v>0</v>
      </c>
    </row>
    <row r="1897" spans="1:20" ht="22.2"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5">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58">
        <f>IFERROR(HLOOKUP(B1897,pp3p1m!154:156,3,0),0)</f>
        <v>0</v>
      </c>
    </row>
    <row r="1898" spans="1:20" ht="22.2"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5">
        <f t="shared" si="333"/>
        <v>0</v>
      </c>
      <c r="I1898" s="1846"/>
      <c r="J1898" s="1846"/>
      <c r="K1898" s="1845">
        <f>IFERROR(HLOOKUP(B1898,pp3p1m!$1:$3,3,0),0)</f>
        <v>0</v>
      </c>
      <c r="L1898" s="1846"/>
      <c r="M1898" s="1846"/>
      <c r="N1898" s="1846"/>
      <c r="O1898" s="1846"/>
      <c r="P1898" s="1846">
        <f t="shared" si="331"/>
        <v>0</v>
      </c>
      <c r="Q1898" s="1056"/>
      <c r="R1898" s="1056"/>
      <c r="S1898" s="1056"/>
      <c r="T1898" s="2058">
        <f>IFERROR(HLOOKUP(B1898,pp3p1m!155:157,3,0),0)</f>
        <v>0</v>
      </c>
    </row>
    <row r="1899" spans="1:20" ht="22.2"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5">
        <f t="shared" si="333"/>
        <v>0</v>
      </c>
      <c r="I1899" s="1846"/>
      <c r="J1899" s="1846"/>
      <c r="K1899" s="1845">
        <f>IFERROR(HLOOKUP(B1899,pp3p1m!$1:$3,3,0),0)</f>
        <v>0</v>
      </c>
      <c r="L1899" s="1846"/>
      <c r="M1899" s="1846"/>
      <c r="N1899" s="1846"/>
      <c r="O1899" s="1846"/>
      <c r="P1899" s="1846">
        <f t="shared" si="331"/>
        <v>0</v>
      </c>
      <c r="Q1899" s="1056"/>
      <c r="R1899" s="1056"/>
      <c r="S1899" s="1056"/>
      <c r="T1899" s="2058">
        <f>IFERROR(HLOOKUP(B1899,pp3p1m!156:158,3,0),0)</f>
        <v>0</v>
      </c>
    </row>
    <row r="1900" spans="1:20" ht="22.2"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5">
        <f t="shared" si="333"/>
        <v>0</v>
      </c>
      <c r="I1900" s="1846"/>
      <c r="J1900" s="1846"/>
      <c r="K1900" s="1845">
        <f>IFERROR(HLOOKUP(B1900,pp3p1m!$1:$3,3,0),0)</f>
        <v>0</v>
      </c>
      <c r="L1900" s="1846"/>
      <c r="M1900" s="1846"/>
      <c r="N1900" s="1846"/>
      <c r="O1900" s="1846"/>
      <c r="P1900" s="1846">
        <f t="shared" si="331"/>
        <v>0</v>
      </c>
      <c r="Q1900" s="1056"/>
      <c r="R1900" s="1056"/>
      <c r="S1900" s="1056"/>
      <c r="T1900" s="2058">
        <f>IFERROR(HLOOKUP(B1900,pp3p1m!157:159,3,0),0)</f>
        <v>0</v>
      </c>
    </row>
    <row r="1901" spans="1:20" ht="22.2"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5">
        <f t="shared" si="333"/>
        <v>0</v>
      </c>
      <c r="I1901" s="1846"/>
      <c r="J1901" s="1846"/>
      <c r="K1901" s="1845">
        <f>IFERROR(HLOOKUP(B1901,pp3p1m!$1:$3,3,0),0)</f>
        <v>0</v>
      </c>
      <c r="L1901" s="1846"/>
      <c r="M1901" s="1846"/>
      <c r="N1901" s="1846"/>
      <c r="O1901" s="1846"/>
      <c r="P1901" s="1846">
        <f t="shared" si="331"/>
        <v>0</v>
      </c>
      <c r="Q1901" s="1056"/>
      <c r="R1901" s="1056"/>
      <c r="S1901" s="1056"/>
      <c r="T1901" s="2058">
        <f>IFERROR(HLOOKUP(B1901,pp3p1m!158:160,3,0),0)</f>
        <v>0</v>
      </c>
    </row>
    <row r="1902" spans="1:20" ht="22.2"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5">
        <f t="shared" si="333"/>
        <v>0</v>
      </c>
      <c r="I1902" s="1846"/>
      <c r="J1902" s="1846"/>
      <c r="K1902" s="1845">
        <f>IFERROR(HLOOKUP(B1902,pp3p1m!$1:$3,3,0),0)</f>
        <v>0</v>
      </c>
      <c r="L1902" s="1846"/>
      <c r="M1902" s="1846"/>
      <c r="N1902" s="1846"/>
      <c r="O1902" s="1846"/>
      <c r="P1902" s="1846">
        <f t="shared" si="331"/>
        <v>0</v>
      </c>
      <c r="Q1902" s="1056"/>
      <c r="R1902" s="1056"/>
      <c r="S1902" s="1056"/>
      <c r="T1902" s="2058">
        <f>IFERROR(HLOOKUP(B1902,pp3p1m!159:161,3,0),0)</f>
        <v>0</v>
      </c>
    </row>
    <row r="1903" spans="1:20" ht="22.2"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58">
        <f>IFERROR(HLOOKUP(B1903,pp3p1m!160:162,3,0),0)</f>
        <v>0</v>
      </c>
    </row>
    <row r="1904" spans="1:20" ht="22.2"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5">
        <f t="shared" si="333"/>
        <v>0</v>
      </c>
      <c r="I1904" s="1846"/>
      <c r="J1904" s="1846"/>
      <c r="K1904" s="1845">
        <f>IFERROR(HLOOKUP(B1904,pp3p1m!$1:$3,3,0),0)</f>
        <v>0</v>
      </c>
      <c r="L1904" s="1846"/>
      <c r="M1904" s="1846"/>
      <c r="N1904" s="1846"/>
      <c r="O1904" s="1846"/>
      <c r="P1904" s="1846">
        <f t="shared" si="331"/>
        <v>0</v>
      </c>
      <c r="Q1904" s="1067"/>
      <c r="R1904" s="1067"/>
      <c r="S1904" s="1067"/>
      <c r="T1904" s="2058">
        <f>IFERROR(HLOOKUP(B1904,pp3p1m!161:163,3,0),0)</f>
        <v>0</v>
      </c>
    </row>
    <row r="1905" spans="1:20" ht="22.2"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5">
        <f t="shared" si="333"/>
        <v>0</v>
      </c>
      <c r="I1905" s="1846"/>
      <c r="J1905" s="1846"/>
      <c r="K1905" s="1845">
        <f>IFERROR(HLOOKUP(B1905,pp3p1m!$1:$3,3,0),0)</f>
        <v>0</v>
      </c>
      <c r="L1905" s="1846"/>
      <c r="M1905" s="1846"/>
      <c r="N1905" s="1846"/>
      <c r="O1905" s="1846"/>
      <c r="P1905" s="1846">
        <f t="shared" si="331"/>
        <v>0</v>
      </c>
      <c r="Q1905" s="1067"/>
      <c r="R1905" s="1067"/>
      <c r="S1905" s="1067"/>
      <c r="T1905" s="2058">
        <f>IFERROR(HLOOKUP(B1905,pp3p1m!162:164,3,0),0)</f>
        <v>0</v>
      </c>
    </row>
    <row r="1906" spans="1:20" ht="22.2"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5">
        <f t="shared" si="333"/>
        <v>0</v>
      </c>
      <c r="I1906" s="1846"/>
      <c r="J1906" s="1846"/>
      <c r="K1906" s="1845">
        <f>IFERROR(HLOOKUP(B1906,pp3p1m!$1:$3,3,0),0)</f>
        <v>0</v>
      </c>
      <c r="L1906" s="1846"/>
      <c r="M1906" s="1846"/>
      <c r="N1906" s="1846"/>
      <c r="O1906" s="1846"/>
      <c r="P1906" s="1846">
        <f t="shared" si="331"/>
        <v>0</v>
      </c>
      <c r="Q1906" s="1067"/>
      <c r="R1906" s="1067"/>
      <c r="S1906" s="1067"/>
      <c r="T1906" s="2058">
        <f>IFERROR(HLOOKUP(B1906,pp3p1m!163:165,3,0),0)</f>
        <v>0</v>
      </c>
    </row>
    <row r="1907" spans="1:20" ht="22.2"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5">
        <f t="shared" si="333"/>
        <v>0</v>
      </c>
      <c r="I1907" s="1846"/>
      <c r="J1907" s="1846"/>
      <c r="K1907" s="1845">
        <f>IFERROR(HLOOKUP(B1907,pp3p1m!$1:$3,3,0),0)</f>
        <v>0</v>
      </c>
      <c r="L1907" s="1846"/>
      <c r="M1907" s="1846"/>
      <c r="N1907" s="1846"/>
      <c r="O1907" s="1846"/>
      <c r="P1907" s="1846">
        <f t="shared" si="331"/>
        <v>0</v>
      </c>
      <c r="Q1907" s="1067"/>
      <c r="R1907" s="1067"/>
      <c r="S1907" s="1067"/>
      <c r="T1907" s="2058">
        <f>IFERROR(HLOOKUP(B1907,pp3p1m!164:166,3,0),0)</f>
        <v>0</v>
      </c>
    </row>
    <row r="1908" spans="1:20" ht="22.2"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5">
        <f t="shared" si="333"/>
        <v>0</v>
      </c>
      <c r="I1908" s="1846"/>
      <c r="J1908" s="1846"/>
      <c r="K1908" s="1845">
        <f>IFERROR(HLOOKUP(B1908,pp3p1m!$1:$3,3,0),0)</f>
        <v>0</v>
      </c>
      <c r="L1908" s="1846"/>
      <c r="M1908" s="1846"/>
      <c r="N1908" s="1846"/>
      <c r="O1908" s="1846"/>
      <c r="P1908" s="1846">
        <f t="shared" si="331"/>
        <v>0</v>
      </c>
      <c r="Q1908" s="1056"/>
      <c r="R1908" s="1056"/>
      <c r="S1908" s="1056"/>
      <c r="T1908" s="2058">
        <f>IFERROR(HLOOKUP(B1908,pp3p1m!165:167,3,0),0)</f>
        <v>0</v>
      </c>
    </row>
    <row r="1909" spans="1:20" ht="22.2"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5">
        <f t="shared" si="333"/>
        <v>0</v>
      </c>
      <c r="I1909" s="1846"/>
      <c r="J1909" s="1846"/>
      <c r="K1909" s="1845">
        <f>IFERROR(HLOOKUP(B1909,pp3p1m!$1:$3,3,0),0)</f>
        <v>0</v>
      </c>
      <c r="L1909" s="1846"/>
      <c r="M1909" s="1846"/>
      <c r="N1909" s="1846"/>
      <c r="O1909" s="1846"/>
      <c r="P1909" s="1846">
        <f t="shared" si="331"/>
        <v>0</v>
      </c>
      <c r="Q1909" s="1056"/>
      <c r="R1909" s="1056"/>
      <c r="S1909" s="1056"/>
      <c r="T1909" s="2058">
        <f>IFERROR(HLOOKUP(B1909,pp3p1m!166:168,3,0),0)</f>
        <v>0</v>
      </c>
    </row>
    <row r="1910" spans="1:20" ht="22.2"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5">
        <f t="shared" si="333"/>
        <v>0</v>
      </c>
      <c r="I1910" s="1846"/>
      <c r="J1910" s="1846"/>
      <c r="K1910" s="1845">
        <f>IFERROR(HLOOKUP(B1910,pp3p1m!$1:$3,3,0),0)</f>
        <v>0</v>
      </c>
      <c r="L1910" s="1846"/>
      <c r="M1910" s="1846"/>
      <c r="N1910" s="1846"/>
      <c r="O1910" s="1846"/>
      <c r="P1910" s="1846">
        <f t="shared" si="331"/>
        <v>0</v>
      </c>
      <c r="Q1910" s="1056"/>
      <c r="R1910" s="1056"/>
      <c r="S1910" s="1056"/>
      <c r="T1910" s="2058">
        <f>IFERROR(HLOOKUP(B1910,pp3p1m!167:169,3,0),0)</f>
        <v>0</v>
      </c>
    </row>
    <row r="1911" spans="1:20" ht="22.2"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5">
        <f t="shared" si="333"/>
        <v>0</v>
      </c>
      <c r="I1911" s="1846"/>
      <c r="J1911" s="1846"/>
      <c r="K1911" s="1845">
        <f>IFERROR(HLOOKUP(B1911,pp3p1m!$1:$3,3,0),0)</f>
        <v>0</v>
      </c>
      <c r="L1911" s="1846"/>
      <c r="M1911" s="1846"/>
      <c r="N1911" s="1846"/>
      <c r="O1911" s="1846"/>
      <c r="P1911" s="1846">
        <f t="shared" si="331"/>
        <v>0</v>
      </c>
      <c r="Q1911" s="1056"/>
      <c r="R1911" s="1056"/>
      <c r="S1911" s="1056"/>
      <c r="T1911" s="2058">
        <f>IFERROR(HLOOKUP(B1911,pp3p1m!168:170,3,0),0)</f>
        <v>0</v>
      </c>
    </row>
    <row r="1912" spans="1:20" ht="22.2"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5">
        <f t="shared" si="333"/>
        <v>0</v>
      </c>
      <c r="I1912" s="1846"/>
      <c r="J1912" s="1846"/>
      <c r="K1912" s="1845">
        <f>IFERROR(HLOOKUP(B1912,pp3p1m!$1:$3,3,0),0)</f>
        <v>0</v>
      </c>
      <c r="L1912" s="1846"/>
      <c r="M1912" s="1846"/>
      <c r="N1912" s="1846"/>
      <c r="O1912" s="1846"/>
      <c r="P1912" s="1846">
        <f t="shared" si="331"/>
        <v>0</v>
      </c>
      <c r="Q1912" s="1056"/>
      <c r="R1912" s="1056"/>
      <c r="S1912" s="1056"/>
      <c r="T1912" s="2058">
        <f>IFERROR(HLOOKUP(B1912,pp3p1m!169:171,3,0),0)</f>
        <v>0</v>
      </c>
    </row>
    <row r="1913" spans="1:20" ht="22.2"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5">
        <f t="shared" si="333"/>
        <v>0</v>
      </c>
      <c r="I1913" s="1846"/>
      <c r="J1913" s="1846"/>
      <c r="K1913" s="1845">
        <f>IFERROR(HLOOKUP(B1913,pp3p1m!$1:$3,3,0),0)</f>
        <v>0</v>
      </c>
      <c r="L1913" s="1846"/>
      <c r="M1913" s="1846"/>
      <c r="N1913" s="1846"/>
      <c r="O1913" s="1846"/>
      <c r="P1913" s="1846">
        <f t="shared" si="331"/>
        <v>0</v>
      </c>
      <c r="Q1913" s="1056"/>
      <c r="R1913" s="1056"/>
      <c r="S1913" s="1056"/>
      <c r="T1913" s="2058">
        <f>IFERROR(HLOOKUP(B1913,pp3p1m!170:172,3,0),0)</f>
        <v>0</v>
      </c>
    </row>
    <row r="1914" spans="1:20" ht="22.2"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5">
        <f t="shared" si="333"/>
        <v>0</v>
      </c>
      <c r="I1914" s="1846"/>
      <c r="J1914" s="1846"/>
      <c r="K1914" s="1845">
        <f>IFERROR(HLOOKUP(B1914,pp3p1m!$1:$3,3,0),0)</f>
        <v>0</v>
      </c>
      <c r="L1914" s="1846"/>
      <c r="M1914" s="1846"/>
      <c r="N1914" s="1846"/>
      <c r="O1914" s="1846"/>
      <c r="P1914" s="1846">
        <f t="shared" si="331"/>
        <v>0</v>
      </c>
      <c r="Q1914" s="1061"/>
      <c r="R1914" s="1061"/>
      <c r="S1914" s="1061"/>
      <c r="T1914" s="2058">
        <f>IFERROR(HLOOKUP(B1914,pp3p1m!171:173,3,0),0)</f>
        <v>0</v>
      </c>
    </row>
    <row r="1915" spans="1:20" ht="22.2"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5">
        <f t="shared" si="333"/>
        <v>0</v>
      </c>
      <c r="I1915" s="1846"/>
      <c r="J1915" s="1846"/>
      <c r="K1915" s="1845">
        <f>IFERROR(HLOOKUP(B1915,pp3p1m!$1:$3,3,0),0)</f>
        <v>0</v>
      </c>
      <c r="L1915" s="1846"/>
      <c r="M1915" s="1846"/>
      <c r="N1915" s="1846"/>
      <c r="O1915" s="1846"/>
      <c r="P1915" s="1846">
        <f t="shared" si="331"/>
        <v>0</v>
      </c>
      <c r="Q1915" s="1056"/>
      <c r="R1915" s="1056"/>
      <c r="S1915" s="1056"/>
      <c r="T1915" s="2058">
        <f>IFERROR(HLOOKUP(B1915,pp3p1m!172:174,3,0),0)</f>
        <v>0</v>
      </c>
    </row>
    <row r="1916" spans="1:20" ht="22.2"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58">
        <f>IFERROR(HLOOKUP(B1916,pp3p1m!173:175,3,0),0)</f>
        <v>0</v>
      </c>
    </row>
    <row r="1917" spans="1:20" ht="22.2"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5">
        <f t="shared" si="333"/>
        <v>0</v>
      </c>
      <c r="I1917" s="1846"/>
      <c r="J1917" s="1846"/>
      <c r="K1917" s="1845">
        <f>IFERROR(HLOOKUP(B1917,pp3p1m!$1:$3,3,0),0)</f>
        <v>0</v>
      </c>
      <c r="L1917" s="1846"/>
      <c r="M1917" s="1846"/>
      <c r="N1917" s="1846"/>
      <c r="O1917" s="1846"/>
      <c r="P1917" s="1846">
        <f t="shared" si="331"/>
        <v>0</v>
      </c>
      <c r="Q1917" s="1056"/>
      <c r="R1917" s="1056"/>
      <c r="S1917" s="1056"/>
      <c r="T1917" s="2058">
        <f>IFERROR(HLOOKUP(B1917,pp3p1m!174:176,3,0),0)</f>
        <v>0</v>
      </c>
    </row>
    <row r="1918" spans="1:20" ht="22.2"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58">
        <f>IFERROR(HLOOKUP(B1918,pp3p1m!175:177,3,0),0)</f>
        <v>0</v>
      </c>
    </row>
    <row r="1919" spans="1:20" ht="22.2"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5">
        <f t="shared" si="333"/>
        <v>0</v>
      </c>
      <c r="I1919" s="1846"/>
      <c r="J1919" s="1846"/>
      <c r="K1919" s="1845">
        <f>IFERROR(HLOOKUP(B1919,pp3p1m!$1:$3,3,0),0)</f>
        <v>0</v>
      </c>
      <c r="L1919" s="1846"/>
      <c r="M1919" s="1846"/>
      <c r="N1919" s="1846"/>
      <c r="O1919" s="1846"/>
      <c r="P1919" s="1846">
        <f t="shared" si="331"/>
        <v>0</v>
      </c>
      <c r="Q1919" s="1056"/>
      <c r="R1919" s="1056"/>
      <c r="S1919" s="1056"/>
      <c r="T1919" s="2058">
        <f>IFERROR(HLOOKUP(B1919,pp3p1m!176:178,3,0),0)</f>
        <v>0</v>
      </c>
    </row>
    <row r="1920" spans="1:20" ht="22.2"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5">
        <f t="shared" si="333"/>
        <v>0</v>
      </c>
      <c r="I1920" s="1846"/>
      <c r="J1920" s="1846"/>
      <c r="K1920" s="1845">
        <f>IFERROR(HLOOKUP(B1920,pp3p1m!$1:$3,3,0),0)</f>
        <v>0</v>
      </c>
      <c r="L1920" s="1846"/>
      <c r="M1920" s="1846"/>
      <c r="N1920" s="1846"/>
      <c r="O1920" s="1846"/>
      <c r="P1920" s="1846">
        <f t="shared" si="331"/>
        <v>0</v>
      </c>
      <c r="Q1920" s="1056"/>
      <c r="R1920" s="1056"/>
      <c r="S1920" s="1056"/>
      <c r="T1920" s="2058">
        <f>IFERROR(HLOOKUP(B1920,pp3p1m!177:179,3,0),0)</f>
        <v>0</v>
      </c>
    </row>
    <row r="1921" spans="1:20" ht="22.2"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5">
        <f t="shared" si="333"/>
        <v>0</v>
      </c>
      <c r="I1921" s="1846"/>
      <c r="J1921" s="1846"/>
      <c r="K1921" s="1845">
        <f>IFERROR(HLOOKUP(B1921,pp3p1m!$1:$3,3,0),0)</f>
        <v>0</v>
      </c>
      <c r="L1921" s="1846"/>
      <c r="M1921" s="1846"/>
      <c r="N1921" s="1846"/>
      <c r="O1921" s="1846"/>
      <c r="P1921" s="1846">
        <f t="shared" si="331"/>
        <v>0</v>
      </c>
      <c r="Q1921" s="1061"/>
      <c r="R1921" s="1061"/>
      <c r="S1921" s="1061"/>
      <c r="T1921" s="2058">
        <f>IFERROR(HLOOKUP(B1921,pp3p1m!178:180,3,0),0)</f>
        <v>0</v>
      </c>
    </row>
    <row r="1922" spans="1:20" ht="22.2"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58">
        <f>IFERROR(HLOOKUP(B1922,pp3p1m!179:181,3,0),0)</f>
        <v>0</v>
      </c>
    </row>
    <row r="1923" spans="1:20" ht="22.2"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5">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58">
        <f>IFERROR(HLOOKUP(B1923,pp3p1m!180:182,3,0),0)</f>
        <v>0</v>
      </c>
    </row>
    <row r="1924" spans="1:20" ht="22.2" hidden="1" customHeight="1">
      <c r="A1924" s="59"/>
      <c r="B1924" s="1587" t="s">
        <v>4516</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58">
        <f>IFERROR(HLOOKUP(B1924,pp3p1m!181:183,3,0),0)</f>
        <v>0</v>
      </c>
    </row>
    <row r="1925" spans="1:20" ht="22.2"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58">
        <f>IFERROR(HLOOKUP(B1925,pp3p1m!182:184,3,0),0)</f>
        <v>0</v>
      </c>
    </row>
    <row r="1926" spans="1:20" ht="22.2"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58">
        <f>IFERROR(HLOOKUP(B1926,pp3p1m!183:185,3,0),0)</f>
        <v>0</v>
      </c>
    </row>
    <row r="1927" spans="1:20" ht="22.2"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58">
        <f>IFERROR(HLOOKUP(B1927,pp3p1m!184:186,3,0),0)</f>
        <v>0</v>
      </c>
    </row>
    <row r="1928" spans="1:20" ht="22.2" hidden="1" customHeight="1">
      <c r="A1928" s="59"/>
      <c r="B1928" s="1587" t="s">
        <v>4516</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58">
        <f>IFERROR(HLOOKUP(B1928,pp3p1m!185:187,3,0),0)</f>
        <v>0</v>
      </c>
    </row>
    <row r="1929" spans="1:20" ht="22.2"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58">
        <f>IFERROR(HLOOKUP(B1929,pp3p1m!186:188,3,0),0)</f>
        <v>0</v>
      </c>
    </row>
    <row r="1930" spans="1:20" ht="22.2"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58">
        <f>IFERROR(HLOOKUP(B1930,pp3p1m!187:189,3,0),0)</f>
        <v>0</v>
      </c>
    </row>
    <row r="1931" spans="1:20" ht="22.2"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58">
        <f>IFERROR(HLOOKUP(B1931,pp3p1m!188:190,3,0),0)</f>
        <v>0</v>
      </c>
    </row>
    <row r="1932" spans="1:20" ht="22.2"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58">
        <f>IFERROR(HLOOKUP(B1932,pp3p1m!189:191,3,0),0)</f>
        <v>0</v>
      </c>
    </row>
    <row r="1933" spans="1:20" ht="22.2"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58">
        <f>IFERROR(HLOOKUP(B1933,pp3p1m!190:192,3,0),0)</f>
        <v>0</v>
      </c>
    </row>
    <row r="1934" spans="1:20" ht="22.2"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58">
        <f>IFERROR(HLOOKUP(B1934,pp3p1m!191:193,3,0),0)</f>
        <v>0</v>
      </c>
    </row>
    <row r="1935" spans="1:20" ht="22.2"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58">
        <f>IFERROR(HLOOKUP(B1935,pp3p1m!192:194,3,0),0)</f>
        <v>0</v>
      </c>
    </row>
    <row r="1936" spans="1:20" ht="22.2"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58">
        <f>IFERROR(HLOOKUP(B1936,pp3p1m!193:195,3,0),0)</f>
        <v>0</v>
      </c>
    </row>
    <row r="1937" spans="1:20" ht="22.2"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58">
        <f>IFERROR(HLOOKUP(B1937,pp3p1m!194:196,3,0),0)</f>
        <v>0</v>
      </c>
    </row>
    <row r="1938" spans="1:20" ht="22.2"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58">
        <f>IFERROR(HLOOKUP(B1938,pp3p1m!195:197,3,0),0)</f>
        <v>0</v>
      </c>
    </row>
    <row r="1939" spans="1:20" ht="22.2"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58">
        <f>IFERROR(HLOOKUP(B1939,pp3p1m!196:198,3,0),0)</f>
        <v>0</v>
      </c>
    </row>
    <row r="1940" spans="1:20" ht="22.2"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58">
        <f>IFERROR(HLOOKUP(B1940,pp3p1m!197:199,3,0),0)</f>
        <v>0</v>
      </c>
    </row>
    <row r="1941" spans="1:20" ht="22.2"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58">
        <f>IFERROR(HLOOKUP(B1941,pp3p1m!198:200,3,0),0)</f>
        <v>0</v>
      </c>
    </row>
    <row r="1942" spans="1:20" ht="22.2"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58">
        <f>IFERROR(HLOOKUP(B1942,pp3p1m!199:201,3,0),0)</f>
        <v>0</v>
      </c>
    </row>
    <row r="1943" spans="1:20" ht="22.2"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58">
        <f>IFERROR(HLOOKUP(B1943,pp3p1m!200:202,3,0),0)</f>
        <v>0</v>
      </c>
    </row>
    <row r="1944" spans="1:20" ht="22.2"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58">
        <f>IFERROR(HLOOKUP(B1944,pp3p1m!201:203,3,0),0)</f>
        <v>0</v>
      </c>
    </row>
    <row r="1945" spans="1:20" ht="22.2"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58">
        <f>IFERROR(HLOOKUP(B1945,pp3p1m!202:204,3,0),0)</f>
        <v>0</v>
      </c>
    </row>
    <row r="1946" spans="1:20" ht="22.2"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58">
        <f>IFERROR(HLOOKUP(B1946,pp3p1m!203:205,3,0),0)</f>
        <v>0</v>
      </c>
    </row>
    <row r="1947" spans="1:20" ht="22.2" hidden="1" customHeight="1">
      <c r="A1947" s="56" t="s">
        <v>1984</v>
      </c>
      <c r="B1947" s="1584" t="s">
        <v>1984</v>
      </c>
      <c r="C1947" s="1015" t="str">
        <f t="shared" si="334"/>
        <v xml:space="preserve"> </v>
      </c>
      <c r="D1947" s="1542"/>
      <c r="E1947" s="1049" t="s">
        <v>2178</v>
      </c>
      <c r="F1947" s="1396" t="s">
        <v>4575</v>
      </c>
      <c r="G1947" s="1049" t="s">
        <v>2309</v>
      </c>
      <c r="H1947" s="1844">
        <f>SUM(I1947:O1947)</f>
        <v>0</v>
      </c>
      <c r="I1947" s="1845"/>
      <c r="J1947" s="1845"/>
      <c r="K1947" s="1845"/>
      <c r="L1947" s="1845">
        <f>IF(SUM(L1948:L1950)&gt;0,1,0)</f>
        <v>0</v>
      </c>
      <c r="M1947" s="1845"/>
      <c r="N1947" s="1845"/>
      <c r="O1947" s="1845"/>
      <c r="P1947" s="1845"/>
      <c r="Q1947" s="1050"/>
      <c r="R1947" s="1050"/>
      <c r="S1947" s="1050"/>
      <c r="T1947" s="2058">
        <f>IFERROR(HLOOKUP(B1947,pp1p!$1:$3,3,0),0)</f>
        <v>0</v>
      </c>
    </row>
    <row r="1948" spans="1:20" ht="22.2"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58">
        <f>IFERROR(HLOOKUP(B1948,pp1p!$1:$3,3,0),0)</f>
        <v>0</v>
      </c>
    </row>
    <row r="1949" spans="1:20" ht="22.2"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0">
        <f>D1949</f>
        <v>0</v>
      </c>
      <c r="I1949" s="1969"/>
      <c r="J1949" s="1969"/>
      <c r="K1949" s="1969"/>
      <c r="L1949" s="2167">
        <f>IFERROR(HLOOKUP(chitiet!B1949,pp1p!$1:$3,3,0),0)</f>
        <v>0</v>
      </c>
      <c r="M1949" s="1969"/>
      <c r="N1949" s="1969"/>
      <c r="O1949" s="1969"/>
      <c r="P1949" s="1970">
        <f t="shared" si="337"/>
        <v>0</v>
      </c>
      <c r="Q1949" s="1056"/>
      <c r="R1949" s="1056"/>
      <c r="S1949" s="1056"/>
      <c r="T1949" s="2058">
        <f>IFERROR(HLOOKUP(B1949,pp1p!$1:$3,3,0),0)</f>
        <v>0</v>
      </c>
    </row>
    <row r="1950" spans="1:20" ht="22.2"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0">
        <f>D1950</f>
        <v>0</v>
      </c>
      <c r="I1950" s="1969"/>
      <c r="J1950" s="1969"/>
      <c r="K1950" s="1969"/>
      <c r="L1950" s="2167">
        <f>IFERROR(HLOOKUP(chitiet!B1950,pp1p!$1:$3,3,0),0)</f>
        <v>0</v>
      </c>
      <c r="M1950" s="1969"/>
      <c r="N1950" s="1969"/>
      <c r="O1950" s="1969"/>
      <c r="P1950" s="1970">
        <f t="shared" si="337"/>
        <v>0</v>
      </c>
      <c r="Q1950" s="1056"/>
      <c r="R1950" s="1056"/>
      <c r="S1950" s="1056"/>
      <c r="T1950" s="2058">
        <f>IFERROR(HLOOKUP(B1950,pp1p!$1:$3,3,0),0)</f>
        <v>0</v>
      </c>
    </row>
    <row r="1951" spans="1:20" ht="22.2"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58">
        <f>IFERROR(HLOOKUP(B1951,pp1p!$1:$3,3,0),0)</f>
        <v>0</v>
      </c>
    </row>
    <row r="1952" spans="1:20" ht="22.2"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58">
        <f>IFERROR(HLOOKUP(B1952,pp1p!$1:$3,3,0),0)</f>
        <v>0</v>
      </c>
    </row>
    <row r="1953" spans="1:20" ht="22.2"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58">
        <f>IFERROR(HLOOKUP(B1953,pp1p!$1:$3,3,0),0)</f>
        <v>0</v>
      </c>
    </row>
    <row r="1954" spans="1:20" ht="22.2"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58">
        <f>IFERROR(HLOOKUP(B1954,pp1p!$1:$3,3,0),0)</f>
        <v>0</v>
      </c>
    </row>
    <row r="1955" spans="1:20" ht="22.2"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58">
        <f>IFERROR(HLOOKUP(B1955,pp1p!$1:$3,3,0),0)</f>
        <v>0</v>
      </c>
    </row>
    <row r="1956" spans="1:20" ht="22.2"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58">
        <f>IFERROR(HLOOKUP(B1956,pp1p!$1:$3,3,0),0)</f>
        <v>0</v>
      </c>
    </row>
    <row r="1957" spans="1:20" ht="22.2"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58">
        <f>IFERROR(HLOOKUP(B1957,pp1p!$1:$3,3,0),0)</f>
        <v>0</v>
      </c>
    </row>
    <row r="1958" spans="1:20" ht="22.2"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58">
        <f>IFERROR(HLOOKUP(B1958,pp1p!$1:$3,3,0),0)</f>
        <v>0</v>
      </c>
    </row>
    <row r="1959" spans="1:20" ht="22.2"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58">
        <f>IFERROR(HLOOKUP(B1959,pp1p!$1:$3,3,0),0)</f>
        <v>0</v>
      </c>
    </row>
    <row r="1960" spans="1:20" ht="22.2"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58">
        <f>IFERROR(HLOOKUP(B1960,pp1p!$1:$3,3,0),0)</f>
        <v>0</v>
      </c>
    </row>
    <row r="1961" spans="1:20" ht="22.2"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58">
        <f>IFERROR(HLOOKUP(B1961,pp1p!$1:$3,3,0),0)</f>
        <v>0</v>
      </c>
    </row>
    <row r="1962" spans="1:20" ht="22.2"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58">
        <f>IFERROR(HLOOKUP(B1962,pp1p!$1:$3,3,0),0)</f>
        <v>0</v>
      </c>
    </row>
    <row r="1963" spans="1:20" ht="22.2"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58">
        <f>IFERROR(HLOOKUP(B1963,pp1p!$1:$3,3,0),0)</f>
        <v>0</v>
      </c>
    </row>
    <row r="1964" spans="1:20" ht="22.2"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58">
        <f>IFERROR(HLOOKUP(B1964,pp1p!$1:$3,3,0),0)</f>
        <v>0</v>
      </c>
    </row>
    <row r="1965" spans="1:20" ht="22.2"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58">
        <f>IFERROR(HLOOKUP(B1965,pp1p!$1:$3,3,0),0)</f>
        <v>0</v>
      </c>
    </row>
    <row r="1966" spans="1:20" ht="22.2"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58">
        <f>IFERROR(HLOOKUP(B1966,pp1p!$1:$3,3,0),0)</f>
        <v>0</v>
      </c>
    </row>
    <row r="1967" spans="1:20" ht="22.2"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58">
        <f>IFERROR(HLOOKUP(B1967,pp1p!$1:$3,3,0),0)</f>
        <v>0</v>
      </c>
    </row>
    <row r="1968" spans="1:20" ht="22.2"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58">
        <f>IFERROR(HLOOKUP(B1968,pp1p!$1:$3,3,0),0)</f>
        <v>0</v>
      </c>
    </row>
    <row r="1969" spans="1:20" ht="22.2"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58">
        <f>IFERROR(HLOOKUP(B1969,pp1p!$1:$3,3,0),0)</f>
        <v>0</v>
      </c>
    </row>
    <row r="1970" spans="1:20" ht="22.2"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58">
        <f>IFERROR(HLOOKUP(B1970,pp1p!$1:$3,3,0),0)</f>
        <v>0</v>
      </c>
    </row>
    <row r="1971" spans="1:20" ht="22.2"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58">
        <f>IFERROR(HLOOKUP(B1971,pp1p!$1:$3,3,0),0)</f>
        <v>0</v>
      </c>
    </row>
    <row r="1972" spans="1:20" ht="22.2"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58">
        <f>IFERROR(HLOOKUP(B1972,pp1p!$1:$3,3,0),0)</f>
        <v>0</v>
      </c>
    </row>
    <row r="1973" spans="1:20" ht="22.2"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58">
        <f>IFERROR(HLOOKUP(B1973,pp1p!$1:$3,3,0),0)</f>
        <v>0</v>
      </c>
    </row>
    <row r="1974" spans="1:20" ht="22.2"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58">
        <f>IFERROR(HLOOKUP(B1974,pp1p!$1:$3,3,0),0)</f>
        <v>0</v>
      </c>
    </row>
    <row r="1975" spans="1:20" ht="22.2"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58">
        <f>IFERROR(HLOOKUP(B1975,pp1p!$1:$3,3,0),0)</f>
        <v>0</v>
      </c>
    </row>
    <row r="1976" spans="1:20" ht="22.2"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58">
        <f>IFERROR(HLOOKUP(B1976,pp1p!$1:$3,3,0),0)</f>
        <v>0</v>
      </c>
    </row>
    <row r="1977" spans="1:20" ht="22.2"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58">
        <f>IFERROR(HLOOKUP(B1977,pp1p!$1:$3,3,0),0)</f>
        <v>0</v>
      </c>
    </row>
    <row r="1978" spans="1:20" ht="22.2"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58">
        <f>IFERROR(HLOOKUP(B1978,pp1p!$1:$3,3,0),0)</f>
        <v>0</v>
      </c>
    </row>
    <row r="1979" spans="1:20" ht="22.2"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58">
        <f>IFERROR(HLOOKUP(B1979,pp1p!$1:$3,3,0),0)</f>
        <v>0</v>
      </c>
    </row>
    <row r="1980" spans="1:20" ht="22.2"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58">
        <f>IFERROR(HLOOKUP(B1980,pp1p!$1:$3,3,0),0)</f>
        <v>0</v>
      </c>
    </row>
    <row r="1981" spans="1:20" ht="22.2"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58">
        <f>IFERROR(HLOOKUP(B1981,pp1p!$1:$3,3,0),0)</f>
        <v>0</v>
      </c>
    </row>
    <row r="1982" spans="1:20" ht="22.2"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58">
        <f>IFERROR(HLOOKUP(B1982,pp1p!$1:$3,3,0),0)</f>
        <v>0</v>
      </c>
    </row>
    <row r="1983" spans="1:20" ht="22.2"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58">
        <f>IFERROR(HLOOKUP(B1983,pp1p!$1:$3,3,0),0)</f>
        <v>0</v>
      </c>
    </row>
    <row r="1984" spans="1:20" ht="22.2"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58">
        <f>IFERROR(HLOOKUP(B1984,pp1p!$1:$3,3,0),0)</f>
        <v>0</v>
      </c>
    </row>
    <row r="1985" spans="1:20" ht="22.2"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58">
        <f>IFERROR(HLOOKUP(B1985,pp1p!$1:$3,3,0),0)</f>
        <v>0</v>
      </c>
    </row>
    <row r="1986" spans="1:20" ht="22.2"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58">
        <f>IFERROR(HLOOKUP(B1986,pp1p!$1:$3,3,0),0)</f>
        <v>0</v>
      </c>
    </row>
    <row r="1987" spans="1:20" ht="22.2"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58">
        <f>IFERROR(HLOOKUP(B1987,pp1p!$1:$3,3,0),0)</f>
        <v>0</v>
      </c>
    </row>
    <row r="1988" spans="1:20" ht="22.2" hidden="1" customHeight="1">
      <c r="A1988" s="59"/>
      <c r="B1988" s="1587" t="s">
        <v>4530</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58">
        <f>IFERROR(HLOOKUP(B1988,pp1p!$1:$3,3,0),0)</f>
        <v>0</v>
      </c>
    </row>
    <row r="1989" spans="1:20" ht="22.2"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58">
        <f>IFERROR(HLOOKUP(B1989,pp1p!$1:$3,3,0),0)</f>
        <v>0</v>
      </c>
    </row>
    <row r="1990" spans="1:20" ht="22.2"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58">
        <f>IFERROR(HLOOKUP(B1990,pp1p!$1:$3,3,0),0)</f>
        <v>0</v>
      </c>
    </row>
    <row r="1991" spans="1:20" ht="22.2"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58">
        <f>IFERROR(HLOOKUP(B1991,pp1p!$1:$3,3,0),0)</f>
        <v>0</v>
      </c>
    </row>
    <row r="1992" spans="1:20" ht="22.2"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58">
        <f>IFERROR(HLOOKUP(B1992,pp1p!$1:$3,3,0),0)</f>
        <v>0</v>
      </c>
    </row>
    <row r="1993" spans="1:20" ht="22.2"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58">
        <f>IFERROR(HLOOKUP(B1993,pp1p!$1:$3,3,0),0)</f>
        <v>0</v>
      </c>
    </row>
    <row r="1994" spans="1:20" ht="22.2"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58">
        <f>IFERROR(HLOOKUP(B1994,pp1p!$1:$3,3,0),0)</f>
        <v>0</v>
      </c>
    </row>
    <row r="1995" spans="1:20" ht="22.2"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58">
        <f>IFERROR(HLOOKUP(B1995,pp1p!$1:$3,3,0),0)</f>
        <v>0</v>
      </c>
    </row>
    <row r="1996" spans="1:20" ht="22.2"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58">
        <f>IFERROR(HLOOKUP(B1996,pp1p!$1:$3,3,0),0)</f>
        <v>0</v>
      </c>
    </row>
    <row r="1997" spans="1:20" ht="22.2"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58">
        <f>IFERROR(HLOOKUP(B1997,pp1p!$1:$3,3,0),0)</f>
        <v>0</v>
      </c>
    </row>
    <row r="1998" spans="1:20" ht="22.2"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58">
        <f>IFERROR(HLOOKUP(B1998,pp1p!$1:$3,3,0),0)</f>
        <v>0</v>
      </c>
    </row>
    <row r="1999" spans="1:20" ht="22.2"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58">
        <f>IFERROR(HLOOKUP(B1999,pp1p!$1:$3,3,0),0)</f>
        <v>0</v>
      </c>
    </row>
    <row r="2000" spans="1:20" ht="22.2"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58">
        <f>IFERROR(HLOOKUP(B2000,pp1p!$1:$3,3,0),0)</f>
        <v>0</v>
      </c>
    </row>
    <row r="2001" spans="1:20" ht="22.2"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58">
        <f>IFERROR(HLOOKUP(B2001,pp1p!$1:$3,3,0),0)</f>
        <v>0</v>
      </c>
    </row>
    <row r="2002" spans="1:20" ht="22.2"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58">
        <f>IFERROR(HLOOKUP(B2002,pp1p!$1:$3,3,0),0)</f>
        <v>0</v>
      </c>
    </row>
    <row r="2003" spans="1:20" ht="22.2"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58">
        <f>IFERROR(HLOOKUP(B2003,pp1p!$1:$3,3,0),0)</f>
        <v>0</v>
      </c>
    </row>
    <row r="2004" spans="1:20" ht="22.2"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58">
        <f>IFERROR(HLOOKUP(B2004,pp1p!$1:$3,3,0),0)</f>
        <v>0</v>
      </c>
    </row>
    <row r="2005" spans="1:20" ht="22.2"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58">
        <f>IFERROR(HLOOKUP(B2005,pp1p!$1:$3,3,0),0)</f>
        <v>0</v>
      </c>
    </row>
    <row r="2006" spans="1:20" ht="22.2"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58">
        <f>IFERROR(HLOOKUP(B2006,pp1p!$1:$3,3,0),0)</f>
        <v>0</v>
      </c>
    </row>
    <row r="2007" spans="1:20" ht="22.2"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58">
        <f>IFERROR(HLOOKUP(B2007,pp1p!$1:$3,3,0),0)</f>
        <v>0</v>
      </c>
    </row>
    <row r="2008" spans="1:20" ht="22.2"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58">
        <f>IFERROR(HLOOKUP(B2008,pp1p!$1:$3,3,0),0)</f>
        <v>0</v>
      </c>
    </row>
    <row r="2009" spans="1:20" ht="22.2"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58">
        <f>IFERROR(HLOOKUP(B2009,pp1p!$1:$3,3,0),0)</f>
        <v>0</v>
      </c>
    </row>
    <row r="2010" spans="1:20" ht="22.2"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58">
        <f>IFERROR(HLOOKUP(B2010,pp1p!$1:$3,3,0),0)</f>
        <v>0</v>
      </c>
    </row>
    <row r="2011" spans="1:20" ht="22.2"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58">
        <f>IFERROR(HLOOKUP(B2011,pp1p!$1:$3,3,0),0)</f>
        <v>0</v>
      </c>
    </row>
    <row r="2012" spans="1:20" ht="22.2"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58">
        <f>IFERROR(HLOOKUP(B2012,pp1p!$1:$3,3,0),0)</f>
        <v>0</v>
      </c>
    </row>
    <row r="2013" spans="1:20" ht="22.2"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58">
        <f>IFERROR(HLOOKUP(B2013,pp1p!$1:$3,3,0),0)</f>
        <v>0</v>
      </c>
    </row>
    <row r="2014" spans="1:20" ht="22.2"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58">
        <f>IFERROR(HLOOKUP(B2014,pp1p!$1:$3,3,0),0)</f>
        <v>0</v>
      </c>
    </row>
    <row r="2015" spans="1:20" ht="22.2" hidden="1" customHeight="1">
      <c r="A2015" s="59"/>
      <c r="B2015" s="1594" t="s">
        <v>4574</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58">
        <f>IFERROR(HLOOKUP(B2015,pp1p!$1:$3,3,0),0)</f>
        <v>0</v>
      </c>
    </row>
    <row r="2016" spans="1:20" ht="22.2"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58">
        <f>IFERROR(HLOOKUP(B2016,pp1p!$1:$3,3,0),0)</f>
        <v>0</v>
      </c>
    </row>
    <row r="2017" spans="1:20" ht="22.2"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58">
        <f>IFERROR(HLOOKUP(B2017,pp1p!$1:$3,3,0),0)</f>
        <v>0</v>
      </c>
    </row>
    <row r="2018" spans="1:20" ht="22.2"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58">
        <f>IFERROR(HLOOKUP(B2018,pp1p!$1:$3,3,0),0)</f>
        <v>0</v>
      </c>
    </row>
    <row r="2019" spans="1:20" ht="22.2"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58">
        <f>IFERROR(HLOOKUP(B2019,pp1p!$1:$3,3,0),0)</f>
        <v>0</v>
      </c>
    </row>
    <row r="2020" spans="1:20" ht="22.2"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58">
        <f>IFERROR(HLOOKUP(B2020,pp1p!$1:$3,3,0),0)</f>
        <v>0</v>
      </c>
    </row>
    <row r="2021" spans="1:20" ht="22.2"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58">
        <f>IFERROR(HLOOKUP(B2021,pp1p!$1:$3,3,0),0)</f>
        <v>0</v>
      </c>
    </row>
    <row r="2022" spans="1:20" ht="22.2"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69"/>
      <c r="I2022" s="1846"/>
      <c r="J2022" s="1846"/>
      <c r="K2022" s="1846"/>
      <c r="L2022" s="1845">
        <f>IFERROR(HLOOKUP(chitiet!B2022,pp1p!$1:$3,3,0),0)</f>
        <v>0</v>
      </c>
      <c r="M2022" s="1846"/>
      <c r="N2022" s="1846"/>
      <c r="O2022" s="1846"/>
      <c r="P2022" s="1846">
        <f t="shared" ref="P2022" si="348">H2022+Q2022-R2022</f>
        <v>0</v>
      </c>
      <c r="Q2022" s="1056"/>
      <c r="R2022" s="1056"/>
      <c r="S2022" s="1056"/>
      <c r="T2022" s="2058">
        <f>IFERROR(HLOOKUP(B2022,pp1p!$1:$3,3,0),0)</f>
        <v>0</v>
      </c>
    </row>
    <row r="2023" spans="1:20" ht="22.2" hidden="1" customHeight="1">
      <c r="A2023" s="59"/>
      <c r="B2023" s="1594" t="s">
        <v>4777</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58">
        <f>IFERROR(HLOOKUP(B2023,pp1p!$1:$3,3,0),0)</f>
        <v>0</v>
      </c>
    </row>
    <row r="2024" spans="1:20" ht="22.2"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58">
        <f>IFERROR(HLOOKUP(B2024,pp1p!$1:$3,3,0),0)</f>
        <v>0</v>
      </c>
    </row>
    <row r="2025" spans="1:20" ht="22.2"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58">
        <f>IFERROR(HLOOKUP(B2025,pp1p!$1:$3,3,0),0)</f>
        <v>0</v>
      </c>
    </row>
    <row r="2026" spans="1:20" ht="22.2"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58">
        <f>IFERROR(HLOOKUP(B2026,pp1p!$1:$3,3,0),0)</f>
        <v>0</v>
      </c>
    </row>
    <row r="2027" spans="1:20" ht="22.2"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58">
        <f>IFERROR(HLOOKUP(B2027,pp1p!$1:$3,3,0),0)</f>
        <v>0</v>
      </c>
    </row>
    <row r="2028" spans="1:20" ht="22.2"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58">
        <f>IFERROR(HLOOKUP(B2028,pp1p!$1:$3,3,0),0)</f>
        <v>0</v>
      </c>
    </row>
    <row r="2029" spans="1:20" ht="22.2"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58">
        <f>IFERROR(HLOOKUP(B2029,pp1p!$1:$3,3,0),0)</f>
        <v>0</v>
      </c>
    </row>
    <row r="2030" spans="1:20" ht="22.2"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58">
        <f>IFERROR(HLOOKUP(B2030,pp1p!$1:$3,3,0),0)</f>
        <v>0</v>
      </c>
    </row>
    <row r="2031" spans="1:20" ht="22.2"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58">
        <f>IFERROR(HLOOKUP(B2031,pp1p!$1:$3,3,0),0)</f>
        <v>0</v>
      </c>
    </row>
    <row r="2032" spans="1:20" ht="22.2"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58">
        <f>IFERROR(HLOOKUP(B2032,pp1p!$1:$3,3,0),0)</f>
        <v>0</v>
      </c>
    </row>
    <row r="2033" spans="1:20" ht="22.2"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58">
        <f>IFERROR(HLOOKUP(B2033,pp1p!$1:$3,3,0),0)</f>
        <v>0</v>
      </c>
    </row>
    <row r="2034" spans="1:20" ht="22.2"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58">
        <f>IFERROR(HLOOKUP(B2034,pp1p!$1:$3,3,0),0)</f>
        <v>0</v>
      </c>
    </row>
    <row r="2035" spans="1:20" ht="22.2"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58">
        <f>IFERROR(HLOOKUP(B2035,pp1p!$1:$3,3,0),0)</f>
        <v>0</v>
      </c>
    </row>
    <row r="2036" spans="1:20" ht="22.2"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58">
        <f>IFERROR(HLOOKUP(B2036,pp1p!$1:$3,3,0),0)</f>
        <v>0</v>
      </c>
    </row>
    <row r="2037" spans="1:20" ht="22.2"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58">
        <f>IFERROR(HLOOKUP(B2037,pp1p!$1:$3,3,0),0)</f>
        <v>0</v>
      </c>
    </row>
    <row r="2038" spans="1:20" ht="22.2"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58">
        <f>IFERROR(HLOOKUP(B2038,pp1p!$1:$3,3,0),0)</f>
        <v>0</v>
      </c>
    </row>
    <row r="2039" spans="1:20" ht="22.2"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58">
        <f>IFERROR(HLOOKUP(B2039,pp1p!$1:$3,3,0),0)</f>
        <v>0</v>
      </c>
    </row>
    <row r="2040" spans="1:20" ht="22.2"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58">
        <f>IFERROR(HLOOKUP(B2040,pp1p!$1:$3,3,0),0)</f>
        <v>0</v>
      </c>
    </row>
    <row r="2041" spans="1:20" ht="22.2"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58">
        <f>IFERROR(HLOOKUP(B2041,pp1p!$1:$3,3,0),0)</f>
        <v>0</v>
      </c>
    </row>
    <row r="2042" spans="1:20" ht="22.2"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58">
        <f t="shared" ref="T2042:T2085" si="351">IFERROR(HLOOKUP(B2042,BangKeTru,3,0),0)</f>
        <v>0</v>
      </c>
    </row>
    <row r="2043" spans="1:20" ht="22.2"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58">
        <f t="shared" si="351"/>
        <v>0</v>
      </c>
    </row>
    <row r="2044" spans="1:20" ht="22.2"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58">
        <f t="shared" si="351"/>
        <v>0</v>
      </c>
    </row>
    <row r="2045" spans="1:20" ht="22.2"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58">
        <f t="shared" si="351"/>
        <v>0</v>
      </c>
    </row>
    <row r="2046" spans="1:20" ht="22.2"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58">
        <f t="shared" si="351"/>
        <v>0</v>
      </c>
    </row>
    <row r="2047" spans="1:20" ht="22.2"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58">
        <f t="shared" si="351"/>
        <v>0</v>
      </c>
    </row>
    <row r="2048" spans="1:20" ht="22.2"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58">
        <f t="shared" si="351"/>
        <v>0</v>
      </c>
    </row>
    <row r="2049" spans="1:20" ht="22.2"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58">
        <f t="shared" si="351"/>
        <v>0</v>
      </c>
    </row>
    <row r="2050" spans="1:20" ht="22.2"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58">
        <f t="shared" si="351"/>
        <v>0</v>
      </c>
    </row>
    <row r="2051" spans="1:20" ht="22.2"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58">
        <f t="shared" si="351"/>
        <v>0</v>
      </c>
    </row>
    <row r="2052" spans="1:20" ht="22.2"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58">
        <f t="shared" si="351"/>
        <v>0</v>
      </c>
    </row>
    <row r="2053" spans="1:20" ht="22.2"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58">
        <f t="shared" si="351"/>
        <v>0</v>
      </c>
    </row>
    <row r="2054" spans="1:20" ht="22.2"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58">
        <f t="shared" si="351"/>
        <v>0</v>
      </c>
    </row>
    <row r="2055" spans="1:20" ht="22.2"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58">
        <f t="shared" si="351"/>
        <v>0</v>
      </c>
    </row>
    <row r="2056" spans="1:20" ht="22.2"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58">
        <f t="shared" si="351"/>
        <v>0</v>
      </c>
    </row>
    <row r="2057" spans="1:20" ht="22.2"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58">
        <f t="shared" si="351"/>
        <v>0</v>
      </c>
    </row>
    <row r="2058" spans="1:20" ht="22.2"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58">
        <f t="shared" si="351"/>
        <v>0</v>
      </c>
    </row>
    <row r="2059" spans="1:20" ht="22.2"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58">
        <f t="shared" si="351"/>
        <v>0</v>
      </c>
    </row>
    <row r="2060" spans="1:20" ht="22.2"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58">
        <f t="shared" si="351"/>
        <v>0</v>
      </c>
    </row>
    <row r="2061" spans="1:20" ht="22.2"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58">
        <f t="shared" si="351"/>
        <v>0</v>
      </c>
    </row>
    <row r="2062" spans="1:20" ht="22.2"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58">
        <f t="shared" si="351"/>
        <v>0</v>
      </c>
    </row>
    <row r="2063" spans="1:20" ht="22.2"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58">
        <f t="shared" si="351"/>
        <v>0</v>
      </c>
    </row>
    <row r="2064" spans="1:20" ht="22.2"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58">
        <f t="shared" si="351"/>
        <v>0</v>
      </c>
    </row>
    <row r="2065" spans="1:20" ht="22.2"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58">
        <f t="shared" si="351"/>
        <v>0</v>
      </c>
    </row>
    <row r="2066" spans="1:20" ht="22.2"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58">
        <f t="shared" si="351"/>
        <v>0</v>
      </c>
    </row>
    <row r="2067" spans="1:20" ht="22.2" hidden="1" customHeight="1">
      <c r="A2067" s="59"/>
      <c r="B2067" s="1587" t="s">
        <v>4350</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58">
        <f t="shared" si="351"/>
        <v>0</v>
      </c>
    </row>
    <row r="2068" spans="1:20" ht="22.2"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58">
        <f t="shared" si="351"/>
        <v>0</v>
      </c>
    </row>
    <row r="2069" spans="1:20" ht="22.2"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58">
        <f t="shared" si="351"/>
        <v>0</v>
      </c>
    </row>
    <row r="2070" spans="1:20" ht="22.2"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58">
        <f t="shared" si="351"/>
        <v>0</v>
      </c>
    </row>
    <row r="2071" spans="1:20" ht="22.2"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58">
        <f t="shared" si="351"/>
        <v>0</v>
      </c>
    </row>
    <row r="2072" spans="1:20" ht="22.2"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58">
        <f t="shared" si="351"/>
        <v>0</v>
      </c>
    </row>
    <row r="2073" spans="1:20" ht="22.2" hidden="1" customHeight="1">
      <c r="A2073" s="59"/>
      <c r="B2073" s="1587" t="s">
        <v>4352</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58">
        <f t="shared" si="351"/>
        <v>0</v>
      </c>
    </row>
    <row r="2074" spans="1:20" ht="22.2"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58">
        <f t="shared" si="351"/>
        <v>0</v>
      </c>
    </row>
    <row r="2075" spans="1:20" ht="22.2"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58">
        <f t="shared" si="351"/>
        <v>0</v>
      </c>
    </row>
    <row r="2076" spans="1:20" ht="22.2"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58">
        <f t="shared" si="351"/>
        <v>0</v>
      </c>
    </row>
    <row r="2077" spans="1:20" ht="22.2"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58">
        <f t="shared" si="351"/>
        <v>0</v>
      </c>
    </row>
    <row r="2078" spans="1:20" ht="22.2"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58">
        <f t="shared" si="351"/>
        <v>0</v>
      </c>
    </row>
    <row r="2079" spans="1:20" ht="22.2"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58">
        <f t="shared" si="351"/>
        <v>0</v>
      </c>
    </row>
    <row r="2080" spans="1:20" ht="22.2"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58">
        <f t="shared" si="351"/>
        <v>0</v>
      </c>
    </row>
    <row r="2081" spans="1:20" ht="22.2"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58">
        <f t="shared" si="351"/>
        <v>0</v>
      </c>
    </row>
    <row r="2082" spans="1:20" ht="22.2"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58">
        <f t="shared" si="351"/>
        <v>0</v>
      </c>
    </row>
    <row r="2083" spans="1:20" ht="22.2"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58">
        <f t="shared" si="351"/>
        <v>0</v>
      </c>
    </row>
    <row r="2084" spans="1:20" ht="22.2"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58">
        <f t="shared" si="351"/>
        <v>0</v>
      </c>
    </row>
    <row r="2085" spans="1:20" ht="22.2"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58">
        <f t="shared" si="351"/>
        <v>0</v>
      </c>
    </row>
    <row r="2086" spans="1:20" ht="22.2"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58">
        <f t="shared" ref="T2086:T2149" si="360">IFERROR(HLOOKUP(B2086,BangKeTru,3,0),0)</f>
        <v>0</v>
      </c>
    </row>
    <row r="2087" spans="1:20" ht="22.2"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58">
        <f t="shared" si="360"/>
        <v>0</v>
      </c>
    </row>
    <row r="2088" spans="1:20" ht="22.2"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58">
        <f t="shared" si="360"/>
        <v>0</v>
      </c>
    </row>
    <row r="2089" spans="1:20" ht="22.2"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58">
        <f t="shared" si="360"/>
        <v>0</v>
      </c>
    </row>
    <row r="2090" spans="1:20" ht="22.2" hidden="1" customHeight="1">
      <c r="A2090" s="59"/>
      <c r="B2090" s="1587" t="s">
        <v>4320</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58">
        <f t="shared" si="360"/>
        <v>0</v>
      </c>
    </row>
    <row r="2091" spans="1:20" ht="22.2"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58">
        <f t="shared" si="360"/>
        <v>0</v>
      </c>
    </row>
    <row r="2092" spans="1:20" ht="22.2" hidden="1" customHeight="1">
      <c r="A2092" s="59"/>
      <c r="B2092" s="1619" t="s">
        <v>4319</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58">
        <f t="shared" si="360"/>
        <v>0</v>
      </c>
    </row>
    <row r="2093" spans="1:20" ht="22.2"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58">
        <f t="shared" si="360"/>
        <v>0</v>
      </c>
    </row>
    <row r="2094" spans="1:20" ht="22.2"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58">
        <f t="shared" si="360"/>
        <v>0</v>
      </c>
    </row>
    <row r="2095" spans="1:20" ht="22.2"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58">
        <f t="shared" si="360"/>
        <v>0</v>
      </c>
    </row>
    <row r="2096" spans="1:20" ht="22.2"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58">
        <f t="shared" si="360"/>
        <v>0</v>
      </c>
    </row>
    <row r="2097" spans="1:20" ht="22.2"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58">
        <f t="shared" si="360"/>
        <v>0</v>
      </c>
    </row>
    <row r="2098" spans="1:20" ht="22.2"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58">
        <f t="shared" si="360"/>
        <v>0</v>
      </c>
    </row>
    <row r="2099" spans="1:20" ht="22.2"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58">
        <f t="shared" si="360"/>
        <v>0</v>
      </c>
    </row>
    <row r="2100" spans="1:20" ht="22.2"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58">
        <f t="shared" si="360"/>
        <v>0</v>
      </c>
    </row>
    <row r="2101" spans="1:20" ht="22.2"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58">
        <f t="shared" si="360"/>
        <v>0</v>
      </c>
    </row>
    <row r="2102" spans="1:20" ht="22.2"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58">
        <f t="shared" si="360"/>
        <v>0</v>
      </c>
    </row>
    <row r="2103" spans="1:20" ht="22.2"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58">
        <f t="shared" si="360"/>
        <v>0</v>
      </c>
    </row>
    <row r="2104" spans="1:20" ht="22.2"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58">
        <f t="shared" si="360"/>
        <v>0</v>
      </c>
    </row>
    <row r="2105" spans="1:20" ht="22.2"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58">
        <f t="shared" si="360"/>
        <v>0</v>
      </c>
    </row>
    <row r="2106" spans="1:20" ht="22.2"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58">
        <f t="shared" si="360"/>
        <v>0</v>
      </c>
    </row>
    <row r="2107" spans="1:20" ht="22.2"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58">
        <f t="shared" si="360"/>
        <v>0</v>
      </c>
    </row>
    <row r="2108" spans="1:20" ht="22.2"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58">
        <f t="shared" si="360"/>
        <v>0</v>
      </c>
    </row>
    <row r="2109" spans="1:20" ht="22.2"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58">
        <f t="shared" si="360"/>
        <v>0</v>
      </c>
    </row>
    <row r="2110" spans="1:20" ht="22.2"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58">
        <f t="shared" si="360"/>
        <v>0</v>
      </c>
    </row>
    <row r="2111" spans="1:20" ht="22.2"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58">
        <f t="shared" si="360"/>
        <v>0</v>
      </c>
    </row>
    <row r="2112" spans="1:20" ht="22.2"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58">
        <f t="shared" si="360"/>
        <v>0</v>
      </c>
    </row>
    <row r="2113" spans="1:20" ht="22.2"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58">
        <f t="shared" si="360"/>
        <v>0</v>
      </c>
    </row>
    <row r="2114" spans="1:20" ht="22.2"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58">
        <f t="shared" si="360"/>
        <v>0</v>
      </c>
    </row>
    <row r="2115" spans="1:20" ht="22.2"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58">
        <f t="shared" si="360"/>
        <v>0</v>
      </c>
    </row>
    <row r="2116" spans="1:20" ht="22.2"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58">
        <f t="shared" si="360"/>
        <v>0</v>
      </c>
    </row>
    <row r="2117" spans="1:20" ht="22.2"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58">
        <f t="shared" si="360"/>
        <v>0</v>
      </c>
    </row>
    <row r="2118" spans="1:20" ht="22.2"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58">
        <f t="shared" si="360"/>
        <v>0</v>
      </c>
    </row>
    <row r="2119" spans="1:20" ht="22.2"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58">
        <f t="shared" si="360"/>
        <v>0</v>
      </c>
    </row>
    <row r="2120" spans="1:20" ht="22.2"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58">
        <f t="shared" si="360"/>
        <v>0</v>
      </c>
    </row>
    <row r="2121" spans="1:20" ht="22.2"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58">
        <f t="shared" si="360"/>
        <v>0</v>
      </c>
    </row>
    <row r="2122" spans="1:20" ht="22.2"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58">
        <f t="shared" si="360"/>
        <v>0</v>
      </c>
    </row>
    <row r="2123" spans="1:20" ht="22.2"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58">
        <f t="shared" si="360"/>
        <v>0</v>
      </c>
    </row>
    <row r="2124" spans="1:20" ht="22.2"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58">
        <f t="shared" si="360"/>
        <v>0</v>
      </c>
    </row>
    <row r="2125" spans="1:20" ht="22.2"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58">
        <f t="shared" si="360"/>
        <v>0</v>
      </c>
    </row>
    <row r="2126" spans="1:20" ht="22.2"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58">
        <f t="shared" si="360"/>
        <v>0</v>
      </c>
    </row>
    <row r="2127" spans="1:20" ht="22.2"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58">
        <f t="shared" si="360"/>
        <v>0</v>
      </c>
    </row>
    <row r="2128" spans="1:20" ht="22.2"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58">
        <f t="shared" si="360"/>
        <v>0</v>
      </c>
    </row>
    <row r="2129" spans="1:20" ht="22.2"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58">
        <f t="shared" si="360"/>
        <v>0</v>
      </c>
    </row>
    <row r="2130" spans="1:20" ht="22.2"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58">
        <f t="shared" si="360"/>
        <v>0</v>
      </c>
    </row>
    <row r="2131" spans="1:20" ht="22.2"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58">
        <f t="shared" si="360"/>
        <v>0</v>
      </c>
    </row>
    <row r="2132" spans="1:20" ht="22.2"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58">
        <f t="shared" si="360"/>
        <v>0</v>
      </c>
    </row>
    <row r="2133" spans="1:20" ht="22.2"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58">
        <f t="shared" si="360"/>
        <v>0</v>
      </c>
    </row>
    <row r="2134" spans="1:20" ht="22.2"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58">
        <f t="shared" si="360"/>
        <v>0</v>
      </c>
    </row>
    <row r="2135" spans="1:20" ht="22.2"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58">
        <f t="shared" si="360"/>
        <v>0</v>
      </c>
    </row>
    <row r="2136" spans="1:20" ht="22.2"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58">
        <f t="shared" si="360"/>
        <v>0</v>
      </c>
    </row>
    <row r="2137" spans="1:20" ht="22.2"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58">
        <f t="shared" si="360"/>
        <v>0</v>
      </c>
    </row>
    <row r="2138" spans="1:20" ht="22.2"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58">
        <f t="shared" si="360"/>
        <v>0</v>
      </c>
    </row>
    <row r="2139" spans="1:20" ht="22.2"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58">
        <f t="shared" si="360"/>
        <v>0</v>
      </c>
    </row>
    <row r="2140" spans="1:20" ht="22.2"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58">
        <f t="shared" si="360"/>
        <v>0</v>
      </c>
    </row>
    <row r="2141" spans="1:20" ht="22.2"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58">
        <f t="shared" si="360"/>
        <v>0</v>
      </c>
    </row>
    <row r="2142" spans="1:20" ht="22.2"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58">
        <f t="shared" si="360"/>
        <v>0</v>
      </c>
    </row>
    <row r="2143" spans="1:20" ht="22.2"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58">
        <f t="shared" si="360"/>
        <v>0</v>
      </c>
    </row>
    <row r="2144" spans="1:20" ht="22.2"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58">
        <f t="shared" si="360"/>
        <v>0</v>
      </c>
    </row>
    <row r="2145" spans="1:20" ht="22.2"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58">
        <f t="shared" si="360"/>
        <v>0</v>
      </c>
    </row>
    <row r="2146" spans="1:20" ht="22.2"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58">
        <f t="shared" si="360"/>
        <v>0</v>
      </c>
    </row>
    <row r="2147" spans="1:20" ht="22.2"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58">
        <f t="shared" si="360"/>
        <v>0</v>
      </c>
    </row>
    <row r="2148" spans="1:20" ht="22.2"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58">
        <f t="shared" si="360"/>
        <v>0</v>
      </c>
    </row>
    <row r="2149" spans="1:20" ht="22.2"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58">
        <f t="shared" si="360"/>
        <v>0</v>
      </c>
    </row>
    <row r="2150" spans="1:20" ht="22.2"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58">
        <f t="shared" ref="T2150:T2213" si="367">IFERROR(HLOOKUP(B2150,BangKeTru,3,0),0)</f>
        <v>0</v>
      </c>
    </row>
    <row r="2151" spans="1:20" ht="22.2"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58">
        <f t="shared" si="367"/>
        <v>0</v>
      </c>
    </row>
    <row r="2152" spans="1:20" ht="22.2"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58">
        <f t="shared" si="367"/>
        <v>0</v>
      </c>
    </row>
    <row r="2153" spans="1:20" ht="22.2"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58">
        <f t="shared" si="367"/>
        <v>0</v>
      </c>
    </row>
    <row r="2154" spans="1:20" ht="22.2"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58">
        <f t="shared" si="367"/>
        <v>0</v>
      </c>
    </row>
    <row r="2155" spans="1:20" ht="22.2"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58">
        <f t="shared" si="367"/>
        <v>0</v>
      </c>
    </row>
    <row r="2156" spans="1:20" ht="22.2"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58">
        <f t="shared" si="367"/>
        <v>0</v>
      </c>
    </row>
    <row r="2157" spans="1:20" ht="22.2"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58">
        <f t="shared" si="367"/>
        <v>0</v>
      </c>
    </row>
    <row r="2158" spans="1:20" ht="22.2"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58">
        <f t="shared" si="367"/>
        <v>0</v>
      </c>
    </row>
    <row r="2159" spans="1:20" ht="22.2"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58">
        <f t="shared" si="367"/>
        <v>0</v>
      </c>
    </row>
    <row r="2160" spans="1:20" ht="22.2"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58">
        <f t="shared" si="367"/>
        <v>0</v>
      </c>
    </row>
    <row r="2161" spans="1:20" ht="22.2"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58">
        <f t="shared" si="367"/>
        <v>0</v>
      </c>
    </row>
    <row r="2162" spans="1:20" ht="22.2"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58">
        <f t="shared" si="367"/>
        <v>0</v>
      </c>
    </row>
    <row r="2163" spans="1:20" ht="22.2"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58">
        <f t="shared" si="367"/>
        <v>0</v>
      </c>
    </row>
    <row r="2164" spans="1:20" ht="22.2"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58">
        <f t="shared" si="367"/>
        <v>0</v>
      </c>
    </row>
    <row r="2165" spans="1:20" ht="22.2"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58">
        <f t="shared" si="367"/>
        <v>0</v>
      </c>
    </row>
    <row r="2166" spans="1:20" ht="22.2"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58">
        <f t="shared" si="367"/>
        <v>0</v>
      </c>
    </row>
    <row r="2167" spans="1:20" ht="22.2"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58">
        <f t="shared" si="367"/>
        <v>0</v>
      </c>
    </row>
    <row r="2168" spans="1:20" ht="22.2"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58">
        <f t="shared" si="367"/>
        <v>0</v>
      </c>
    </row>
    <row r="2169" spans="1:20" ht="22.2"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58">
        <f t="shared" si="367"/>
        <v>0</v>
      </c>
    </row>
    <row r="2170" spans="1:20" ht="22.2"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58">
        <f t="shared" si="367"/>
        <v>0</v>
      </c>
    </row>
    <row r="2171" spans="1:20" ht="22.2"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58">
        <f t="shared" si="367"/>
        <v>0</v>
      </c>
    </row>
    <row r="2172" spans="1:20" ht="22.2"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58">
        <f t="shared" si="367"/>
        <v>0</v>
      </c>
    </row>
    <row r="2173" spans="1:20" ht="22.2"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58">
        <f t="shared" si="367"/>
        <v>0</v>
      </c>
    </row>
    <row r="2174" spans="1:20" ht="22.2"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58">
        <f t="shared" si="367"/>
        <v>0</v>
      </c>
    </row>
    <row r="2175" spans="1:20" ht="22.2"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58">
        <f t="shared" si="367"/>
        <v>0</v>
      </c>
    </row>
    <row r="2176" spans="1:20" ht="22.2"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58">
        <f t="shared" si="367"/>
        <v>0</v>
      </c>
    </row>
    <row r="2177" spans="1:20" ht="22.2"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58">
        <f t="shared" si="367"/>
        <v>0</v>
      </c>
    </row>
    <row r="2178" spans="1:20" ht="22.2"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58">
        <f t="shared" si="367"/>
        <v>0</v>
      </c>
    </row>
    <row r="2179" spans="1:20" ht="22.2"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58">
        <f t="shared" si="367"/>
        <v>0</v>
      </c>
    </row>
    <row r="2180" spans="1:20" ht="22.2"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58">
        <f t="shared" si="367"/>
        <v>0</v>
      </c>
    </row>
    <row r="2181" spans="1:20" ht="22.2"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58">
        <f t="shared" si="367"/>
        <v>0</v>
      </c>
    </row>
    <row r="2182" spans="1:20" ht="22.2"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58">
        <f t="shared" si="367"/>
        <v>0</v>
      </c>
    </row>
    <row r="2183" spans="1:20" ht="22.2"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58">
        <f t="shared" si="367"/>
        <v>0</v>
      </c>
    </row>
    <row r="2184" spans="1:20" ht="22.2"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58">
        <f t="shared" si="367"/>
        <v>0</v>
      </c>
    </row>
    <row r="2185" spans="1:20" ht="22.2"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58">
        <f t="shared" si="367"/>
        <v>0</v>
      </c>
    </row>
    <row r="2186" spans="1:20" ht="22.2"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58">
        <f t="shared" si="367"/>
        <v>0</v>
      </c>
    </row>
    <row r="2187" spans="1:20" ht="22.2"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58">
        <f t="shared" si="367"/>
        <v>0</v>
      </c>
    </row>
    <row r="2188" spans="1:20" ht="22.2"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58">
        <f t="shared" si="367"/>
        <v>0</v>
      </c>
    </row>
    <row r="2189" spans="1:20" ht="22.2"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58">
        <f t="shared" si="367"/>
        <v>0</v>
      </c>
    </row>
    <row r="2190" spans="1:20" ht="22.2"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58">
        <f t="shared" si="367"/>
        <v>0</v>
      </c>
    </row>
    <row r="2191" spans="1:20" ht="22.2"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58">
        <f t="shared" si="367"/>
        <v>0</v>
      </c>
    </row>
    <row r="2192" spans="1:20" ht="22.2"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58">
        <f t="shared" si="367"/>
        <v>0</v>
      </c>
    </row>
    <row r="2193" spans="1:20" ht="22.2"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58">
        <f t="shared" si="367"/>
        <v>0</v>
      </c>
    </row>
    <row r="2194" spans="1:20" ht="22.2"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58">
        <f t="shared" si="367"/>
        <v>0</v>
      </c>
    </row>
    <row r="2195" spans="1:20" ht="22.2"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58">
        <f t="shared" si="367"/>
        <v>0</v>
      </c>
    </row>
    <row r="2196" spans="1:20" ht="22.2"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58">
        <f t="shared" si="367"/>
        <v>0</v>
      </c>
    </row>
    <row r="2197" spans="1:20" ht="22.2"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58">
        <f t="shared" si="367"/>
        <v>0</v>
      </c>
    </row>
    <row r="2198" spans="1:20" ht="22.2"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58">
        <f t="shared" si="367"/>
        <v>0</v>
      </c>
    </row>
    <row r="2199" spans="1:20" ht="22.2"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58">
        <f t="shared" si="367"/>
        <v>0</v>
      </c>
    </row>
    <row r="2200" spans="1:20" ht="22.2"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58">
        <f t="shared" si="367"/>
        <v>0</v>
      </c>
    </row>
    <row r="2201" spans="1:20" ht="22.2"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58">
        <f t="shared" si="367"/>
        <v>0</v>
      </c>
    </row>
    <row r="2202" spans="1:20" ht="22.2"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58">
        <f t="shared" si="367"/>
        <v>0</v>
      </c>
    </row>
    <row r="2203" spans="1:20" ht="22.2"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58">
        <f t="shared" si="367"/>
        <v>0</v>
      </c>
    </row>
    <row r="2204" spans="1:20" ht="22.2"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58">
        <f t="shared" si="367"/>
        <v>0</v>
      </c>
    </row>
    <row r="2205" spans="1:20" ht="22.2"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58">
        <f t="shared" si="367"/>
        <v>0</v>
      </c>
    </row>
    <row r="2206" spans="1:20" ht="22.2"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58">
        <f t="shared" si="367"/>
        <v>0</v>
      </c>
    </row>
    <row r="2207" spans="1:20" ht="22.2"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58">
        <f t="shared" si="367"/>
        <v>0</v>
      </c>
    </row>
    <row r="2208" spans="1:20" ht="22.2"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58">
        <f t="shared" si="367"/>
        <v>0</v>
      </c>
    </row>
    <row r="2209" spans="1:20" ht="22.2"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58">
        <f t="shared" si="367"/>
        <v>0</v>
      </c>
    </row>
    <row r="2210" spans="1:20" ht="22.2"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58">
        <f t="shared" si="367"/>
        <v>0</v>
      </c>
    </row>
    <row r="2211" spans="1:20" ht="22.2"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58">
        <f t="shared" si="367"/>
        <v>0</v>
      </c>
    </row>
    <row r="2212" spans="1:20" ht="22.2"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58">
        <f t="shared" si="367"/>
        <v>0</v>
      </c>
    </row>
    <row r="2213" spans="1:20" ht="22.2"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58">
        <f t="shared" si="367"/>
        <v>0</v>
      </c>
    </row>
    <row r="2214" spans="1:20" ht="22.2"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58">
        <f t="shared" ref="T2214:T2277" si="372">IFERROR(HLOOKUP(B2214,BangKeTru,3,0),0)</f>
        <v>0</v>
      </c>
    </row>
    <row r="2215" spans="1:20" ht="22.2"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58">
        <f t="shared" si="372"/>
        <v>0</v>
      </c>
    </row>
    <row r="2216" spans="1:20" ht="22.2"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58">
        <f t="shared" si="372"/>
        <v>0</v>
      </c>
    </row>
    <row r="2217" spans="1:20" ht="22.2"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58">
        <f t="shared" si="372"/>
        <v>0</v>
      </c>
    </row>
    <row r="2218" spans="1:20" ht="22.2"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58">
        <f t="shared" si="372"/>
        <v>0</v>
      </c>
    </row>
    <row r="2219" spans="1:20" ht="22.2"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58">
        <f t="shared" si="372"/>
        <v>0</v>
      </c>
    </row>
    <row r="2220" spans="1:20" ht="22.2"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58">
        <f t="shared" si="372"/>
        <v>0</v>
      </c>
    </row>
    <row r="2221" spans="1:20" ht="22.2"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58">
        <f t="shared" si="372"/>
        <v>0</v>
      </c>
    </row>
    <row r="2222" spans="1:20" ht="22.2"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58">
        <f t="shared" si="372"/>
        <v>0</v>
      </c>
    </row>
    <row r="2223" spans="1:20" ht="22.2"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58">
        <f t="shared" si="372"/>
        <v>0</v>
      </c>
    </row>
    <row r="2224" spans="1:20" ht="22.2"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58">
        <f t="shared" si="372"/>
        <v>0</v>
      </c>
    </row>
    <row r="2225" spans="1:20" ht="22.2"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58">
        <f t="shared" si="372"/>
        <v>0</v>
      </c>
    </row>
    <row r="2226" spans="1:20" ht="22.2"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58">
        <f t="shared" si="372"/>
        <v>0</v>
      </c>
    </row>
    <row r="2227" spans="1:20" ht="22.2"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58">
        <f t="shared" si="372"/>
        <v>0</v>
      </c>
    </row>
    <row r="2228" spans="1:20" ht="22.2"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58">
        <f t="shared" si="372"/>
        <v>0</v>
      </c>
    </row>
    <row r="2229" spans="1:20" ht="22.2"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58">
        <f t="shared" si="372"/>
        <v>0</v>
      </c>
    </row>
    <row r="2230" spans="1:20" ht="22.2"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58">
        <f t="shared" si="372"/>
        <v>0</v>
      </c>
    </row>
    <row r="2231" spans="1:20" ht="22.2"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58">
        <f t="shared" si="372"/>
        <v>0</v>
      </c>
    </row>
    <row r="2232" spans="1:20" ht="22.2"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58">
        <f t="shared" si="372"/>
        <v>0</v>
      </c>
    </row>
    <row r="2233" spans="1:20" ht="22.2"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58">
        <f t="shared" si="372"/>
        <v>0</v>
      </c>
    </row>
    <row r="2234" spans="1:20" ht="22.2"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58">
        <f t="shared" si="372"/>
        <v>0</v>
      </c>
    </row>
    <row r="2235" spans="1:20" ht="22.2"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58">
        <f t="shared" si="372"/>
        <v>0</v>
      </c>
    </row>
    <row r="2236" spans="1:20" ht="22.2" hidden="1" customHeight="1">
      <c r="A2236" s="59"/>
      <c r="B2236" s="1594" t="s">
        <v>4632</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58">
        <f t="shared" si="372"/>
        <v>0</v>
      </c>
    </row>
    <row r="2237" spans="1:20" ht="22.2"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58">
        <f t="shared" si="372"/>
        <v>0</v>
      </c>
    </row>
    <row r="2238" spans="1:20" ht="22.2"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58">
        <f t="shared" si="372"/>
        <v>0</v>
      </c>
    </row>
    <row r="2239" spans="1:20" ht="22.2"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58">
        <f t="shared" si="372"/>
        <v>0</v>
      </c>
    </row>
    <row r="2240" spans="1:20" ht="22.2" hidden="1" customHeight="1">
      <c r="A2240" s="1017"/>
      <c r="B2240" s="1593" t="s">
        <v>4373</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58">
        <f t="shared" si="372"/>
        <v>0</v>
      </c>
    </row>
    <row r="2241" spans="1:20" ht="22.2"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58">
        <f t="shared" si="372"/>
        <v>0</v>
      </c>
    </row>
    <row r="2242" spans="1:20" ht="22.2"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58">
        <f t="shared" si="372"/>
        <v>0</v>
      </c>
    </row>
    <row r="2243" spans="1:20" ht="22.2"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58">
        <f t="shared" si="372"/>
        <v>0</v>
      </c>
    </row>
    <row r="2244" spans="1:20" ht="22.2"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58">
        <f t="shared" si="372"/>
        <v>0</v>
      </c>
    </row>
    <row r="2245" spans="1:20" ht="22.2"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58">
        <f t="shared" si="372"/>
        <v>0</v>
      </c>
    </row>
    <row r="2246" spans="1:20" ht="22.2"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58">
        <f t="shared" si="372"/>
        <v>0</v>
      </c>
    </row>
    <row r="2247" spans="1:20" ht="22.2"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58">
        <f t="shared" si="372"/>
        <v>0</v>
      </c>
    </row>
    <row r="2248" spans="1:20" ht="22.2"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58">
        <f t="shared" si="372"/>
        <v>0</v>
      </c>
    </row>
    <row r="2249" spans="1:20" ht="22.2"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58">
        <f t="shared" si="372"/>
        <v>0</v>
      </c>
    </row>
    <row r="2250" spans="1:20" ht="22.2"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58">
        <f t="shared" si="372"/>
        <v>0</v>
      </c>
    </row>
    <row r="2251" spans="1:20" ht="22.2"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58">
        <f t="shared" si="372"/>
        <v>0</v>
      </c>
    </row>
    <row r="2252" spans="1:20" ht="22.2"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58">
        <f t="shared" si="372"/>
        <v>0</v>
      </c>
    </row>
    <row r="2253" spans="1:20" ht="22.2"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58">
        <f t="shared" si="372"/>
        <v>0</v>
      </c>
    </row>
    <row r="2254" spans="1:20" ht="22.2"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58">
        <f t="shared" si="372"/>
        <v>0</v>
      </c>
    </row>
    <row r="2255" spans="1:20" ht="22.2"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58">
        <f t="shared" si="372"/>
        <v>0</v>
      </c>
    </row>
    <row r="2256" spans="1:20" ht="22.2"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58">
        <f t="shared" si="372"/>
        <v>0</v>
      </c>
    </row>
    <row r="2257" spans="1:20" ht="22.2"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58">
        <f>IFERROR(HLOOKUP(B2257,pp3p1m!$1:$3,3,0),0)</f>
        <v>0</v>
      </c>
    </row>
    <row r="2258" spans="1:20" ht="22.2"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58">
        <f>IFERROR(HLOOKUP(B2258,pp3p1m!$1:$3,3,0),0)</f>
        <v>0</v>
      </c>
    </row>
    <row r="2259" spans="1:20" ht="22.2"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58">
        <f>IFERROR(HLOOKUP(B2259,pp3p1m!$1:$3,3,0),0)</f>
        <v>0</v>
      </c>
    </row>
    <row r="2260" spans="1:20" ht="22.2" hidden="1" customHeight="1">
      <c r="A2260" s="59"/>
      <c r="B2260" s="1594" t="s">
        <v>4632</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58">
        <f>IFERROR(HLOOKUP(B2260,pp3p1m!$1:$3,3,0),0)</f>
        <v>0</v>
      </c>
    </row>
    <row r="2261" spans="1:20" ht="22.2"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58">
        <f>IFERROR(HLOOKUP(B2261,pp3p1m!$1:$3,3,0),0)</f>
        <v>0</v>
      </c>
    </row>
    <row r="2262" spans="1:20" ht="22.2"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58">
        <f>IFERROR(HLOOKUP(B2262,pp3p1m!$1:$3,3,0),0)</f>
        <v>0</v>
      </c>
    </row>
    <row r="2263" spans="1:20" ht="22.2"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58">
        <f>IFERROR(HLOOKUP(B2263,pp3p1m!$1:$3,3,0),0)</f>
        <v>0</v>
      </c>
    </row>
    <row r="2264" spans="1:20" ht="22.2" customHeight="1">
      <c r="A2264" s="59"/>
      <c r="B2264" s="1594" t="s">
        <v>4765</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58">
        <f>IFERROR(HLOOKUP(B2264,pp3p1m!$1:$3,3,0),0)</f>
        <v>0</v>
      </c>
    </row>
    <row r="2265" spans="1:20" ht="22.2"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58">
        <f>IFERROR(HLOOKUP(B2265,pp3p1m!$1:$3,3,0),0)</f>
        <v>0</v>
      </c>
    </row>
    <row r="2266" spans="1:20" ht="22.2" hidden="1" customHeight="1">
      <c r="A2266" s="59"/>
      <c r="B2266" s="1594" t="s">
        <v>4537</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58">
        <f>IFERROR(HLOOKUP(B2266,pp3p1m!$1:$3,3,0),0)</f>
        <v>0</v>
      </c>
    </row>
    <row r="2267" spans="1:20" ht="22.2"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58">
        <f>IFERROR(HLOOKUP(B2267,pp3p1m!$1:$3,3,0),0)</f>
        <v>0</v>
      </c>
    </row>
    <row r="2268" spans="1:20" ht="22.2"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58">
        <f>IFERROR(HLOOKUP(B2268,pp3p1m!$1:$3,3,0),0)</f>
        <v>0</v>
      </c>
    </row>
    <row r="2269" spans="1:20" ht="22.2"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58">
        <f>IFERROR(HLOOKUP(B2269,pp3p1m!$1:$3,3,0),0)</f>
        <v>0</v>
      </c>
    </row>
    <row r="2270" spans="1:20" ht="22.2"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58">
        <f>IFERROR(HLOOKUP(B2270,pp3p1m!$1:$3,3,0),0)</f>
        <v>0</v>
      </c>
    </row>
    <row r="2271" spans="1:20" ht="22.2"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58">
        <f>IFERROR(HLOOKUP(B2271,pp3p1m!$1:$3,3,0),0)</f>
        <v>0</v>
      </c>
    </row>
    <row r="2272" spans="1:20" ht="22.2"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58">
        <f>IFERROR(HLOOKUP(B2272,pp3p1m!$1:$3,3,0),0)</f>
        <v>0</v>
      </c>
    </row>
    <row r="2273" spans="1:20" ht="22.2"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58">
        <f>IFERROR(HLOOKUP(B2273,pp3p1m!$1:$3,3,0),0)</f>
        <v>0</v>
      </c>
    </row>
    <row r="2274" spans="1:20" ht="22.2"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58">
        <f>IFERROR(HLOOKUP(B2274,pp3p1m!$1:$3,3,0),0)</f>
        <v>0</v>
      </c>
    </row>
    <row r="2275" spans="1:20" ht="22.2"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58">
        <f>IFERROR(HLOOKUP(B2275,pp3p1m!$1:$3,3,0),0)</f>
        <v>0</v>
      </c>
    </row>
    <row r="2276" spans="1:20" ht="22.2"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58">
        <f>IFERROR(HLOOKUP(B2276,pp3p1m!$1:$3,3,0),0)</f>
        <v>0</v>
      </c>
    </row>
    <row r="2277" spans="1:20" ht="22.2"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58">
        <f t="shared" si="372"/>
        <v>0</v>
      </c>
    </row>
    <row r="2278" spans="1:20" ht="22.2"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58">
        <f t="shared" ref="T2278:T2341" si="388">IFERROR(HLOOKUP(B2278,BangKeTru,3,0),0)</f>
        <v>0</v>
      </c>
    </row>
    <row r="2279" spans="1:20" ht="22.2"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58">
        <f t="shared" si="388"/>
        <v>0</v>
      </c>
    </row>
    <row r="2280" spans="1:20" ht="22.2"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58">
        <f t="shared" si="388"/>
        <v>0</v>
      </c>
    </row>
    <row r="2281" spans="1:20" ht="22.2"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58">
        <f t="shared" si="388"/>
        <v>0</v>
      </c>
    </row>
    <row r="2282" spans="1:20" ht="22.2"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58">
        <f t="shared" si="388"/>
        <v>0</v>
      </c>
    </row>
    <row r="2283" spans="1:20" ht="22.2"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58">
        <f t="shared" si="388"/>
        <v>0</v>
      </c>
    </row>
    <row r="2284" spans="1:20" ht="22.2"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58">
        <f t="shared" si="388"/>
        <v>0</v>
      </c>
    </row>
    <row r="2285" spans="1:20" ht="22.2"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58">
        <f t="shared" si="388"/>
        <v>0</v>
      </c>
    </row>
    <row r="2286" spans="1:20" ht="22.2"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58">
        <f t="shared" si="388"/>
        <v>0</v>
      </c>
    </row>
    <row r="2287" spans="1:20" ht="22.2"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58">
        <f t="shared" si="388"/>
        <v>0</v>
      </c>
    </row>
    <row r="2288" spans="1:20" ht="22.2"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58">
        <f t="shared" si="388"/>
        <v>0</v>
      </c>
    </row>
    <row r="2289" spans="1:20" ht="22.2"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58">
        <f t="shared" si="388"/>
        <v>0</v>
      </c>
    </row>
    <row r="2290" spans="1:20" ht="22.2"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58">
        <f t="shared" si="388"/>
        <v>0</v>
      </c>
    </row>
    <row r="2291" spans="1:20" ht="22.2"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58">
        <f t="shared" si="388"/>
        <v>0</v>
      </c>
    </row>
    <row r="2292" spans="1:20" ht="22.2"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58">
        <f t="shared" si="388"/>
        <v>0</v>
      </c>
    </row>
    <row r="2293" spans="1:20" ht="22.2"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58">
        <f t="shared" si="388"/>
        <v>0</v>
      </c>
    </row>
    <row r="2294" spans="1:20" ht="22.2"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58">
        <f t="shared" si="388"/>
        <v>0</v>
      </c>
    </row>
    <row r="2295" spans="1:20" ht="22.2"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58">
        <f t="shared" si="388"/>
        <v>0</v>
      </c>
    </row>
    <row r="2296" spans="1:20" ht="22.2"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58">
        <f t="shared" si="388"/>
        <v>0</v>
      </c>
    </row>
    <row r="2297" spans="1:20" ht="22.2"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58">
        <f t="shared" si="388"/>
        <v>0</v>
      </c>
    </row>
    <row r="2298" spans="1:20" ht="22.2"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58">
        <f t="shared" si="388"/>
        <v>0</v>
      </c>
    </row>
    <row r="2299" spans="1:20" ht="22.2"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58">
        <f t="shared" si="388"/>
        <v>0</v>
      </c>
    </row>
    <row r="2300" spans="1:20" ht="22.2"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58">
        <f t="shared" si="388"/>
        <v>0</v>
      </c>
    </row>
    <row r="2301" spans="1:20" ht="22.2"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58">
        <f t="shared" si="388"/>
        <v>0</v>
      </c>
    </row>
    <row r="2302" spans="1:20" ht="22.2"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58">
        <f t="shared" si="388"/>
        <v>0</v>
      </c>
    </row>
    <row r="2303" spans="1:20" ht="22.2"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58">
        <f t="shared" si="388"/>
        <v>0</v>
      </c>
    </row>
    <row r="2304" spans="1:20" ht="22.2"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58">
        <f t="shared" si="388"/>
        <v>0</v>
      </c>
    </row>
    <row r="2305" spans="1:20" ht="22.2"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58">
        <f t="shared" si="388"/>
        <v>0</v>
      </c>
    </row>
    <row r="2306" spans="1:20" ht="22.2"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58">
        <f t="shared" si="388"/>
        <v>0</v>
      </c>
    </row>
    <row r="2307" spans="1:20" ht="22.2" hidden="1" customHeight="1">
      <c r="A2307" s="1017"/>
      <c r="B2307" s="1579" t="s">
        <v>4778</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58">
        <f t="shared" si="388"/>
        <v>0</v>
      </c>
    </row>
    <row r="2308" spans="1:20" ht="22.2"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58">
        <f t="shared" si="388"/>
        <v>0</v>
      </c>
    </row>
    <row r="2309" spans="1:20" ht="22.2"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58">
        <f t="shared" si="388"/>
        <v>0</v>
      </c>
    </row>
    <row r="2310" spans="1:20" ht="22.2"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58">
        <f t="shared" si="388"/>
        <v>0</v>
      </c>
    </row>
    <row r="2311" spans="1:20" ht="22.2"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58">
        <f t="shared" si="388"/>
        <v>0</v>
      </c>
    </row>
    <row r="2312" spans="1:20" ht="22.2"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58">
        <f t="shared" si="388"/>
        <v>0</v>
      </c>
    </row>
    <row r="2313" spans="1:20" ht="22.2"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58">
        <f t="shared" si="388"/>
        <v>0</v>
      </c>
    </row>
    <row r="2314" spans="1:20" ht="22.2"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58">
        <f t="shared" si="388"/>
        <v>0</v>
      </c>
    </row>
    <row r="2315" spans="1:20" ht="22.2"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58">
        <f t="shared" si="388"/>
        <v>0</v>
      </c>
    </row>
    <row r="2316" spans="1:20" ht="22.2"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58">
        <f t="shared" si="388"/>
        <v>0</v>
      </c>
    </row>
    <row r="2317" spans="1:20" ht="22.2"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58">
        <f t="shared" si="388"/>
        <v>0</v>
      </c>
    </row>
    <row r="2318" spans="1:20" ht="22.2"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58">
        <f t="shared" si="388"/>
        <v>0</v>
      </c>
    </row>
    <row r="2319" spans="1:20" ht="22.2"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58">
        <f t="shared" si="388"/>
        <v>0</v>
      </c>
    </row>
    <row r="2320" spans="1:20" ht="22.2"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58">
        <f t="shared" si="388"/>
        <v>0</v>
      </c>
    </row>
    <row r="2321" spans="1:20" ht="22.2"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58">
        <f t="shared" si="388"/>
        <v>0</v>
      </c>
    </row>
    <row r="2322" spans="1:20" ht="22.2"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58">
        <f t="shared" si="388"/>
        <v>0</v>
      </c>
    </row>
    <row r="2323" spans="1:20" ht="22.2"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58">
        <f t="shared" si="388"/>
        <v>0</v>
      </c>
    </row>
    <row r="2324" spans="1:20" ht="22.2"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58">
        <f t="shared" si="388"/>
        <v>0</v>
      </c>
    </row>
    <row r="2325" spans="1:20" ht="22.2"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58">
        <f t="shared" si="388"/>
        <v>0</v>
      </c>
    </row>
    <row r="2326" spans="1:20" ht="22.2"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58">
        <f t="shared" si="388"/>
        <v>0</v>
      </c>
    </row>
    <row r="2327" spans="1:20" ht="22.2"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58">
        <f t="shared" si="388"/>
        <v>0</v>
      </c>
    </row>
    <row r="2328" spans="1:20" ht="22.2"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58">
        <f t="shared" si="388"/>
        <v>0</v>
      </c>
    </row>
    <row r="2329" spans="1:20" ht="22.2"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58">
        <f t="shared" si="388"/>
        <v>0</v>
      </c>
    </row>
    <row r="2330" spans="1:20" ht="22.2"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58">
        <f t="shared" si="388"/>
        <v>0</v>
      </c>
    </row>
    <row r="2331" spans="1:20" ht="22.2"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58">
        <f t="shared" si="388"/>
        <v>0</v>
      </c>
    </row>
    <row r="2332" spans="1:20" ht="22.2"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58">
        <f t="shared" si="388"/>
        <v>0</v>
      </c>
    </row>
    <row r="2333" spans="1:20" ht="22.2"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58">
        <f t="shared" si="388"/>
        <v>0</v>
      </c>
    </row>
    <row r="2334" spans="1:20" ht="22.2"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58">
        <f t="shared" si="388"/>
        <v>0</v>
      </c>
    </row>
    <row r="2335" spans="1:20" ht="22.2"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58">
        <f t="shared" si="388"/>
        <v>0</v>
      </c>
    </row>
    <row r="2336" spans="1:20" ht="22.2"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58">
        <f t="shared" si="388"/>
        <v>0</v>
      </c>
    </row>
    <row r="2337" spans="1:20" ht="22.2"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58">
        <f t="shared" si="388"/>
        <v>0</v>
      </c>
    </row>
    <row r="2338" spans="1:20" ht="22.2"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58">
        <f t="shared" si="388"/>
        <v>0</v>
      </c>
    </row>
    <row r="2339" spans="1:20" ht="22.2"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58">
        <f t="shared" si="388"/>
        <v>0</v>
      </c>
    </row>
    <row r="2340" spans="1:20" ht="22.2"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58">
        <f t="shared" si="388"/>
        <v>0</v>
      </c>
    </row>
    <row r="2341" spans="1:20" ht="22.2"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58">
        <f t="shared" si="388"/>
        <v>0</v>
      </c>
    </row>
    <row r="2342" spans="1:20" ht="22.2"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58">
        <f t="shared" ref="T2342:T2361" si="404">IFERROR(HLOOKUP(B2342,BangKeTru,3,0),0)</f>
        <v>0</v>
      </c>
    </row>
    <row r="2343" spans="1:20" ht="22.2"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58">
        <f t="shared" si="404"/>
        <v>0</v>
      </c>
    </row>
    <row r="2344" spans="1:20" ht="22.2" hidden="1" customHeight="1">
      <c r="A2344" s="63"/>
      <c r="B2344" s="1586" t="s">
        <v>4447</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58">
        <f t="shared" si="404"/>
        <v>0</v>
      </c>
    </row>
    <row r="2345" spans="1:20" ht="22.2"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58">
        <f t="shared" si="404"/>
        <v>0</v>
      </c>
    </row>
    <row r="2346" spans="1:20" ht="22.2"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58">
        <f t="shared" si="404"/>
        <v>0</v>
      </c>
    </row>
    <row r="2347" spans="1:20" ht="22.2"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58">
        <f t="shared" si="404"/>
        <v>0</v>
      </c>
    </row>
    <row r="2348" spans="1:20" ht="22.2"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58">
        <f t="shared" si="404"/>
        <v>0</v>
      </c>
    </row>
    <row r="2349" spans="1:20" ht="22.2"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58">
        <f t="shared" si="404"/>
        <v>0</v>
      </c>
    </row>
    <row r="2350" spans="1:20" ht="22.2"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58">
        <f t="shared" si="404"/>
        <v>0</v>
      </c>
    </row>
    <row r="2351" spans="1:20" ht="22.2"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58">
        <f t="shared" si="404"/>
        <v>0</v>
      </c>
    </row>
    <row r="2352" spans="1:20" ht="22.2"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58">
        <f t="shared" si="404"/>
        <v>0</v>
      </c>
    </row>
    <row r="2353" spans="1:20" ht="22.2"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58">
        <f t="shared" si="404"/>
        <v>0</v>
      </c>
    </row>
    <row r="2354" spans="1:20" ht="22.2"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58">
        <f t="shared" si="404"/>
        <v>0</v>
      </c>
    </row>
    <row r="2355" spans="1:20" ht="22.2"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58">
        <f t="shared" si="404"/>
        <v>0</v>
      </c>
    </row>
    <row r="2356" spans="1:20" ht="22.2"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58">
        <f t="shared" si="404"/>
        <v>0</v>
      </c>
    </row>
    <row r="2357" spans="1:20" ht="22.2"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58">
        <f t="shared" si="404"/>
        <v>0</v>
      </c>
    </row>
    <row r="2358" spans="1:20" ht="22.2"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58">
        <f t="shared" si="404"/>
        <v>0</v>
      </c>
    </row>
    <row r="2359" spans="1:20" ht="22.2"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58">
        <f t="shared" si="404"/>
        <v>0</v>
      </c>
    </row>
    <row r="2360" spans="1:20" ht="22.2"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58">
        <f t="shared" si="404"/>
        <v>0</v>
      </c>
    </row>
    <row r="2361" spans="1:20" ht="16.2">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58">
        <f t="shared" si="404"/>
        <v>0</v>
      </c>
    </row>
    <row r="2362" spans="1:20" ht="16.2" hidden="1">
      <c r="A2362" s="59"/>
      <c r="C2362" s="1016"/>
      <c r="D2362" s="1575"/>
      <c r="T2362" s="53"/>
    </row>
    <row r="2363" spans="1:20" ht="16.2">
      <c r="D2363" s="1575"/>
    </row>
    <row r="2364" spans="1:20" ht="16.2">
      <c r="D2364" s="1575"/>
    </row>
    <row r="2365" spans="1:20" ht="16.2">
      <c r="D2365" s="1575"/>
    </row>
    <row r="2366" spans="1:20" ht="16.2">
      <c r="D2366" s="1575"/>
    </row>
    <row r="2367" spans="1:20" ht="16.2">
      <c r="D2367" s="1575"/>
      <c r="F2367" s="1001"/>
    </row>
    <row r="2368" spans="1:20" ht="16.8">
      <c r="D2368" s="1575"/>
      <c r="F2368" s="1002"/>
    </row>
    <row r="2369" spans="4:4" ht="16.2">
      <c r="D2369" s="1575"/>
    </row>
    <row r="2370" spans="4:4" ht="16.2">
      <c r="D2370" s="1575"/>
    </row>
    <row r="2371" spans="4:4" ht="16.2">
      <c r="D2371" s="1575"/>
    </row>
    <row r="2372" spans="4:4" ht="16.2">
      <c r="D2372" s="1575"/>
    </row>
    <row r="2373" spans="4:4" ht="16.2">
      <c r="D2373" s="1575"/>
    </row>
    <row r="2374" spans="4:4" ht="16.2">
      <c r="D2374" s="1575"/>
    </row>
    <row r="2375" spans="4:4" ht="16.2">
      <c r="D2375" s="1575"/>
    </row>
    <row r="2376" spans="4:4" ht="16.2">
      <c r="D2376" s="1575"/>
    </row>
    <row r="2377" spans="4:4" ht="16.2">
      <c r="D2377" s="1575"/>
    </row>
    <row r="2378" spans="4:4" ht="16.2">
      <c r="D2378" s="1575"/>
    </row>
    <row r="2379" spans="4:4" ht="16.2">
      <c r="D2379" s="1575"/>
    </row>
    <row r="2380" spans="4:4" ht="16.2">
      <c r="D2380" s="1575"/>
    </row>
    <row r="2381" spans="4:4" ht="16.2">
      <c r="D2381" s="1575"/>
    </row>
    <row r="2382" spans="4:4" ht="16.2">
      <c r="D2382" s="1575"/>
    </row>
    <row r="2383" spans="4:4" ht="16.2">
      <c r="D2383" s="1575"/>
    </row>
    <row r="2384" spans="4:4" ht="16.2">
      <c r="D2384" s="1575"/>
    </row>
    <row r="2385" spans="4:4" ht="16.2">
      <c r="D2385" s="1575"/>
    </row>
    <row r="2386" spans="4:4" ht="16.2">
      <c r="D2386" s="1575"/>
    </row>
    <row r="2387" spans="4:4" ht="16.2">
      <c r="D2387" s="1575"/>
    </row>
    <row r="2388" spans="4:4" ht="16.2">
      <c r="D2388" s="1575"/>
    </row>
    <row r="2389" spans="4:4" ht="16.2">
      <c r="D2389" s="1575"/>
    </row>
    <row r="2390" spans="4:4" ht="16.2">
      <c r="D2390" s="1575"/>
    </row>
    <row r="2391" spans="4:4" ht="16.2">
      <c r="D2391" s="1575"/>
    </row>
    <row r="2392" spans="4:4" ht="16.2">
      <c r="D2392" s="1575"/>
    </row>
    <row r="2393" spans="4:4" ht="16.2">
      <c r="D2393" s="1575"/>
    </row>
    <row r="2394" spans="4:4" ht="16.2">
      <c r="D2394" s="1575"/>
    </row>
    <row r="2395" spans="4:4" ht="16.2">
      <c r="D2395" s="1575"/>
    </row>
    <row r="2396" spans="4:4" ht="16.2">
      <c r="D2396" s="1575"/>
    </row>
    <row r="2397" spans="4:4" ht="16.2">
      <c r="D2397" s="1575"/>
    </row>
    <row r="2398" spans="4:4" ht="16.2">
      <c r="D2398" s="1575"/>
    </row>
    <row r="2399" spans="4:4" ht="16.2">
      <c r="D2399" s="1575"/>
    </row>
    <row r="2400" spans="4:4" ht="16.2">
      <c r="D2400" s="1575"/>
    </row>
    <row r="2401" spans="4:4" ht="16.2">
      <c r="D2401" s="1575"/>
    </row>
    <row r="2402" spans="4:4" ht="16.2">
      <c r="D2402" s="1575"/>
    </row>
    <row r="2403" spans="4:4" ht="16.2">
      <c r="D2403" s="1575"/>
    </row>
    <row r="2404" spans="4:4" ht="16.2">
      <c r="D2404" s="1575"/>
    </row>
    <row r="2405" spans="4:4" ht="16.2">
      <c r="D2405" s="1575"/>
    </row>
    <row r="2406" spans="4:4" ht="16.2">
      <c r="D2406" s="1575"/>
    </row>
    <row r="2407" spans="4:4" ht="16.2">
      <c r="D2407" s="1575"/>
    </row>
    <row r="2408" spans="4:4" ht="16.2">
      <c r="D2408" s="1575"/>
    </row>
    <row r="2409" spans="4:4" ht="16.2">
      <c r="D2409" s="1575"/>
    </row>
    <row r="2410" spans="4:4" ht="16.2">
      <c r="D2410" s="1575"/>
    </row>
    <row r="2411" spans="4:4" ht="16.2">
      <c r="D2411" s="1575"/>
    </row>
    <row r="2412" spans="4:4" ht="16.2">
      <c r="D2412" s="1575"/>
    </row>
    <row r="2413" spans="4:4" ht="16.2">
      <c r="D2413" s="1575"/>
    </row>
    <row r="2414" spans="4:4" ht="16.2">
      <c r="D2414" s="1575"/>
    </row>
    <row r="2415" spans="4:4" ht="16.2">
      <c r="D2415" s="1575"/>
    </row>
    <row r="2416" spans="4:4" ht="16.2">
      <c r="D2416" s="1575"/>
    </row>
    <row r="2417" spans="4:4" ht="16.2">
      <c r="D2417" s="1575"/>
    </row>
    <row r="2418" spans="4:4" ht="16.2">
      <c r="D2418" s="1575"/>
    </row>
    <row r="2419" spans="4:4" ht="16.2">
      <c r="D2419" s="1575"/>
    </row>
    <row r="2420" spans="4:4" ht="16.2">
      <c r="D2420" s="1575"/>
    </row>
    <row r="2421" spans="4:4" ht="16.2">
      <c r="D2421" s="1575"/>
    </row>
    <row r="2422" spans="4:4" ht="16.2">
      <c r="D2422" s="1575"/>
    </row>
    <row r="2423" spans="4:4" ht="16.2">
      <c r="D2423" s="1575"/>
    </row>
    <row r="2424" spans="4:4" ht="16.2">
      <c r="D2424" s="1575"/>
    </row>
    <row r="2425" spans="4:4" ht="16.2">
      <c r="D2425" s="1575"/>
    </row>
    <row r="2426" spans="4:4" ht="16.2">
      <c r="D2426" s="1575"/>
    </row>
    <row r="2427" spans="4:4" ht="16.2">
      <c r="D2427" s="1575"/>
    </row>
    <row r="2428" spans="4:4" ht="16.2">
      <c r="D2428" s="1575"/>
    </row>
    <row r="2429" spans="4:4" ht="16.2">
      <c r="D2429" s="1575"/>
    </row>
    <row r="2430" spans="4:4" ht="16.2">
      <c r="D2430" s="1575"/>
    </row>
    <row r="2431" spans="4:4" ht="16.2">
      <c r="D2431" s="1575"/>
    </row>
    <row r="2432" spans="4:4" ht="16.2">
      <c r="D2432" s="1575"/>
    </row>
    <row r="2433" spans="4:4" ht="16.2">
      <c r="D2433" s="1575"/>
    </row>
    <row r="2434" spans="4:4" ht="16.2">
      <c r="D2434" s="1575"/>
    </row>
    <row r="2435" spans="4:4" ht="16.2">
      <c r="D2435" s="1575"/>
    </row>
    <row r="2436" spans="4:4" ht="16.2">
      <c r="D2436" s="1575"/>
    </row>
    <row r="2437" spans="4:4" ht="16.2">
      <c r="D2437" s="1575"/>
    </row>
    <row r="2438" spans="4:4" ht="16.2">
      <c r="D2438" s="1575"/>
    </row>
    <row r="2439" spans="4:4" ht="16.2">
      <c r="D2439" s="1575"/>
    </row>
    <row r="2440" spans="4:4" ht="16.2">
      <c r="D2440" s="1575"/>
    </row>
    <row r="2441" spans="4:4" ht="16.2">
      <c r="D2441" s="1575"/>
    </row>
    <row r="2442" spans="4:4" ht="16.2">
      <c r="D2442" s="1575"/>
    </row>
    <row r="2443" spans="4:4" ht="16.2">
      <c r="D2443" s="1575"/>
    </row>
    <row r="2444" spans="4:4" ht="16.2">
      <c r="D2444" s="1575"/>
    </row>
    <row r="2445" spans="4:4" ht="16.2">
      <c r="D2445" s="1575"/>
    </row>
    <row r="2446" spans="4:4" ht="16.2">
      <c r="D2446" s="1575"/>
    </row>
    <row r="2447" spans="4:4" ht="16.2">
      <c r="D2447" s="1575"/>
    </row>
    <row r="2448" spans="4:4" ht="16.2">
      <c r="D2448" s="1575"/>
    </row>
    <row r="2449" spans="4:4" ht="16.2">
      <c r="D2449" s="1575"/>
    </row>
    <row r="2450" spans="4:4" ht="16.2">
      <c r="D2450" s="1575"/>
    </row>
    <row r="2451" spans="4:4" ht="16.2">
      <c r="D2451" s="1575"/>
    </row>
    <row r="2452" spans="4:4" ht="16.2">
      <c r="D2452" s="1575"/>
    </row>
    <row r="2453" spans="4:4" ht="16.2">
      <c r="D2453" s="1575"/>
    </row>
    <row r="2454" spans="4:4" ht="16.2">
      <c r="D2454" s="1575"/>
    </row>
    <row r="2455" spans="4:4" ht="16.2">
      <c r="D2455" s="1575"/>
    </row>
    <row r="2456" spans="4:4" ht="16.2">
      <c r="D2456" s="1575"/>
    </row>
    <row r="2457" spans="4:4" ht="16.2">
      <c r="D2457" s="1575"/>
    </row>
    <row r="2458" spans="4:4" ht="16.2">
      <c r="D2458" s="1575"/>
    </row>
    <row r="2459" spans="4:4" ht="16.2">
      <c r="D2459" s="1575"/>
    </row>
    <row r="2460" spans="4:4" ht="16.2">
      <c r="D2460" s="1575"/>
    </row>
    <row r="2461" spans="4:4" ht="16.2">
      <c r="D2461" s="1575"/>
    </row>
    <row r="2462" spans="4:4" ht="16.2">
      <c r="D2462" s="1575"/>
    </row>
    <row r="2463" spans="4:4" ht="16.2">
      <c r="D2463" s="1575"/>
    </row>
    <row r="2464" spans="4:4" ht="16.2">
      <c r="D2464" s="1575"/>
    </row>
    <row r="2465" spans="4:4" ht="16.2">
      <c r="D2465" s="1575"/>
    </row>
    <row r="2466" spans="4:4" ht="16.2">
      <c r="D2466" s="1575"/>
    </row>
    <row r="2467" spans="4:4" ht="16.2">
      <c r="D2467" s="1575"/>
    </row>
    <row r="2468" spans="4:4" ht="16.2">
      <c r="D2468" s="1575"/>
    </row>
    <row r="2469" spans="4:4" ht="16.2">
      <c r="D2469" s="1575"/>
    </row>
    <row r="2470" spans="4:4" ht="16.2">
      <c r="D2470" s="1575"/>
    </row>
    <row r="2471" spans="4:4" ht="16.2">
      <c r="D2471" s="1575"/>
    </row>
    <row r="2472" spans="4:4" ht="16.2">
      <c r="D2472" s="1575"/>
    </row>
    <row r="2473" spans="4:4" ht="16.2">
      <c r="D2473" s="1575"/>
    </row>
    <row r="2474" spans="4:4" ht="16.2">
      <c r="D2474" s="1575"/>
    </row>
    <row r="2475" spans="4:4" ht="16.2">
      <c r="D2475" s="1575"/>
    </row>
    <row r="2476" spans="4:4" ht="16.2">
      <c r="D2476" s="1575"/>
    </row>
    <row r="2477" spans="4:4" ht="16.2">
      <c r="D2477" s="1575"/>
    </row>
    <row r="2478" spans="4:4" ht="16.2">
      <c r="D2478" s="1575"/>
    </row>
    <row r="2479" spans="4:4" ht="16.2">
      <c r="D2479" s="1575"/>
    </row>
    <row r="2480" spans="4:4" ht="16.2">
      <c r="D2480" s="1575"/>
    </row>
    <row r="2481" spans="4:4" ht="16.2">
      <c r="D2481" s="1575"/>
    </row>
    <row r="2482" spans="4:4" ht="16.2">
      <c r="D2482" s="1575"/>
    </row>
    <row r="2483" spans="4:4" ht="16.2">
      <c r="D2483" s="1575"/>
    </row>
    <row r="2484" spans="4:4" ht="16.2">
      <c r="D2484" s="1575"/>
    </row>
    <row r="2485" spans="4:4" ht="16.2">
      <c r="D2485" s="1575"/>
    </row>
    <row r="2486" spans="4:4" ht="16.2">
      <c r="D2486" s="1575"/>
    </row>
    <row r="2487" spans="4:4" ht="16.2">
      <c r="D2487" s="1575"/>
    </row>
    <row r="2488" spans="4:4" ht="16.2">
      <c r="D2488" s="1575"/>
    </row>
    <row r="2489" spans="4:4" ht="16.2">
      <c r="D2489" s="1575"/>
    </row>
    <row r="2490" spans="4:4" ht="16.2">
      <c r="D2490" s="1575"/>
    </row>
    <row r="2491" spans="4:4" ht="16.2">
      <c r="D2491" s="1575"/>
    </row>
    <row r="2492" spans="4:4" ht="16.2">
      <c r="D2492" s="1575"/>
    </row>
    <row r="2493" spans="4:4" ht="16.2">
      <c r="D2493" s="1575"/>
    </row>
    <row r="2494" spans="4:4" ht="16.2">
      <c r="D2494" s="1575"/>
    </row>
    <row r="2495" spans="4:4" ht="16.2">
      <c r="D2495" s="1575"/>
    </row>
    <row r="2496" spans="4:4" ht="16.2">
      <c r="D2496" s="1575"/>
    </row>
    <row r="2497" spans="4:4" ht="16.2">
      <c r="D2497" s="1575"/>
    </row>
    <row r="2498" spans="4:4" ht="16.2">
      <c r="D2498" s="1575"/>
    </row>
    <row r="2499" spans="4:4" ht="16.2">
      <c r="D2499" s="1575"/>
    </row>
    <row r="2500" spans="4:4" ht="16.2">
      <c r="D2500" s="1575"/>
    </row>
    <row r="2501" spans="4:4" ht="16.2">
      <c r="D2501" s="1575"/>
    </row>
    <row r="2502" spans="4:4" ht="16.2">
      <c r="D2502" s="1575"/>
    </row>
    <row r="2503" spans="4:4" ht="16.2">
      <c r="D2503" s="1575"/>
    </row>
    <row r="2504" spans="4:4" ht="16.2">
      <c r="D2504" s="1575"/>
    </row>
    <row r="2505" spans="4:4" ht="16.2">
      <c r="D2505" s="1575"/>
    </row>
    <row r="2506" spans="4:4" ht="16.2">
      <c r="D2506" s="1575"/>
    </row>
    <row r="2507" spans="4:4" ht="16.2">
      <c r="D2507" s="1575"/>
    </row>
    <row r="2508" spans="4:4" ht="16.2">
      <c r="D2508" s="1575"/>
    </row>
    <row r="2509" spans="4:4" ht="16.2">
      <c r="D2509" s="1575"/>
    </row>
    <row r="2510" spans="4:4" ht="16.2">
      <c r="D2510" s="1575"/>
    </row>
    <row r="2511" spans="4:4" ht="16.2">
      <c r="D2511" s="1575"/>
    </row>
    <row r="2512" spans="4:4" ht="16.2">
      <c r="D2512" s="1575"/>
    </row>
    <row r="2513" spans="4:4" ht="16.2">
      <c r="D2513" s="1575"/>
    </row>
    <row r="2514" spans="4:4" ht="16.2">
      <c r="D2514" s="1575"/>
    </row>
    <row r="2515" spans="4:4" ht="16.2">
      <c r="D2515" s="1575"/>
    </row>
    <row r="2516" spans="4:4" ht="16.2">
      <c r="D2516" s="1575"/>
    </row>
    <row r="2517" spans="4:4" ht="16.2">
      <c r="D2517" s="1575"/>
    </row>
    <row r="2518" spans="4:4" ht="16.2">
      <c r="D2518" s="1575"/>
    </row>
    <row r="2519" spans="4:4" ht="16.2">
      <c r="D2519" s="1575"/>
    </row>
    <row r="2520" spans="4:4" ht="16.2">
      <c r="D2520" s="1575"/>
    </row>
    <row r="2521" spans="4:4" ht="16.2">
      <c r="D2521" s="1575"/>
    </row>
    <row r="2522" spans="4:4" ht="16.2">
      <c r="D2522" s="1575"/>
    </row>
    <row r="2523" spans="4:4" ht="16.2">
      <c r="D2523" s="1575"/>
    </row>
    <row r="2524" spans="4:4" ht="16.2">
      <c r="D2524" s="1575"/>
    </row>
    <row r="2525" spans="4:4" ht="16.2">
      <c r="D2525" s="1575"/>
    </row>
    <row r="2526" spans="4:4" ht="16.2">
      <c r="D2526" s="1575"/>
    </row>
    <row r="2527" spans="4:4" ht="16.2">
      <c r="D2527" s="1575"/>
    </row>
    <row r="2528" spans="4:4" ht="16.2">
      <c r="D2528" s="1575"/>
    </row>
    <row r="2529" spans="4:4" ht="16.2">
      <c r="D2529" s="1575"/>
    </row>
    <row r="2530" spans="4:4" ht="16.2">
      <c r="D2530" s="1575"/>
    </row>
    <row r="2531" spans="4:4" ht="16.2">
      <c r="D2531" s="1575"/>
    </row>
    <row r="2532" spans="4:4" ht="16.2">
      <c r="D2532" s="1575"/>
    </row>
    <row r="2533" spans="4:4" ht="16.2">
      <c r="D2533" s="1575"/>
    </row>
    <row r="2534" spans="4:4" ht="16.2">
      <c r="D2534" s="1575"/>
    </row>
    <row r="2535" spans="4:4" ht="16.2">
      <c r="D2535" s="1575"/>
    </row>
    <row r="2536" spans="4:4" ht="16.2">
      <c r="D2536" s="1575"/>
    </row>
    <row r="2537" spans="4:4" ht="16.2">
      <c r="D2537" s="1575"/>
    </row>
    <row r="2538" spans="4:4" ht="16.2">
      <c r="D2538" s="1575"/>
    </row>
    <row r="2539" spans="4:4" ht="16.2">
      <c r="D2539" s="1575"/>
    </row>
    <row r="2540" spans="4:4" ht="16.2">
      <c r="D2540" s="1575"/>
    </row>
    <row r="2541" spans="4:4" ht="16.2">
      <c r="D2541" s="1575"/>
    </row>
    <row r="2542" spans="4:4" ht="16.2">
      <c r="D2542" s="1575"/>
    </row>
    <row r="2543" spans="4:4" ht="16.2">
      <c r="D2543" s="1575"/>
    </row>
    <row r="2544" spans="4:4" ht="16.2">
      <c r="D2544" s="1575"/>
    </row>
    <row r="2545" spans="4:4" ht="16.2">
      <c r="D2545" s="1575"/>
    </row>
    <row r="2546" spans="4:4" ht="16.2">
      <c r="D2546" s="1575"/>
    </row>
    <row r="2547" spans="4:4" ht="16.2">
      <c r="D2547" s="1575"/>
    </row>
    <row r="2548" spans="4:4" ht="16.2">
      <c r="D2548" s="1575"/>
    </row>
    <row r="2549" spans="4:4" ht="16.2">
      <c r="D2549" s="1575"/>
    </row>
    <row r="2550" spans="4:4" ht="16.2">
      <c r="D2550" s="1575"/>
    </row>
    <row r="2551" spans="4:4" ht="16.2">
      <c r="D2551" s="1575"/>
    </row>
    <row r="2552" spans="4:4" ht="16.2">
      <c r="D2552" s="1575"/>
    </row>
    <row r="2553" spans="4:4" ht="16.2">
      <c r="D2553" s="1575"/>
    </row>
    <row r="2554" spans="4:4" ht="16.2">
      <c r="D2554" s="1575"/>
    </row>
    <row r="2555" spans="4:4" ht="16.2">
      <c r="D2555" s="1575"/>
    </row>
    <row r="2556" spans="4:4" ht="16.2">
      <c r="D2556" s="1575"/>
    </row>
    <row r="2557" spans="4:4" ht="16.2">
      <c r="D2557" s="1575"/>
    </row>
    <row r="2558" spans="4:4" ht="16.2">
      <c r="D2558" s="1575"/>
    </row>
    <row r="2559" spans="4:4" ht="16.2">
      <c r="D2559" s="1575"/>
    </row>
    <row r="2560" spans="4:4" ht="16.2">
      <c r="D2560" s="1575"/>
    </row>
    <row r="2561" spans="4:4" ht="16.2">
      <c r="D2561" s="1575"/>
    </row>
    <row r="2562" spans="4:4" ht="16.2">
      <c r="D2562" s="1575"/>
    </row>
    <row r="2563" spans="4:4" ht="16.2">
      <c r="D2563" s="1575"/>
    </row>
    <row r="2564" spans="4:4" ht="16.2">
      <c r="D2564" s="1575"/>
    </row>
    <row r="2565" spans="4:4" ht="16.2">
      <c r="D2565" s="1575"/>
    </row>
    <row r="2566" spans="4:4" ht="16.2">
      <c r="D2566" s="1575"/>
    </row>
    <row r="2567" spans="4:4" ht="16.2">
      <c r="D2567" s="1575"/>
    </row>
    <row r="2568" spans="4:4" ht="16.2">
      <c r="D2568" s="1575"/>
    </row>
    <row r="2569" spans="4:4" ht="16.2">
      <c r="D2569" s="1575"/>
    </row>
    <row r="2570" spans="4:4" ht="16.2">
      <c r="D2570" s="1575"/>
    </row>
    <row r="2571" spans="4:4" ht="16.2">
      <c r="D2571" s="1575"/>
    </row>
    <row r="2572" spans="4:4" ht="16.2">
      <c r="D2572" s="1575"/>
    </row>
    <row r="2573" spans="4:4" ht="16.2">
      <c r="D2573" s="1575"/>
    </row>
    <row r="2574" spans="4:4" ht="16.2">
      <c r="D2574" s="1575"/>
    </row>
    <row r="2575" spans="4:4" ht="16.2">
      <c r="D2575" s="1575"/>
    </row>
    <row r="2576" spans="4:4" ht="16.2">
      <c r="D2576" s="1575"/>
    </row>
    <row r="2577" spans="4:4" ht="16.2">
      <c r="D2577" s="1575"/>
    </row>
    <row r="2578" spans="4:4" ht="16.2">
      <c r="D2578" s="1575"/>
    </row>
    <row r="2579" spans="4:4" ht="16.2">
      <c r="D2579" s="1575"/>
    </row>
    <row r="2580" spans="4:4" ht="16.2">
      <c r="D2580" s="1575"/>
    </row>
    <row r="2581" spans="4:4" ht="16.2">
      <c r="D2581" s="1575"/>
    </row>
    <row r="2582" spans="4:4" ht="16.2">
      <c r="D2582" s="1575"/>
    </row>
    <row r="2583" spans="4:4" ht="16.2">
      <c r="D2583" s="1575"/>
    </row>
    <row r="2584" spans="4:4" ht="16.2">
      <c r="D2584" s="1575"/>
    </row>
    <row r="2585" spans="4:4" ht="16.2">
      <c r="D2585" s="1575"/>
    </row>
    <row r="2586" spans="4:4" ht="16.2">
      <c r="D2586" s="1575"/>
    </row>
    <row r="2587" spans="4:4" ht="16.2">
      <c r="D2587" s="1575"/>
    </row>
    <row r="2588" spans="4:4" ht="16.2">
      <c r="D2588" s="1575"/>
    </row>
    <row r="2589" spans="4:4" ht="16.2">
      <c r="D2589" s="1575"/>
    </row>
    <row r="2590" spans="4:4" ht="16.2">
      <c r="D2590" s="1575"/>
    </row>
    <row r="2591" spans="4:4" ht="16.2">
      <c r="D2591" s="1575"/>
    </row>
    <row r="2592" spans="4:4" ht="16.2">
      <c r="D2592" s="1575"/>
    </row>
    <row r="2593" spans="4:4" ht="16.2">
      <c r="D2593" s="1575"/>
    </row>
    <row r="2594" spans="4:4" ht="16.2">
      <c r="D2594" s="1575"/>
    </row>
    <row r="2595" spans="4:4" ht="16.2">
      <c r="D2595" s="1575"/>
    </row>
    <row r="2596" spans="4:4" ht="16.2">
      <c r="D2596" s="1575"/>
    </row>
    <row r="2597" spans="4:4" ht="16.2">
      <c r="D2597" s="1575"/>
    </row>
    <row r="2598" spans="4:4" ht="16.2">
      <c r="D2598" s="1575"/>
    </row>
    <row r="2599" spans="4:4" ht="16.2">
      <c r="D2599" s="1575"/>
    </row>
    <row r="2600" spans="4:4" ht="16.2">
      <c r="D2600" s="1575"/>
    </row>
    <row r="2601" spans="4:4" ht="16.2">
      <c r="D2601" s="1575"/>
    </row>
    <row r="2602" spans="4:4" ht="16.2">
      <c r="D2602" s="1575"/>
    </row>
    <row r="2603" spans="4:4" ht="16.2">
      <c r="D2603" s="1575"/>
    </row>
    <row r="2604" spans="4:4" ht="16.2">
      <c r="D2604" s="1575"/>
    </row>
    <row r="2605" spans="4:4" ht="16.2">
      <c r="D2605" s="1575"/>
    </row>
    <row r="2606" spans="4:4" ht="16.2">
      <c r="D2606" s="1575"/>
    </row>
    <row r="2607" spans="4:4" ht="16.2">
      <c r="D2607" s="1575"/>
    </row>
    <row r="2608" spans="4:4" ht="16.2">
      <c r="D2608" s="1575"/>
    </row>
    <row r="2609" spans="4:4" ht="16.2">
      <c r="D2609" s="1575"/>
    </row>
    <row r="2610" spans="4:4" ht="16.2">
      <c r="D2610" s="1575"/>
    </row>
    <row r="2611" spans="4:4" ht="16.2">
      <c r="D2611" s="1575"/>
    </row>
    <row r="2612" spans="4:4" ht="16.2">
      <c r="D2612" s="1575"/>
    </row>
    <row r="2613" spans="4:4" ht="16.2">
      <c r="D2613" s="1575"/>
    </row>
    <row r="2614" spans="4:4" ht="16.2">
      <c r="D2614" s="1575"/>
    </row>
    <row r="2615" spans="4:4" ht="16.2">
      <c r="D2615" s="1575"/>
    </row>
    <row r="2616" spans="4:4" ht="16.2">
      <c r="D2616" s="1575"/>
    </row>
    <row r="2617" spans="4:4" ht="16.2">
      <c r="D2617" s="1575"/>
    </row>
    <row r="2618" spans="4:4" ht="16.2">
      <c r="D2618" s="1575"/>
    </row>
    <row r="2619" spans="4:4" ht="16.2">
      <c r="D2619" s="1575"/>
    </row>
    <row r="2620" spans="4:4" ht="16.2">
      <c r="D2620" s="1575"/>
    </row>
    <row r="2621" spans="4:4" ht="16.2">
      <c r="D2621" s="1575"/>
    </row>
    <row r="2622" spans="4:4" ht="16.2">
      <c r="D2622" s="1575"/>
    </row>
    <row r="2623" spans="4:4" ht="16.2">
      <c r="D2623" s="1575"/>
    </row>
    <row r="2624" spans="4:4" ht="16.2">
      <c r="D2624" s="1575"/>
    </row>
    <row r="2625" spans="4:4" ht="16.2">
      <c r="D2625" s="1575"/>
    </row>
    <row r="2626" spans="4:4" ht="16.2">
      <c r="D2626" s="1575"/>
    </row>
    <row r="2627" spans="4:4" ht="16.2">
      <c r="D2627" s="1575"/>
    </row>
    <row r="2628" spans="4:4" ht="16.2">
      <c r="D2628" s="1575"/>
    </row>
    <row r="2629" spans="4:4" ht="16.2">
      <c r="D2629" s="1575"/>
    </row>
    <row r="2630" spans="4:4" ht="16.2">
      <c r="D2630" s="1575"/>
    </row>
    <row r="2631" spans="4:4" ht="16.2">
      <c r="D2631" s="1575"/>
    </row>
    <row r="2632" spans="4:4" ht="16.2">
      <c r="D2632" s="1575"/>
    </row>
    <row r="2633" spans="4:4" ht="16.2">
      <c r="D2633" s="1575"/>
    </row>
    <row r="2634" spans="4:4" ht="16.2">
      <c r="D2634" s="1575"/>
    </row>
    <row r="2635" spans="4:4" ht="16.2">
      <c r="D2635" s="1575"/>
    </row>
    <row r="2636" spans="4:4" ht="16.2">
      <c r="D2636" s="1575"/>
    </row>
    <row r="2637" spans="4:4" ht="16.2">
      <c r="D2637" s="1575"/>
    </row>
    <row r="2638" spans="4:4" ht="16.2">
      <c r="D2638" s="1575"/>
    </row>
    <row r="2639" spans="4:4" ht="16.2">
      <c r="D2639" s="1575"/>
    </row>
    <row r="2640" spans="4:4" ht="16.2">
      <c r="D2640" s="1575"/>
    </row>
    <row r="2641" spans="4:4" ht="16.2">
      <c r="D2641" s="1575"/>
    </row>
    <row r="2642" spans="4:4" ht="16.2">
      <c r="D2642" s="1575"/>
    </row>
    <row r="2643" spans="4:4" ht="16.2">
      <c r="D2643" s="1575"/>
    </row>
    <row r="2644" spans="4:4" ht="16.2">
      <c r="D2644" s="1575"/>
    </row>
    <row r="2645" spans="4:4" ht="16.2">
      <c r="D2645" s="1575"/>
    </row>
    <row r="2646" spans="4:4" ht="16.2">
      <c r="D2646" s="1575"/>
    </row>
    <row r="2647" spans="4:4" ht="16.2">
      <c r="D2647" s="1575"/>
    </row>
    <row r="2648" spans="4:4" ht="16.2">
      <c r="D2648" s="1575"/>
    </row>
    <row r="2649" spans="4:4" ht="16.2">
      <c r="D2649" s="1575"/>
    </row>
    <row r="2650" spans="4:4" ht="16.2">
      <c r="D2650" s="1575"/>
    </row>
    <row r="2651" spans="4:4" ht="16.2">
      <c r="D2651" s="1575"/>
    </row>
    <row r="2652" spans="4:4" ht="16.2">
      <c r="D2652" s="1575"/>
    </row>
    <row r="2653" spans="4:4" ht="16.2">
      <c r="D2653" s="1575"/>
    </row>
    <row r="2654" spans="4:4" ht="16.2">
      <c r="D2654" s="1575"/>
    </row>
    <row r="2655" spans="4:4" ht="16.2">
      <c r="D2655" s="1575"/>
    </row>
    <row r="2656" spans="4:4" ht="16.2">
      <c r="D2656" s="1575"/>
    </row>
    <row r="2657" spans="4:4" ht="16.2">
      <c r="D2657" s="1575"/>
    </row>
    <row r="2658" spans="4:4" ht="16.2">
      <c r="D2658" s="1575"/>
    </row>
    <row r="2659" spans="4:4" ht="16.2">
      <c r="D2659" s="1575"/>
    </row>
    <row r="2660" spans="4:4" ht="16.2">
      <c r="D2660" s="1575"/>
    </row>
    <row r="2661" spans="4:4" ht="16.2">
      <c r="D2661" s="1575"/>
    </row>
    <row r="2662" spans="4:4" ht="16.2">
      <c r="D2662" s="1575"/>
    </row>
    <row r="2663" spans="4:4" ht="16.2">
      <c r="D2663" s="1575"/>
    </row>
    <row r="2664" spans="4:4" ht="16.2">
      <c r="D2664" s="1575"/>
    </row>
    <row r="2665" spans="4:4" ht="16.2">
      <c r="D2665" s="1575"/>
    </row>
    <row r="2666" spans="4:4" ht="16.2">
      <c r="D2666" s="1575"/>
    </row>
    <row r="2667" spans="4:4" ht="16.2">
      <c r="D2667" s="1575"/>
    </row>
    <row r="2668" spans="4:4" ht="16.2">
      <c r="D2668" s="1575"/>
    </row>
    <row r="2669" spans="4:4" ht="16.2">
      <c r="D2669" s="1575"/>
    </row>
    <row r="2670" spans="4:4" ht="16.2">
      <c r="D2670" s="1575"/>
    </row>
    <row r="2671" spans="4:4" ht="16.2">
      <c r="D2671" s="1575"/>
    </row>
    <row r="2672" spans="4:4" ht="16.2">
      <c r="D2672" s="1575"/>
    </row>
    <row r="2673" spans="4:4" ht="16.2">
      <c r="D2673" s="1575"/>
    </row>
    <row r="2674" spans="4:4" ht="16.2">
      <c r="D2674" s="1575"/>
    </row>
    <row r="2675" spans="4:4" ht="16.2">
      <c r="D2675" s="1575"/>
    </row>
    <row r="2676" spans="4:4" ht="16.2">
      <c r="D2676" s="1575"/>
    </row>
    <row r="2677" spans="4:4" ht="16.2">
      <c r="D2677" s="1575"/>
    </row>
    <row r="2678" spans="4:4" ht="16.2">
      <c r="D2678" s="1575"/>
    </row>
    <row r="2679" spans="4:4" ht="16.2">
      <c r="D2679" s="1575"/>
    </row>
    <row r="2680" spans="4:4" ht="16.2">
      <c r="D2680" s="1575"/>
    </row>
    <row r="2681" spans="4:4" ht="16.2">
      <c r="D2681" s="1575"/>
    </row>
    <row r="2682" spans="4:4" ht="16.2">
      <c r="D2682" s="1575"/>
    </row>
    <row r="2683" spans="4:4" ht="16.2">
      <c r="D2683" s="1575"/>
    </row>
    <row r="2684" spans="4:4" ht="16.2">
      <c r="D2684" s="1575"/>
    </row>
    <row r="2685" spans="4:4" ht="16.2">
      <c r="D2685" s="1575"/>
    </row>
    <row r="2686" spans="4:4" ht="16.2">
      <c r="D2686" s="1575"/>
    </row>
    <row r="2687" spans="4:4" ht="16.2">
      <c r="D2687" s="1575"/>
    </row>
    <row r="2688" spans="4:4" ht="16.2">
      <c r="D2688" s="1575"/>
    </row>
    <row r="2689" spans="4:4" ht="16.2">
      <c r="D2689" s="1575"/>
    </row>
    <row r="2690" spans="4:4" ht="16.2">
      <c r="D2690" s="1575"/>
    </row>
    <row r="2691" spans="4:4" ht="16.2">
      <c r="D2691" s="1575"/>
    </row>
    <row r="2692" spans="4:4" ht="16.2">
      <c r="D2692" s="1575"/>
    </row>
    <row r="2693" spans="4:4" ht="16.2">
      <c r="D2693" s="1575"/>
    </row>
    <row r="2694" spans="4:4" ht="16.2">
      <c r="D2694" s="1575"/>
    </row>
    <row r="2695" spans="4:4" ht="16.2">
      <c r="D2695" s="1575"/>
    </row>
    <row r="2696" spans="4:4" ht="16.2">
      <c r="D2696" s="1575"/>
    </row>
    <row r="2697" spans="4:4" ht="16.2">
      <c r="D2697" s="1575"/>
    </row>
    <row r="2698" spans="4:4" ht="16.2">
      <c r="D2698" s="1575"/>
    </row>
    <row r="2699" spans="4:4" ht="16.2">
      <c r="D2699" s="1575"/>
    </row>
    <row r="2700" spans="4:4" ht="16.2">
      <c r="D2700" s="1575"/>
    </row>
    <row r="2701" spans="4:4" ht="16.2">
      <c r="D2701" s="1575"/>
    </row>
    <row r="2702" spans="4:4" ht="16.2">
      <c r="D2702" s="1575"/>
    </row>
    <row r="2703" spans="4:4" ht="16.2">
      <c r="D2703" s="1575"/>
    </row>
    <row r="2704" spans="4:4" ht="16.2">
      <c r="D2704" s="1575"/>
    </row>
    <row r="2705" spans="4:4" ht="16.2">
      <c r="D2705" s="1575"/>
    </row>
    <row r="2706" spans="4:4" ht="16.2">
      <c r="D2706" s="1575"/>
    </row>
    <row r="2707" spans="4:4" ht="16.2">
      <c r="D2707" s="1575"/>
    </row>
    <row r="2708" spans="4:4" ht="16.2">
      <c r="D2708" s="1575"/>
    </row>
    <row r="2709" spans="4:4" ht="16.2">
      <c r="D2709" s="1575"/>
    </row>
    <row r="2710" spans="4:4" ht="16.2">
      <c r="D2710" s="1575"/>
    </row>
    <row r="2711" spans="4:4" ht="16.2">
      <c r="D2711" s="1575"/>
    </row>
    <row r="2712" spans="4:4" ht="16.2">
      <c r="D2712" s="1575"/>
    </row>
    <row r="2713" spans="4:4" ht="16.2">
      <c r="D2713" s="1575"/>
    </row>
    <row r="2714" spans="4:4" ht="16.2">
      <c r="D2714" s="1575"/>
    </row>
    <row r="2715" spans="4:4" ht="16.2">
      <c r="D2715" s="1575"/>
    </row>
    <row r="2716" spans="4:4" ht="16.2">
      <c r="D2716" s="1575"/>
    </row>
    <row r="2717" spans="4:4" ht="16.2">
      <c r="D2717" s="1575"/>
    </row>
    <row r="2718" spans="4:4" ht="16.2">
      <c r="D2718" s="1575"/>
    </row>
    <row r="2719" spans="4:4" ht="16.2">
      <c r="D2719" s="1575"/>
    </row>
    <row r="2720" spans="4:4" ht="16.2">
      <c r="D2720" s="1575"/>
    </row>
    <row r="2721" spans="4:4" ht="16.2">
      <c r="D2721" s="1575"/>
    </row>
    <row r="2722" spans="4:4" ht="16.2">
      <c r="D2722" s="1575"/>
    </row>
    <row r="2723" spans="4:4" ht="16.2">
      <c r="D2723" s="1575"/>
    </row>
    <row r="2724" spans="4:4" ht="16.2">
      <c r="D2724" s="1575"/>
    </row>
    <row r="2725" spans="4:4" ht="16.2">
      <c r="D2725" s="1575"/>
    </row>
    <row r="2726" spans="4:4" ht="16.2">
      <c r="D2726" s="1575"/>
    </row>
    <row r="2727" spans="4:4" ht="16.2">
      <c r="D2727" s="1575"/>
    </row>
    <row r="2728" spans="4:4" ht="16.2">
      <c r="D2728" s="1575"/>
    </row>
    <row r="2729" spans="4:4" ht="16.2">
      <c r="D2729" s="1575"/>
    </row>
    <row r="2730" spans="4:4" ht="16.2">
      <c r="D2730" s="1575"/>
    </row>
    <row r="2731" spans="4:4" ht="16.2">
      <c r="D2731" s="1575"/>
    </row>
    <row r="2732" spans="4:4" ht="16.2">
      <c r="D2732" s="1575"/>
    </row>
    <row r="2733" spans="4:4" ht="16.2">
      <c r="D2733" s="1575"/>
    </row>
    <row r="2734" spans="4:4" ht="16.2">
      <c r="D2734" s="1575"/>
    </row>
    <row r="2735" spans="4:4" ht="16.2">
      <c r="D2735" s="1575"/>
    </row>
    <row r="2736" spans="4:4" ht="16.2">
      <c r="D2736" s="1575"/>
    </row>
    <row r="2737" spans="4:4" ht="16.2">
      <c r="D2737" s="1575"/>
    </row>
    <row r="2738" spans="4:4" ht="16.2">
      <c r="D2738" s="1575"/>
    </row>
    <row r="2739" spans="4:4" ht="16.2">
      <c r="D2739" s="1575"/>
    </row>
    <row r="2740" spans="4:4" ht="16.2">
      <c r="D2740" s="1575"/>
    </row>
    <row r="2741" spans="4:4" ht="16.2">
      <c r="D2741" s="1575"/>
    </row>
    <row r="2742" spans="4:4" ht="16.2">
      <c r="D2742" s="1575"/>
    </row>
    <row r="2743" spans="4:4" ht="16.2">
      <c r="D2743" s="1575"/>
    </row>
    <row r="2744" spans="4:4" ht="16.2">
      <c r="D2744" s="1575"/>
    </row>
    <row r="2745" spans="4:4" ht="16.2">
      <c r="D2745" s="1575"/>
    </row>
    <row r="2746" spans="4:4" ht="16.2">
      <c r="D2746" s="1575"/>
    </row>
    <row r="2747" spans="4:4" ht="16.2">
      <c r="D2747" s="1575"/>
    </row>
    <row r="2748" spans="4:4" ht="16.2">
      <c r="D2748" s="1575"/>
    </row>
    <row r="2749" spans="4:4" ht="16.2">
      <c r="D2749" s="1575"/>
    </row>
    <row r="2750" spans="4:4" ht="16.2">
      <c r="D2750" s="1575"/>
    </row>
    <row r="2751" spans="4:4" ht="16.2">
      <c r="D2751" s="1575"/>
    </row>
    <row r="2752" spans="4:4" ht="16.2">
      <c r="D2752" s="1575"/>
    </row>
    <row r="2753" spans="4:4" ht="16.2">
      <c r="D2753" s="1575"/>
    </row>
    <row r="2754" spans="4:4" ht="16.2">
      <c r="D2754" s="1575"/>
    </row>
    <row r="2755" spans="4:4" ht="16.2">
      <c r="D2755" s="1575"/>
    </row>
    <row r="2756" spans="4:4" ht="16.2">
      <c r="D2756" s="1575"/>
    </row>
    <row r="2757" spans="4:4" ht="16.2">
      <c r="D2757" s="1575"/>
    </row>
    <row r="2758" spans="4:4" ht="16.2">
      <c r="D2758" s="1575"/>
    </row>
    <row r="2759" spans="4:4" ht="16.2">
      <c r="D2759" s="1575"/>
    </row>
    <row r="2760" spans="4:4" ht="16.2">
      <c r="D2760" s="1575"/>
    </row>
    <row r="2761" spans="4:4" ht="16.2">
      <c r="D2761" s="1575"/>
    </row>
    <row r="2762" spans="4:4" ht="16.2">
      <c r="D2762" s="1575"/>
    </row>
    <row r="2763" spans="4:4" ht="16.2">
      <c r="D2763" s="1575"/>
    </row>
    <row r="2764" spans="4:4" ht="16.2">
      <c r="D2764" s="1575"/>
    </row>
    <row r="2765" spans="4:4" ht="16.2">
      <c r="D2765" s="1575"/>
    </row>
    <row r="2766" spans="4:4" ht="16.2">
      <c r="D2766" s="1575"/>
    </row>
    <row r="2767" spans="4:4" ht="16.2">
      <c r="D2767" s="1575"/>
    </row>
    <row r="2768" spans="4:4" ht="16.2">
      <c r="D2768" s="1575"/>
    </row>
    <row r="2769" spans="4:4" ht="16.2">
      <c r="D2769" s="1575"/>
    </row>
    <row r="2770" spans="4:4" ht="16.2">
      <c r="D2770" s="1575"/>
    </row>
    <row r="2771" spans="4:4" ht="16.2">
      <c r="D2771" s="1575"/>
    </row>
    <row r="2772" spans="4:4" ht="16.2">
      <c r="D2772" s="1575"/>
    </row>
    <row r="2773" spans="4:4" ht="16.2">
      <c r="D2773" s="1575"/>
    </row>
    <row r="2774" spans="4:4" ht="16.2">
      <c r="D2774" s="1575"/>
    </row>
    <row r="2775" spans="4:4" ht="16.2">
      <c r="D2775" s="1575"/>
    </row>
    <row r="2776" spans="4:4" ht="16.2">
      <c r="D2776" s="1575"/>
    </row>
    <row r="2777" spans="4:4" ht="16.2">
      <c r="D2777" s="1575"/>
    </row>
    <row r="2778" spans="4:4" ht="16.2">
      <c r="D2778" s="1575"/>
    </row>
    <row r="2779" spans="4:4" ht="16.2">
      <c r="D2779" s="1575"/>
    </row>
    <row r="2780" spans="4:4" ht="16.2">
      <c r="D2780" s="1575"/>
    </row>
    <row r="2781" spans="4:4" ht="16.2">
      <c r="D2781" s="1575"/>
    </row>
    <row r="2782" spans="4:4" ht="16.2">
      <c r="D2782" s="1575"/>
    </row>
    <row r="2783" spans="4:4" ht="16.2">
      <c r="D2783" s="1575"/>
    </row>
    <row r="2784" spans="4:4" ht="16.2">
      <c r="D2784" s="1575"/>
    </row>
    <row r="2785" spans="4:4" ht="16.2">
      <c r="D2785" s="1575"/>
    </row>
    <row r="2786" spans="4:4" ht="16.2">
      <c r="D2786" s="1575"/>
    </row>
    <row r="2787" spans="4:4" ht="16.2">
      <c r="D2787" s="1575"/>
    </row>
    <row r="2788" spans="4:4" ht="16.2">
      <c r="D2788" s="1575"/>
    </row>
    <row r="2789" spans="4:4" ht="16.2">
      <c r="D2789" s="1575"/>
    </row>
    <row r="2790" spans="4:4" ht="16.2">
      <c r="D2790" s="1575"/>
    </row>
    <row r="2791" spans="4:4" ht="16.2">
      <c r="D2791" s="1575"/>
    </row>
    <row r="2792" spans="4:4" ht="16.2">
      <c r="D2792" s="1575"/>
    </row>
    <row r="2793" spans="4:4" ht="16.2">
      <c r="D2793" s="1575"/>
    </row>
    <row r="2794" spans="4:4" ht="16.2">
      <c r="D2794" s="1575"/>
    </row>
    <row r="2795" spans="4:4" ht="16.2">
      <c r="D2795" s="1575"/>
    </row>
    <row r="2796" spans="4:4" ht="16.2">
      <c r="D2796" s="1575"/>
    </row>
    <row r="2797" spans="4:4" ht="16.2">
      <c r="D2797" s="1575"/>
    </row>
    <row r="2798" spans="4:4" ht="16.2">
      <c r="D2798" s="1575"/>
    </row>
    <row r="2799" spans="4:4" ht="16.2">
      <c r="D2799" s="1575"/>
    </row>
    <row r="2800" spans="4:4" ht="16.2">
      <c r="D2800" s="1575"/>
    </row>
    <row r="2801" spans="4:4" ht="16.2">
      <c r="D2801" s="1575"/>
    </row>
  </sheetData>
  <autoFilter ref="A10:S2362" xr:uid="{00000000-0009-0000-0000-00000F000000}">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5" priority="39" timePeriod="today">
      <formula>FLOOR(T1,1)=TODAY()</formula>
    </cfRule>
  </conditionalFormatting>
  <conditionalFormatting sqref="B2344 B77 B94 B176 B341 B375 B395 B430 B513 B533 B549">
    <cfRule type="duplicateValues" dxfId="64" priority="38"/>
  </conditionalFormatting>
  <conditionalFormatting sqref="C1:C629 C1811:C1858 C1090:C1809 C2307:C1048576 C2305 C2023:C2303 C1928:C2021 C1861:C1870 C885:C1082 C641:C873 C1873:C1925">
    <cfRule type="containsText" dxfId="63" priority="34" operator="containsText" text="x">
      <formula>NOT(ISERROR(SEARCH("x",C1)))</formula>
    </cfRule>
  </conditionalFormatting>
  <conditionalFormatting sqref="C1810">
    <cfRule type="containsText" dxfId="62" priority="32" operator="containsText" text="x">
      <formula>NOT(ISERROR(SEARCH("x",C1810)))</formula>
    </cfRule>
  </conditionalFormatting>
  <conditionalFormatting sqref="C1859:C1860">
    <cfRule type="containsText" dxfId="61" priority="30" operator="containsText" text="x">
      <formula>NOT(ISERROR(SEARCH("x",C1859)))</formula>
    </cfRule>
  </conditionalFormatting>
  <conditionalFormatting sqref="C1083:C1089">
    <cfRule type="containsText" dxfId="60" priority="28" operator="containsText" text="x">
      <formula>NOT(ISERROR(SEARCH("x",C1083)))</formula>
    </cfRule>
  </conditionalFormatting>
  <conditionalFormatting sqref="T1:T629 T885:T1870 T641:T873 T1873:T1048576">
    <cfRule type="cellIs" dxfId="59" priority="27" operator="greaterThan">
      <formula>0</formula>
    </cfRule>
  </conditionalFormatting>
  <conditionalFormatting sqref="C2306">
    <cfRule type="containsText" dxfId="58" priority="25" operator="containsText" text="x">
      <formula>NOT(ISERROR(SEARCH("x",C2306)))</formula>
    </cfRule>
  </conditionalFormatting>
  <conditionalFormatting sqref="C2304">
    <cfRule type="containsText" dxfId="57" priority="22" operator="containsText" text="x">
      <formula>NOT(ISERROR(SEARCH("x",C2304)))</formula>
    </cfRule>
  </conditionalFormatting>
  <conditionalFormatting sqref="C2022">
    <cfRule type="containsText" dxfId="56" priority="17" operator="containsText" text="x">
      <formula>NOT(ISERROR(SEARCH("x",C2022)))</formula>
    </cfRule>
  </conditionalFormatting>
  <conditionalFormatting sqref="C1926:C1927">
    <cfRule type="containsText" dxfId="55" priority="14" operator="containsText" text="x">
      <formula>NOT(ISERROR(SEARCH("x",C1926)))</formula>
    </cfRule>
  </conditionalFormatting>
  <conditionalFormatting sqref="T874:T884">
    <cfRule type="timePeriod" dxfId="54" priority="12" timePeriod="today">
      <formula>FLOOR(T874,1)=TODAY()</formula>
    </cfRule>
  </conditionalFormatting>
  <conditionalFormatting sqref="C874:C884">
    <cfRule type="containsText" dxfId="53" priority="11" operator="containsText" text="x">
      <formula>NOT(ISERROR(SEARCH("x",C874)))</formula>
    </cfRule>
  </conditionalFormatting>
  <conditionalFormatting sqref="T874:T884">
    <cfRule type="cellIs" dxfId="52" priority="10" operator="greaterThan">
      <formula>0</formula>
    </cfRule>
  </conditionalFormatting>
  <conditionalFormatting sqref="T630:T640">
    <cfRule type="timePeriod" dxfId="51" priority="9" timePeriod="today">
      <formula>FLOOR(T630,1)=TODAY()</formula>
    </cfRule>
  </conditionalFormatting>
  <conditionalFormatting sqref="C630:C640">
    <cfRule type="containsText" dxfId="50" priority="8" operator="containsText" text="x">
      <formula>NOT(ISERROR(SEARCH("x",C630)))</formula>
    </cfRule>
  </conditionalFormatting>
  <conditionalFormatting sqref="T630:T640">
    <cfRule type="cellIs" dxfId="49" priority="7" operator="greaterThan">
      <formula>0</formula>
    </cfRule>
  </conditionalFormatting>
  <conditionalFormatting sqref="T1871">
    <cfRule type="timePeriod" dxfId="48" priority="6" timePeriod="today">
      <formula>FLOOR(T1871,1)=TODAY()</formula>
    </cfRule>
  </conditionalFormatting>
  <conditionalFormatting sqref="C1871">
    <cfRule type="containsText" dxfId="47" priority="5" operator="containsText" text="x">
      <formula>NOT(ISERROR(SEARCH("x",C1871)))</formula>
    </cfRule>
  </conditionalFormatting>
  <conditionalFormatting sqref="T1871">
    <cfRule type="cellIs" dxfId="46" priority="4" operator="greaterThan">
      <formula>0</formula>
    </cfRule>
  </conditionalFormatting>
  <conditionalFormatting sqref="T1872">
    <cfRule type="timePeriod" dxfId="45" priority="3" timePeriod="today">
      <formula>FLOOR(T1872,1)=TODAY()</formula>
    </cfRule>
  </conditionalFormatting>
  <conditionalFormatting sqref="C1872">
    <cfRule type="containsText" dxfId="44" priority="2" operator="containsText" text="x">
      <formula>NOT(ISERROR(SEARCH("x",C1872)))</formula>
    </cfRule>
  </conditionalFormatting>
  <conditionalFormatting sqref="T1872">
    <cfRule type="cellIs" dxfId="43"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726" t="s">
        <v>4239</v>
      </c>
      <c r="B1" s="2726"/>
      <c r="C1" s="2726"/>
      <c r="D1" s="2726"/>
      <c r="E1" s="2726"/>
      <c r="F1" s="2726"/>
      <c r="G1" s="2726"/>
      <c r="H1" s="2726"/>
      <c r="I1" s="2726"/>
      <c r="J1" s="2726"/>
      <c r="K1" s="2726"/>
      <c r="L1" s="2726"/>
      <c r="M1" s="2726"/>
      <c r="N1" s="2726"/>
      <c r="O1" s="2726"/>
      <c r="P1" s="2726"/>
      <c r="R1" s="850"/>
    </row>
    <row r="2" spans="1:24" ht="35.25" customHeight="1">
      <c r="A2" s="2725" t="str">
        <f>"Tên công trình: "&amp;Solieu!C6</f>
        <v>Tên công trình: 00</v>
      </c>
      <c r="B2" s="2725"/>
      <c r="C2" s="2725"/>
      <c r="D2" s="2725"/>
      <c r="E2" s="2725"/>
      <c r="F2" s="2725"/>
      <c r="G2" s="2725"/>
      <c r="H2" s="2725"/>
      <c r="I2" s="2725"/>
      <c r="J2" s="2725"/>
      <c r="K2" s="2727" t="str">
        <f>"Đơn vị thi công: "&amp;Solieu!C10</f>
        <v>Đơn vị thi công: 06</v>
      </c>
      <c r="L2" s="2727"/>
      <c r="M2" s="2727"/>
      <c r="N2" s="2727"/>
      <c r="O2" s="2727"/>
      <c r="P2" s="2727"/>
    </row>
    <row r="3" spans="1:24" ht="26.25" customHeight="1" thickBot="1">
      <c r="A3" s="2725" t="s">
        <v>4240</v>
      </c>
      <c r="B3" s="2725"/>
      <c r="C3" s="2725"/>
      <c r="D3" s="2725"/>
      <c r="E3" s="2725"/>
      <c r="F3" s="2725"/>
      <c r="G3" s="2725"/>
      <c r="H3" s="2725"/>
      <c r="I3" s="2725"/>
      <c r="J3" s="2725"/>
      <c r="K3" s="2728" t="s">
        <v>4241</v>
      </c>
      <c r="L3" s="2729"/>
      <c r="M3" s="2729"/>
      <c r="N3" s="2729"/>
      <c r="O3" s="2729"/>
      <c r="P3" s="2730"/>
    </row>
    <row r="4" spans="1:24" ht="26.25" customHeight="1" thickTop="1">
      <c r="A4" s="2725" t="s">
        <v>4242</v>
      </c>
      <c r="B4" s="2725"/>
      <c r="C4" s="2725"/>
      <c r="D4" s="2725"/>
      <c r="E4" s="2725"/>
      <c r="F4" s="2725"/>
      <c r="G4" s="2725"/>
      <c r="H4" s="2725"/>
      <c r="I4" s="2725"/>
      <c r="J4" s="2725"/>
      <c r="K4" s="2725"/>
      <c r="L4" s="2725"/>
      <c r="M4" s="2725"/>
      <c r="N4" s="2725"/>
      <c r="O4" s="2725"/>
      <c r="P4" s="2725"/>
      <c r="R4" s="940"/>
      <c r="S4" s="753"/>
      <c r="T4" s="754"/>
      <c r="U4" s="950"/>
      <c r="V4" s="939"/>
      <c r="W4" s="951"/>
      <c r="X4" s="952"/>
    </row>
    <row r="5" spans="1:24" ht="28.5" customHeight="1">
      <c r="A5" s="2727" t="s">
        <v>4243</v>
      </c>
      <c r="B5" s="2727" t="s">
        <v>4244</v>
      </c>
      <c r="C5" s="2727"/>
      <c r="D5" s="2727" t="s">
        <v>4245</v>
      </c>
      <c r="E5" s="893" t="s">
        <v>4246</v>
      </c>
      <c r="F5" s="893"/>
      <c r="G5" s="893"/>
      <c r="H5" s="893"/>
      <c r="I5" s="893"/>
      <c r="J5" s="893"/>
      <c r="K5" s="893"/>
      <c r="L5" s="893"/>
      <c r="M5" s="893"/>
      <c r="N5" s="2731" t="s">
        <v>4247</v>
      </c>
      <c r="O5" s="2727" t="s">
        <v>4248</v>
      </c>
      <c r="P5" s="2727"/>
      <c r="R5" s="940"/>
      <c r="S5" s="753"/>
      <c r="T5" s="754"/>
      <c r="U5" s="953"/>
      <c r="V5" s="938"/>
      <c r="W5" s="937"/>
      <c r="X5" s="938"/>
    </row>
    <row r="6" spans="1:24" ht="28.5" customHeight="1">
      <c r="A6" s="2727"/>
      <c r="B6" s="2727" t="s">
        <v>4249</v>
      </c>
      <c r="C6" s="2727" t="s">
        <v>4250</v>
      </c>
      <c r="D6" s="2727"/>
      <c r="E6" s="2727" t="s">
        <v>4251</v>
      </c>
      <c r="F6" s="2727" t="s">
        <v>4252</v>
      </c>
      <c r="G6" s="2727" t="s">
        <v>4253</v>
      </c>
      <c r="H6" s="2727" t="s">
        <v>4254</v>
      </c>
      <c r="I6" s="2727"/>
      <c r="J6" s="2727" t="s">
        <v>4255</v>
      </c>
      <c r="K6" s="2727"/>
      <c r="L6" s="2727"/>
      <c r="M6" s="2727"/>
      <c r="N6" s="2732"/>
      <c r="O6" s="2727" t="s">
        <v>4256</v>
      </c>
      <c r="P6" s="2727" t="s">
        <v>4257</v>
      </c>
      <c r="R6" s="940"/>
      <c r="S6" s="753"/>
      <c r="T6" s="754"/>
      <c r="U6" s="949"/>
      <c r="V6" s="949"/>
      <c r="W6" s="949"/>
      <c r="X6" s="949"/>
    </row>
    <row r="7" spans="1:24" ht="48" customHeight="1">
      <c r="A7" s="2727"/>
      <c r="B7" s="2727"/>
      <c r="C7" s="2727"/>
      <c r="D7" s="2727"/>
      <c r="E7" s="2727"/>
      <c r="F7" s="2727"/>
      <c r="G7" s="2727"/>
      <c r="H7" s="858" t="s">
        <v>4258</v>
      </c>
      <c r="I7" s="858" t="s">
        <v>4259</v>
      </c>
      <c r="J7" s="858" t="s">
        <v>4260</v>
      </c>
      <c r="K7" s="858" t="s">
        <v>4261</v>
      </c>
      <c r="L7" s="858" t="s">
        <v>4258</v>
      </c>
      <c r="M7" s="858" t="s">
        <v>4262</v>
      </c>
      <c r="N7" s="2733"/>
      <c r="O7" s="2727"/>
      <c r="P7" s="2727"/>
      <c r="Q7" s="848" t="s">
        <v>512</v>
      </c>
      <c r="R7" s="940"/>
      <c r="S7" s="752"/>
      <c r="T7" s="752"/>
      <c r="U7" s="753"/>
      <c r="V7" s="754"/>
      <c r="W7" s="754"/>
      <c r="X7" s="754"/>
    </row>
    <row r="8" spans="1:24" ht="23.25" customHeight="1">
      <c r="A8" s="899"/>
      <c r="B8" s="954" t="s">
        <v>4328</v>
      </c>
      <c r="C8" s="895" t="str">
        <f t="shared" ref="C8:C26" si="0">B8</f>
        <v>01/13</v>
      </c>
      <c r="D8" s="753">
        <v>25</v>
      </c>
      <c r="E8" s="896" t="s">
        <v>4326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4329</v>
      </c>
      <c r="C9" s="895" t="str">
        <f t="shared" si="0"/>
        <v>01/14</v>
      </c>
      <c r="D9" s="753">
        <v>38</v>
      </c>
      <c r="E9" s="896" t="s">
        <v>4326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4330</v>
      </c>
      <c r="C10" s="895" t="str">
        <f t="shared" si="0"/>
        <v>01/15</v>
      </c>
      <c r="D10" s="752">
        <v>40</v>
      </c>
      <c r="E10" s="896" t="s">
        <v>4326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4331</v>
      </c>
      <c r="C11" s="895" t="str">
        <f t="shared" si="0"/>
        <v>01/16</v>
      </c>
      <c r="D11" s="752">
        <v>40</v>
      </c>
      <c r="E11" s="896" t="s">
        <v>4326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4332</v>
      </c>
      <c r="C12" s="895" t="str">
        <f t="shared" si="0"/>
        <v>01/17</v>
      </c>
      <c r="D12" s="752">
        <v>38</v>
      </c>
      <c r="E12" s="896" t="s">
        <v>4326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4333</v>
      </c>
      <c r="C13" s="895" t="str">
        <f t="shared" si="0"/>
        <v>01/18</v>
      </c>
      <c r="D13" s="752">
        <v>40</v>
      </c>
      <c r="E13" s="896" t="s">
        <v>4326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4334</v>
      </c>
      <c r="C14" s="895" t="str">
        <f t="shared" si="0"/>
        <v>01/19</v>
      </c>
      <c r="D14" s="752">
        <v>40</v>
      </c>
      <c r="E14" s="896" t="s">
        <v>4326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4335</v>
      </c>
      <c r="C15" s="895" t="str">
        <f t="shared" si="0"/>
        <v>01/20</v>
      </c>
      <c r="D15" s="752">
        <v>38</v>
      </c>
      <c r="E15" s="896" t="s">
        <v>4326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4336</v>
      </c>
      <c r="C16" s="895" t="str">
        <f t="shared" si="0"/>
        <v>01/21</v>
      </c>
      <c r="D16" s="752">
        <v>40</v>
      </c>
      <c r="E16" s="896" t="s">
        <v>4326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4337</v>
      </c>
      <c r="C17" s="895" t="str">
        <f t="shared" si="0"/>
        <v>01/22</v>
      </c>
      <c r="D17" s="752">
        <v>40</v>
      </c>
      <c r="E17" s="896" t="s">
        <v>4326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4338</v>
      </c>
      <c r="C18" s="895" t="str">
        <f t="shared" si="0"/>
        <v>01/23</v>
      </c>
      <c r="D18" s="752">
        <v>40</v>
      </c>
      <c r="E18" s="896" t="s">
        <v>4326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4339</v>
      </c>
      <c r="C19" s="895" t="str">
        <f t="shared" si="0"/>
        <v>01/24</v>
      </c>
      <c r="D19" s="941">
        <v>40</v>
      </c>
      <c r="E19" s="896" t="s">
        <v>4326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4340</v>
      </c>
      <c r="C20" s="895" t="str">
        <f t="shared" si="0"/>
        <v>01/25</v>
      </c>
      <c r="D20" s="942">
        <v>38</v>
      </c>
      <c r="E20" s="896" t="s">
        <v>4326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4341</v>
      </c>
      <c r="C21" s="895" t="str">
        <f t="shared" si="0"/>
        <v>01/26</v>
      </c>
      <c r="D21" s="942">
        <v>35</v>
      </c>
      <c r="E21" s="896" t="s">
        <v>4326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4342</v>
      </c>
      <c r="C22" s="895" t="str">
        <f t="shared" si="0"/>
        <v>01/27</v>
      </c>
      <c r="D22" s="752">
        <v>35</v>
      </c>
      <c r="E22" s="896" t="s">
        <v>4326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4343</v>
      </c>
      <c r="C23" s="895" t="str">
        <f t="shared" si="0"/>
        <v>01/28</v>
      </c>
      <c r="D23" s="941">
        <v>38</v>
      </c>
      <c r="E23" s="896" t="s">
        <v>4326</v>
      </c>
      <c r="F23" s="897">
        <v>1.2</v>
      </c>
      <c r="G23" s="898" t="s">
        <v>87</v>
      </c>
      <c r="H23" s="896"/>
      <c r="I23" s="896"/>
      <c r="J23" s="896"/>
      <c r="K23" s="896"/>
      <c r="L23" s="896"/>
      <c r="M23" s="896"/>
      <c r="N23" s="896"/>
      <c r="O23" s="896"/>
      <c r="P23" s="896"/>
      <c r="Q23" s="848" t="str">
        <f t="shared" si="1"/>
        <v>x</v>
      </c>
    </row>
    <row r="24" spans="1:20" ht="28.5" customHeight="1">
      <c r="A24" s="899"/>
      <c r="B24" s="954" t="s">
        <v>4344</v>
      </c>
      <c r="C24" s="895" t="str">
        <f t="shared" si="0"/>
        <v>01/29</v>
      </c>
      <c r="D24" s="551">
        <v>40</v>
      </c>
      <c r="E24" s="896" t="s">
        <v>4326</v>
      </c>
      <c r="F24" s="897">
        <v>1.2</v>
      </c>
      <c r="G24" s="898" t="s">
        <v>87</v>
      </c>
      <c r="H24" s="896"/>
      <c r="I24" s="896"/>
      <c r="J24" s="896"/>
      <c r="K24" s="896"/>
      <c r="L24" s="896"/>
      <c r="M24" s="896"/>
      <c r="N24" s="896"/>
      <c r="O24" s="896"/>
      <c r="P24" s="896"/>
      <c r="Q24" s="848" t="str">
        <f t="shared" si="1"/>
        <v>x</v>
      </c>
    </row>
    <row r="25" spans="1:20" ht="28.5" customHeight="1">
      <c r="A25" s="899"/>
      <c r="B25" s="954" t="s">
        <v>4345</v>
      </c>
      <c r="C25" s="895" t="str">
        <f t="shared" si="0"/>
        <v>01/30</v>
      </c>
      <c r="D25" s="551">
        <v>40</v>
      </c>
      <c r="E25" s="896" t="s">
        <v>4326</v>
      </c>
      <c r="F25" s="897">
        <v>1.2</v>
      </c>
      <c r="G25" s="898" t="s">
        <v>87</v>
      </c>
      <c r="H25" s="896"/>
      <c r="I25" s="896"/>
      <c r="J25" s="896"/>
      <c r="K25" s="896"/>
      <c r="L25" s="896"/>
      <c r="M25" s="896"/>
      <c r="N25" s="896"/>
      <c r="O25" s="896"/>
      <c r="P25" s="896"/>
      <c r="Q25" s="848" t="str">
        <f t="shared" si="1"/>
        <v>x</v>
      </c>
    </row>
    <row r="26" spans="1:20" ht="28.5" customHeight="1">
      <c r="A26" s="899"/>
      <c r="B26" s="954" t="s">
        <v>4346</v>
      </c>
      <c r="C26" s="895" t="str">
        <f t="shared" si="0"/>
        <v>01/31</v>
      </c>
      <c r="D26" s="551">
        <v>40</v>
      </c>
      <c r="E26" s="896" t="s">
        <v>4326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724" t="str">
        <f>"- Tổng chiều dài tuyến: "&amp;ROUND(SUM(D8:D50),1)&amp;" m"</f>
        <v>- Tổng chiều dài tuyến: 725 m</v>
      </c>
      <c r="D52" s="2725"/>
      <c r="E52" s="2725"/>
      <c r="F52" s="2725"/>
      <c r="G52" s="2725"/>
      <c r="H52" s="2725"/>
      <c r="I52" s="2725"/>
      <c r="J52" s="2725"/>
      <c r="K52" s="2725"/>
      <c r="L52" s="2725"/>
      <c r="M52" s="2725"/>
      <c r="N52" s="2725"/>
      <c r="O52" s="2725"/>
      <c r="P52" s="2725"/>
    </row>
    <row r="53" spans="1:17" ht="21.75" customHeight="1">
      <c r="A53" s="964" t="s">
        <v>4263</v>
      </c>
      <c r="B53" s="958"/>
      <c r="C53" s="2724" t="str">
        <f>"- Tổng số lượng trụ "&amp;$E$8&amp;"m: "&amp;COUNTIF(E8:E51,$E$8)&amp;" trụ."</f>
        <v>- Tổng số lượng trụ 7,5m: 19 trụ.</v>
      </c>
      <c r="D53" s="2725"/>
      <c r="E53" s="2725"/>
      <c r="F53" s="2725"/>
      <c r="G53" s="2725"/>
      <c r="H53" s="2725"/>
      <c r="I53" s="2725"/>
      <c r="J53" s="2725"/>
      <c r="K53" s="2725"/>
      <c r="L53" s="2725"/>
      <c r="M53" s="2725"/>
      <c r="N53" s="2725"/>
      <c r="O53" s="2725"/>
      <c r="P53" s="2725"/>
    </row>
    <row r="54" spans="1:17" ht="21.75" customHeight="1">
      <c r="A54" s="959"/>
      <c r="B54" s="960"/>
      <c r="C54" s="2724" t="str">
        <f>"- Tổng số lượng móng M7BT đôi: "&amp;TEXT(COUNTIF(G6:G51,"M7BT ĐÔI"),"00")&amp;" móng."</f>
        <v>- Tổng số lượng móng M7BT đôi: 00 móng.</v>
      </c>
      <c r="D54" s="2725"/>
      <c r="E54" s="2725"/>
      <c r="F54" s="2725"/>
      <c r="G54" s="2725"/>
      <c r="H54" s="2725"/>
      <c r="I54" s="2725"/>
      <c r="J54" s="2725"/>
      <c r="K54" s="2725"/>
      <c r="L54" s="2725"/>
      <c r="M54" s="2725"/>
      <c r="N54" s="2725"/>
      <c r="O54" s="2725"/>
      <c r="P54" s="2725"/>
    </row>
    <row r="55" spans="1:17" ht="21.75" hidden="1" customHeight="1">
      <c r="A55" s="959"/>
      <c r="B55" s="960"/>
      <c r="C55" s="2724" t="str">
        <f>"- Tổng số lượng móng M12BT đơn: "&amp;TEXT(COUNTIF(G6:G13,"M12BT ĐƠN"),"00")&amp;" móng."</f>
        <v>- Tổng số lượng móng M12BT đơn: 00 móng.</v>
      </c>
      <c r="D55" s="2725"/>
      <c r="E55" s="2725"/>
      <c r="F55" s="2725"/>
      <c r="G55" s="2725"/>
      <c r="H55" s="2725"/>
      <c r="I55" s="2725"/>
      <c r="J55" s="2725"/>
      <c r="K55" s="2725"/>
      <c r="L55" s="2725"/>
      <c r="M55" s="2725"/>
      <c r="N55" s="2725"/>
      <c r="O55" s="2725"/>
      <c r="P55" s="2725"/>
      <c r="Q55" s="848">
        <f>COUNTIF(G8:G13,"M12BT ĐƠN")</f>
        <v>0</v>
      </c>
    </row>
  </sheetData>
  <autoFilter ref="Q7:Q50" xr:uid="{00000000-0009-0000-0000-000010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726" t="s">
        <v>4264</v>
      </c>
      <c r="B1" s="2726"/>
      <c r="C1" s="2726"/>
      <c r="D1" s="2726"/>
      <c r="E1" s="2726"/>
      <c r="F1" s="2726"/>
      <c r="G1" s="2726"/>
      <c r="H1" s="2726"/>
      <c r="I1" s="2726"/>
      <c r="J1" s="2726"/>
      <c r="K1" s="2726"/>
      <c r="L1" s="2726"/>
      <c r="M1" s="2726"/>
      <c r="N1" s="2726"/>
      <c r="O1" s="2726"/>
      <c r="P1" s="2726"/>
      <c r="R1" s="850" t="s">
        <v>4172</v>
      </c>
    </row>
    <row r="2" spans="1:20" ht="33.75" customHeight="1">
      <c r="A2" s="2734" t="e">
        <f>"Tên công trình: "&amp;Solieu!#REF!</f>
        <v>#REF!</v>
      </c>
      <c r="B2" s="2735"/>
      <c r="C2" s="2735"/>
      <c r="D2" s="2735"/>
      <c r="E2" s="2735"/>
      <c r="F2" s="2735"/>
      <c r="G2" s="2735"/>
      <c r="H2" s="2735"/>
      <c r="I2" s="2735"/>
      <c r="J2" s="2736"/>
      <c r="K2" s="2727" t="str">
        <f>"Đơn vị thi công: "&amp;Solieu!C10</f>
        <v>Đơn vị thi công: 06</v>
      </c>
      <c r="L2" s="2727"/>
      <c r="M2" s="2727"/>
      <c r="N2" s="2727"/>
      <c r="O2" s="2727"/>
      <c r="P2" s="2727"/>
    </row>
    <row r="3" spans="1:20" ht="25.5" customHeight="1">
      <c r="A3" s="2725" t="s">
        <v>4265</v>
      </c>
      <c r="B3" s="2725"/>
      <c r="C3" s="2725"/>
      <c r="D3" s="2725"/>
      <c r="E3" s="2725"/>
      <c r="F3" s="2725"/>
      <c r="G3" s="2725"/>
      <c r="H3" s="2725"/>
      <c r="I3" s="2725"/>
      <c r="J3" s="2725"/>
      <c r="K3" s="2728" t="s">
        <v>4241</v>
      </c>
      <c r="L3" s="2729"/>
      <c r="M3" s="2729"/>
      <c r="N3" s="2729"/>
      <c r="O3" s="2729"/>
      <c r="P3" s="2730"/>
    </row>
    <row r="4" spans="1:20" ht="25.5" customHeight="1">
      <c r="A4" s="2725" t="s">
        <v>4242</v>
      </c>
      <c r="B4" s="2725"/>
      <c r="C4" s="2725"/>
      <c r="D4" s="2725"/>
      <c r="E4" s="2725"/>
      <c r="F4" s="2725"/>
      <c r="G4" s="2725"/>
      <c r="H4" s="2725"/>
      <c r="I4" s="2725"/>
      <c r="J4" s="2725"/>
      <c r="K4" s="2725"/>
      <c r="L4" s="2725"/>
      <c r="M4" s="2725"/>
      <c r="N4" s="2725"/>
      <c r="O4" s="2725"/>
      <c r="P4" s="2725"/>
    </row>
    <row r="5" spans="1:20">
      <c r="A5" s="2727" t="s">
        <v>4243</v>
      </c>
      <c r="B5" s="2727" t="s">
        <v>4266</v>
      </c>
      <c r="C5" s="2727"/>
      <c r="D5" s="2727" t="s">
        <v>3800</v>
      </c>
      <c r="E5" s="2727" t="s">
        <v>4267</v>
      </c>
      <c r="F5" s="2727" t="s">
        <v>4268</v>
      </c>
      <c r="G5" s="2727"/>
      <c r="H5" s="2727" t="s">
        <v>4269</v>
      </c>
      <c r="I5" s="2727"/>
      <c r="J5" s="2727"/>
      <c r="K5" s="2727"/>
      <c r="L5" s="2727" t="s">
        <v>4270</v>
      </c>
      <c r="M5" s="2727"/>
      <c r="N5" s="2727" t="s">
        <v>4247</v>
      </c>
      <c r="O5" s="2727" t="s">
        <v>4248</v>
      </c>
      <c r="P5" s="2727"/>
    </row>
    <row r="6" spans="1:20">
      <c r="A6" s="2727"/>
      <c r="B6" s="2727"/>
      <c r="C6" s="2727"/>
      <c r="D6" s="2727"/>
      <c r="E6" s="2727"/>
      <c r="F6" s="2727"/>
      <c r="G6" s="2727"/>
      <c r="H6" s="2727"/>
      <c r="I6" s="2727"/>
      <c r="J6" s="2727"/>
      <c r="K6" s="2727"/>
      <c r="L6" s="2727"/>
      <c r="M6" s="2727"/>
      <c r="N6" s="2727"/>
      <c r="O6" s="2727"/>
      <c r="P6" s="2727"/>
    </row>
    <row r="7" spans="1:20">
      <c r="A7" s="2727"/>
      <c r="B7" s="2727"/>
      <c r="C7" s="2727"/>
      <c r="D7" s="2727"/>
      <c r="E7" s="2727"/>
      <c r="F7" s="2727"/>
      <c r="G7" s="2727"/>
      <c r="H7" s="2727"/>
      <c r="I7" s="2727"/>
      <c r="J7" s="2727"/>
      <c r="K7" s="2727"/>
      <c r="L7" s="2727"/>
      <c r="M7" s="2727"/>
      <c r="N7" s="2727"/>
      <c r="O7" s="2727"/>
      <c r="P7" s="2727"/>
    </row>
    <row r="8" spans="1:20" ht="69.75" customHeight="1">
      <c r="A8" s="2727"/>
      <c r="B8" s="858" t="s">
        <v>4249</v>
      </c>
      <c r="C8" s="858" t="s">
        <v>4271</v>
      </c>
      <c r="D8" s="2727"/>
      <c r="E8" s="2727"/>
      <c r="F8" s="858" t="s">
        <v>4272</v>
      </c>
      <c r="G8" s="858" t="s">
        <v>4273</v>
      </c>
      <c r="H8" s="858" t="s">
        <v>4274</v>
      </c>
      <c r="I8" s="858" t="s">
        <v>4262</v>
      </c>
      <c r="J8" s="858" t="s">
        <v>4275</v>
      </c>
      <c r="K8" s="902" t="s">
        <v>4262</v>
      </c>
      <c r="L8" s="858" t="s">
        <v>4276</v>
      </c>
      <c r="M8" s="858" t="s">
        <v>4262</v>
      </c>
      <c r="N8" s="2727"/>
      <c r="O8" s="858" t="s">
        <v>4256</v>
      </c>
      <c r="P8" s="858" t="s">
        <v>4257</v>
      </c>
      <c r="Q8" s="903" t="s">
        <v>512</v>
      </c>
      <c r="S8" s="859" t="s">
        <v>663</v>
      </c>
      <c r="T8" s="859" t="s">
        <v>664</v>
      </c>
    </row>
    <row r="9" spans="1:20" ht="33" customHeight="1">
      <c r="A9" s="888"/>
      <c r="B9" s="940" t="s">
        <v>4328</v>
      </c>
      <c r="C9" s="940" t="s">
        <v>4328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4329</v>
      </c>
      <c r="C10" s="940" t="s">
        <v>4329</v>
      </c>
      <c r="D10" s="753" t="s">
        <v>4347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4331</v>
      </c>
      <c r="C11" s="940" t="s">
        <v>4331</v>
      </c>
      <c r="D11" s="753" t="s">
        <v>4347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4332</v>
      </c>
      <c r="C12" s="940" t="s">
        <v>4332</v>
      </c>
      <c r="D12" s="753" t="s">
        <v>4347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4334</v>
      </c>
      <c r="C13" s="940" t="s">
        <v>4334</v>
      </c>
      <c r="D13" s="753" t="s">
        <v>4347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4335</v>
      </c>
      <c r="C14" s="940" t="s">
        <v>4335</v>
      </c>
      <c r="D14" s="753" t="s">
        <v>4347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4340</v>
      </c>
      <c r="C15" s="940" t="s">
        <v>4340</v>
      </c>
      <c r="D15" s="754" t="s">
        <v>4347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4341</v>
      </c>
      <c r="C16" s="940" t="s">
        <v>4341</v>
      </c>
      <c r="D16" s="754" t="s">
        <v>4347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4346</v>
      </c>
      <c r="C17" s="940" t="s">
        <v>4346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725" t="str">
        <f>"Tổng cộng: "&amp;TEXT((17-COUNTBLANK(B9:B25)),"00")&amp;" bộ."</f>
        <v>Tổng cộng: 09 bộ.</v>
      </c>
      <c r="B26" s="2725"/>
      <c r="C26" s="2725"/>
      <c r="D26" s="908"/>
      <c r="E26" s="908"/>
      <c r="F26" s="908"/>
      <c r="G26" s="908"/>
      <c r="H26" s="908"/>
      <c r="I26" s="908"/>
      <c r="J26" s="908"/>
      <c r="K26" s="909"/>
      <c r="L26" s="908"/>
      <c r="M26" s="908"/>
      <c r="N26" s="908"/>
      <c r="O26" s="908"/>
      <c r="P26" s="908"/>
    </row>
    <row r="27" spans="1:18" ht="28.5" customHeight="1">
      <c r="A27" s="2725" t="s">
        <v>4277</v>
      </c>
      <c r="B27" s="2725"/>
      <c r="C27" s="2725"/>
      <c r="D27" s="2725" t="str">
        <f>"NXL:  "&amp;TEXT(COUNTIF(R:R,"CL"),"00")&amp;" bộ."</f>
        <v>NXL:  00 bộ.</v>
      </c>
      <c r="E27" s="2725"/>
      <c r="F27" s="2725"/>
      <c r="G27" s="2725"/>
      <c r="H27" s="2725"/>
      <c r="I27" s="2725"/>
      <c r="J27" s="2725"/>
      <c r="K27" s="2725"/>
      <c r="L27" s="2725"/>
      <c r="M27" s="2725"/>
      <c r="N27" s="2725"/>
      <c r="O27" s="2725"/>
      <c r="P27" s="2725"/>
    </row>
    <row r="28" spans="1:18" ht="28.5" customHeight="1">
      <c r="A28" s="2725"/>
      <c r="B28" s="2725"/>
      <c r="C28" s="2725"/>
      <c r="D28" s="2725" t="str">
        <f>"NXX:  "&amp;TEXT(COUNTIF(R:R,"CX"),"00")&amp;" bộ."</f>
        <v>NXX:  09 bộ.</v>
      </c>
      <c r="E28" s="2725"/>
      <c r="F28" s="2725"/>
      <c r="G28" s="2725"/>
      <c r="H28" s="2725"/>
      <c r="I28" s="2725"/>
      <c r="J28" s="2725"/>
      <c r="K28" s="2725"/>
      <c r="L28" s="2725"/>
      <c r="M28" s="2725"/>
      <c r="N28" s="2725"/>
      <c r="O28" s="2725"/>
      <c r="P28" s="2725"/>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738" t="s">
        <v>4278</v>
      </c>
      <c r="B1" s="2738"/>
      <c r="C1" s="2738"/>
      <c r="D1" s="2738"/>
      <c r="E1" s="2738"/>
      <c r="F1" s="2738"/>
      <c r="G1" s="2738"/>
      <c r="H1" s="2738"/>
      <c r="I1" s="2738"/>
      <c r="J1" s="2738"/>
      <c r="K1" s="2738"/>
      <c r="L1" s="2738"/>
      <c r="M1" s="2738"/>
      <c r="N1" s="2738"/>
      <c r="O1" s="2738"/>
      <c r="P1" s="2738"/>
      <c r="Q1" s="2738"/>
      <c r="R1" s="2738"/>
      <c r="S1" s="2738"/>
      <c r="T1" s="2738"/>
      <c r="V1" s="850" t="s">
        <v>4172</v>
      </c>
    </row>
    <row r="2" spans="1:30" ht="33" customHeight="1">
      <c r="A2" s="2734" t="e">
        <f>"Tên công trình: "&amp;Solieu!#REF!</f>
        <v>#REF!</v>
      </c>
      <c r="B2" s="2735"/>
      <c r="C2" s="2735"/>
      <c r="D2" s="2735"/>
      <c r="E2" s="2735"/>
      <c r="F2" s="2735"/>
      <c r="G2" s="2735"/>
      <c r="H2" s="2735"/>
      <c r="I2" s="2735"/>
      <c r="J2" s="2735"/>
      <c r="K2" s="2735"/>
      <c r="L2" s="2735"/>
      <c r="M2" s="2735"/>
      <c r="N2" s="2736"/>
      <c r="O2" s="2739" t="str">
        <f>"Đơn vị thi công: "&amp;Solieu!C10</f>
        <v>Đơn vị thi công: 06</v>
      </c>
      <c r="P2" s="2740"/>
      <c r="Q2" s="2740"/>
      <c r="R2" s="2740"/>
      <c r="S2" s="2740"/>
      <c r="T2" s="2741"/>
    </row>
    <row r="3" spans="1:30" ht="31.5" customHeight="1">
      <c r="A3" s="2734" t="s">
        <v>4279</v>
      </c>
      <c r="B3" s="2735"/>
      <c r="C3" s="2735"/>
      <c r="D3" s="2735"/>
      <c r="E3" s="2735"/>
      <c r="F3" s="2735"/>
      <c r="G3" s="2735"/>
      <c r="H3" s="2735"/>
      <c r="I3" s="2735"/>
      <c r="J3" s="2735"/>
      <c r="K3" s="2735"/>
      <c r="L3" s="2735"/>
      <c r="M3" s="2735"/>
      <c r="N3" s="2736"/>
      <c r="O3" s="2727" t="s">
        <v>4280</v>
      </c>
      <c r="P3" s="2727"/>
      <c r="Q3" s="2727"/>
      <c r="R3" s="2727"/>
      <c r="S3" s="2727"/>
      <c r="T3" s="2727"/>
    </row>
    <row r="4" spans="1:30" ht="15.6">
      <c r="A4" s="2725" t="s">
        <v>4242</v>
      </c>
      <c r="B4" s="2725"/>
      <c r="C4" s="2725"/>
      <c r="D4" s="2725"/>
      <c r="E4" s="2725"/>
      <c r="F4" s="2725"/>
      <c r="G4" s="2725"/>
      <c r="H4" s="2725"/>
      <c r="I4" s="2725"/>
      <c r="J4" s="2725"/>
      <c r="K4" s="2725"/>
      <c r="L4" s="2725"/>
      <c r="M4" s="2725"/>
      <c r="N4" s="2725"/>
      <c r="O4" s="2725"/>
      <c r="P4" s="2725"/>
      <c r="Q4" s="2725"/>
      <c r="R4" s="2725"/>
      <c r="S4" s="2725"/>
      <c r="T4" s="2725"/>
    </row>
    <row r="5" spans="1:30" ht="32.25" customHeight="1">
      <c r="A5" s="2737" t="s">
        <v>4243</v>
      </c>
      <c r="B5" s="2737" t="s">
        <v>4281</v>
      </c>
      <c r="C5" s="2737"/>
      <c r="D5" s="2737" t="s">
        <v>3800</v>
      </c>
      <c r="E5" s="2737" t="s">
        <v>3310</v>
      </c>
      <c r="F5" s="2737"/>
      <c r="G5" s="2737" t="s">
        <v>4282</v>
      </c>
      <c r="H5" s="2737"/>
      <c r="I5" s="2737"/>
      <c r="J5" s="2737"/>
      <c r="K5" s="2737"/>
      <c r="L5" s="2737" t="s">
        <v>4283</v>
      </c>
      <c r="M5" s="2737"/>
      <c r="N5" s="2737"/>
      <c r="O5" s="2737" t="s">
        <v>4284</v>
      </c>
      <c r="P5" s="2737"/>
      <c r="Q5" s="2737"/>
      <c r="R5" s="2737" t="s">
        <v>4285</v>
      </c>
      <c r="S5" s="2737" t="s">
        <v>4248</v>
      </c>
      <c r="T5" s="2737"/>
    </row>
    <row r="6" spans="1:30" ht="35.25" customHeight="1">
      <c r="A6" s="2737"/>
      <c r="B6" s="2737" t="s">
        <v>4286</v>
      </c>
      <c r="C6" s="2737" t="s">
        <v>4271</v>
      </c>
      <c r="D6" s="2737"/>
      <c r="E6" s="2737" t="s">
        <v>4287</v>
      </c>
      <c r="F6" s="2737" t="s">
        <v>4288</v>
      </c>
      <c r="G6" s="2737" t="s">
        <v>4289</v>
      </c>
      <c r="H6" s="2737" t="s">
        <v>4290</v>
      </c>
      <c r="I6" s="2737" t="s">
        <v>4291</v>
      </c>
      <c r="J6" s="2737" t="s">
        <v>4292</v>
      </c>
      <c r="K6" s="2737" t="s">
        <v>4293</v>
      </c>
      <c r="L6" s="2737" t="s">
        <v>4294</v>
      </c>
      <c r="M6" s="2737" t="s">
        <v>4295</v>
      </c>
      <c r="N6" s="2737"/>
      <c r="O6" s="2737" t="s">
        <v>4296</v>
      </c>
      <c r="P6" s="2737" t="s">
        <v>4297</v>
      </c>
      <c r="Q6" s="2737" t="s">
        <v>4298</v>
      </c>
      <c r="R6" s="2737"/>
      <c r="S6" s="2737" t="s">
        <v>4299</v>
      </c>
      <c r="T6" s="2737" t="s">
        <v>4300</v>
      </c>
      <c r="U6" s="910">
        <v>17</v>
      </c>
      <c r="V6" s="910">
        <v>18</v>
      </c>
      <c r="W6" s="910">
        <v>19</v>
      </c>
      <c r="X6" s="910">
        <v>20</v>
      </c>
      <c r="Y6" s="910">
        <v>21</v>
      </c>
      <c r="Z6" s="910">
        <v>22</v>
      </c>
      <c r="AA6" s="910">
        <v>23</v>
      </c>
      <c r="AB6" s="910">
        <v>24</v>
      </c>
      <c r="AC6" s="910">
        <v>25</v>
      </c>
      <c r="AD6" s="910">
        <v>28</v>
      </c>
    </row>
    <row r="7" spans="1:30" ht="61.5" customHeight="1">
      <c r="A7" s="2737"/>
      <c r="B7" s="2737"/>
      <c r="C7" s="2737"/>
      <c r="D7" s="2737"/>
      <c r="E7" s="2737"/>
      <c r="F7" s="2737"/>
      <c r="G7" s="2737"/>
      <c r="H7" s="2737"/>
      <c r="I7" s="2737"/>
      <c r="J7" s="2737"/>
      <c r="K7" s="2737"/>
      <c r="L7" s="2737"/>
      <c r="M7" s="886" t="s">
        <v>4301</v>
      </c>
      <c r="N7" s="886" t="s">
        <v>4262</v>
      </c>
      <c r="O7" s="2737"/>
      <c r="P7" s="2737"/>
      <c r="Q7" s="2737"/>
      <c r="R7" s="2737"/>
      <c r="S7" s="2737"/>
      <c r="T7" s="2737"/>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745" t="s">
        <v>4302</v>
      </c>
      <c r="B1" s="2745"/>
      <c r="C1" s="2745"/>
      <c r="D1" s="2745"/>
      <c r="E1" s="2745"/>
      <c r="F1" s="2745"/>
      <c r="G1" s="2745"/>
      <c r="H1" s="2745"/>
      <c r="I1" s="2745"/>
    </row>
    <row r="2" spans="1:9" ht="47.25" customHeight="1">
      <c r="A2" s="2725" t="e">
        <f>"Tên công trình: "&amp;Solieu!#REF!</f>
        <v>#REF!</v>
      </c>
      <c r="B2" s="2725"/>
      <c r="C2" s="2725"/>
      <c r="D2" s="2725"/>
      <c r="E2" s="2725"/>
      <c r="F2" s="2725"/>
      <c r="G2" s="2728" t="str">
        <f>"Đơn vị thi công: "&amp;Solieu!C10</f>
        <v>Đơn vị thi công: 06</v>
      </c>
      <c r="H2" s="2729"/>
      <c r="I2" s="2730"/>
    </row>
    <row r="3" spans="1:9" ht="31.5" customHeight="1">
      <c r="A3" s="2725" t="s">
        <v>4327</v>
      </c>
      <c r="B3" s="2725"/>
      <c r="C3" s="2725"/>
      <c r="D3" s="2725"/>
      <c r="E3" s="2725"/>
      <c r="F3" s="2725"/>
      <c r="G3" s="2746" t="s">
        <v>4241</v>
      </c>
      <c r="H3" s="2746"/>
      <c r="I3" s="2746"/>
    </row>
    <row r="4" spans="1:9" ht="15.6">
      <c r="A4" s="2725" t="s">
        <v>4242</v>
      </c>
      <c r="B4" s="2725"/>
      <c r="C4" s="2725"/>
      <c r="D4" s="2725"/>
      <c r="E4" s="2725"/>
      <c r="F4" s="2725"/>
      <c r="G4" s="2725"/>
      <c r="H4" s="2725"/>
      <c r="I4" s="2725"/>
    </row>
    <row r="5" spans="1:9" s="849" customFormat="1" ht="21" customHeight="1">
      <c r="A5" s="2727" t="s">
        <v>4243</v>
      </c>
      <c r="B5" s="2727" t="s">
        <v>4303</v>
      </c>
      <c r="C5" s="2727"/>
      <c r="D5" s="2727"/>
      <c r="E5" s="2727" t="s">
        <v>4304</v>
      </c>
      <c r="F5" s="2727"/>
      <c r="G5" s="2727" t="s">
        <v>4285</v>
      </c>
      <c r="H5" s="2727" t="s">
        <v>4248</v>
      </c>
      <c r="I5" s="2727"/>
    </row>
    <row r="6" spans="1:9" s="849" customFormat="1" ht="21" customHeight="1">
      <c r="A6" s="2727"/>
      <c r="B6" s="908" t="s">
        <v>4305</v>
      </c>
      <c r="C6" s="2727" t="s">
        <v>4306</v>
      </c>
      <c r="D6" s="2727" t="s">
        <v>4235</v>
      </c>
      <c r="E6" s="2727" t="s">
        <v>4307</v>
      </c>
      <c r="F6" s="2727" t="s">
        <v>4308</v>
      </c>
      <c r="G6" s="2727"/>
      <c r="H6" s="2727" t="s">
        <v>4299</v>
      </c>
      <c r="I6" s="2727" t="s">
        <v>4300</v>
      </c>
    </row>
    <row r="7" spans="1:9" s="849" customFormat="1" ht="21" customHeight="1">
      <c r="A7" s="2727"/>
      <c r="B7" s="908" t="s">
        <v>4309</v>
      </c>
      <c r="C7" s="2727"/>
      <c r="D7" s="2727"/>
      <c r="E7" s="2727"/>
      <c r="F7" s="2727"/>
      <c r="G7" s="2727"/>
      <c r="H7" s="2727"/>
      <c r="I7" s="2727"/>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742" t="s">
        <v>4310</v>
      </c>
      <c r="B10" s="2742"/>
      <c r="C10" s="2743" t="e">
        <f>C9</f>
        <v>#REF!</v>
      </c>
      <c r="D10" s="2744"/>
      <c r="E10" s="2744"/>
      <c r="F10" s="2744"/>
      <c r="G10" s="2744"/>
      <c r="H10" s="2744"/>
      <c r="I10" s="2744"/>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7" customWidth="1"/>
    <col min="2" max="10" width="8.90625" style="1757"/>
    <col min="11" max="16384" width="8.90625" style="1754"/>
  </cols>
  <sheetData>
    <row r="1" spans="1:11">
      <c r="A1" s="2748" t="s">
        <v>4191</v>
      </c>
      <c r="B1" s="2748"/>
      <c r="C1" s="2748"/>
      <c r="D1" s="2748"/>
      <c r="E1" s="2748"/>
      <c r="F1" s="2748"/>
      <c r="G1" s="2748"/>
      <c r="H1" s="2748"/>
      <c r="I1" s="2748"/>
      <c r="J1" s="2748"/>
      <c r="K1" s="850" t="s">
        <v>4172</v>
      </c>
    </row>
    <row r="2" spans="1:11" ht="18">
      <c r="A2" s="2749" t="s">
        <v>4192</v>
      </c>
      <c r="B2" s="2749"/>
      <c r="C2" s="2749"/>
      <c r="D2" s="2749"/>
      <c r="E2" s="2749"/>
      <c r="F2" s="2749"/>
      <c r="G2" s="2749"/>
      <c r="H2" s="2749"/>
      <c r="I2" s="2749"/>
      <c r="J2" s="2749"/>
    </row>
    <row r="3" spans="1:11" ht="15" customHeight="1">
      <c r="A3" s="2750" t="s">
        <v>4193</v>
      </c>
      <c r="B3" s="2750"/>
      <c r="C3" s="2750"/>
      <c r="D3" s="2750"/>
      <c r="E3" s="2750"/>
      <c r="F3" s="2750"/>
      <c r="G3" s="2750"/>
      <c r="H3" s="2750"/>
      <c r="I3" s="2750"/>
      <c r="J3" s="2750"/>
    </row>
    <row r="4" spans="1:11" ht="15" customHeight="1">
      <c r="A4" s="2751" t="s">
        <v>4627</v>
      </c>
      <c r="B4" s="2751"/>
      <c r="C4" s="2751"/>
      <c r="D4" s="2751"/>
      <c r="E4" s="2751"/>
      <c r="F4" s="2751"/>
      <c r="G4" s="2751"/>
      <c r="H4" s="2751"/>
      <c r="I4" s="2751"/>
      <c r="J4" s="2751"/>
    </row>
    <row r="5" spans="1:11" ht="31.5" customHeight="1">
      <c r="A5" s="2752" t="s">
        <v>4600</v>
      </c>
      <c r="B5" s="2752"/>
      <c r="C5" s="2752"/>
      <c r="D5" s="2752"/>
      <c r="E5" s="2752"/>
      <c r="F5" s="2752"/>
      <c r="G5" s="2752"/>
      <c r="H5" s="2752"/>
      <c r="I5" s="2752"/>
      <c r="J5" s="2752"/>
    </row>
    <row r="6" spans="1:11" s="1755" customFormat="1" ht="18.75" customHeight="1">
      <c r="A6" s="2752" t="s">
        <v>4601</v>
      </c>
      <c r="B6" s="2752"/>
      <c r="C6" s="2752"/>
      <c r="D6" s="2752"/>
      <c r="E6" s="2752"/>
      <c r="F6" s="2752"/>
      <c r="G6" s="2752"/>
      <c r="H6" s="2752"/>
      <c r="I6" s="2752"/>
      <c r="J6" s="2752"/>
    </row>
    <row r="7" spans="1:11" s="1755" customFormat="1" ht="18.75" customHeight="1">
      <c r="A7" s="2752" t="s">
        <v>4602</v>
      </c>
      <c r="B7" s="2752"/>
      <c r="C7" s="2752"/>
      <c r="D7" s="2752"/>
      <c r="E7" s="2752"/>
      <c r="F7" s="2752"/>
      <c r="G7" s="2752"/>
      <c r="H7" s="2752"/>
      <c r="I7" s="2752"/>
      <c r="J7" s="2752"/>
    </row>
    <row r="8" spans="1:11" ht="41.25" customHeight="1">
      <c r="A8" s="2753" t="s">
        <v>4628</v>
      </c>
      <c r="B8" s="2753"/>
      <c r="C8" s="2753"/>
      <c r="D8" s="2753"/>
      <c r="E8" s="2753"/>
      <c r="F8" s="2753"/>
      <c r="G8" s="2753"/>
      <c r="H8" s="2753"/>
      <c r="I8" s="2753"/>
      <c r="J8" s="2753"/>
    </row>
    <row r="9" spans="1:11" ht="28.5" customHeight="1">
      <c r="A9" s="1756" t="s">
        <v>4603</v>
      </c>
    </row>
    <row r="10" spans="1:11" ht="19.649999999999999" customHeight="1">
      <c r="B10" s="1758" t="s">
        <v>4194</v>
      </c>
    </row>
    <row r="11" spans="1:11" ht="19.649999999999999" customHeight="1">
      <c r="B11" s="1756" t="s">
        <v>4604</v>
      </c>
    </row>
    <row r="12" spans="1:11" ht="19.649999999999999" customHeight="1">
      <c r="B12" s="1756" t="s">
        <v>4195</v>
      </c>
    </row>
    <row r="13" spans="1:11" ht="19.649999999999999" customHeight="1">
      <c r="B13" s="1759" t="s">
        <v>4196</v>
      </c>
    </row>
    <row r="14" spans="1:11" ht="19.649999999999999" customHeight="1">
      <c r="C14" s="1757" t="s">
        <v>4629</v>
      </c>
    </row>
    <row r="15" spans="1:11" ht="19.649999999999999" customHeight="1">
      <c r="B15" s="1759" t="s">
        <v>4197</v>
      </c>
    </row>
    <row r="16" spans="1:11" ht="19.649999999999999" customHeight="1">
      <c r="B16" s="1760" t="s">
        <v>4605</v>
      </c>
      <c r="E16" s="1759" t="s">
        <v>4198</v>
      </c>
    </row>
    <row r="17" spans="1:10" ht="19.649999999999999" customHeight="1">
      <c r="B17" s="1757" t="s">
        <v>4630</v>
      </c>
      <c r="F17" s="1757" t="s">
        <v>4199</v>
      </c>
    </row>
    <row r="18" spans="1:10" ht="19.649999999999999" customHeight="1">
      <c r="B18" s="1757" t="s">
        <v>4606</v>
      </c>
      <c r="E18" s="1759" t="s">
        <v>4532</v>
      </c>
    </row>
    <row r="19" spans="1:10" ht="19.649999999999999" customHeight="1">
      <c r="B19" s="1757" t="s">
        <v>4607</v>
      </c>
      <c r="F19" s="1757" t="s">
        <v>4200</v>
      </c>
    </row>
    <row r="20" spans="1:10" ht="19.649999999999999" customHeight="1">
      <c r="B20" s="1759" t="s">
        <v>4608</v>
      </c>
    </row>
    <row r="21" spans="1:10" ht="19.649999999999999" customHeight="1">
      <c r="B21" s="1761" t="s">
        <v>4609</v>
      </c>
      <c r="C21" s="1762"/>
      <c r="D21" s="1762"/>
      <c r="E21" s="1762"/>
      <c r="F21" s="1762"/>
      <c r="G21" s="1762"/>
      <c r="H21" s="1762"/>
      <c r="I21" s="1762"/>
      <c r="J21" s="1762"/>
    </row>
    <row r="22" spans="1:10" s="1766" customFormat="1" ht="19.649999999999999" customHeight="1">
      <c r="A22" s="1763"/>
      <c r="B22" s="1764" t="s">
        <v>4610</v>
      </c>
      <c r="C22" s="1765"/>
      <c r="D22" s="1765"/>
      <c r="E22" s="1765"/>
      <c r="F22" s="1765"/>
      <c r="G22" s="1765"/>
      <c r="H22" s="1765"/>
      <c r="I22" s="1765"/>
      <c r="J22" s="1765"/>
    </row>
    <row r="23" spans="1:10" s="1766" customFormat="1" ht="19.649999999999999" customHeight="1">
      <c r="A23" s="1763"/>
      <c r="B23" s="1764" t="s">
        <v>4611</v>
      </c>
      <c r="C23" s="1765"/>
      <c r="D23" s="1765"/>
      <c r="E23" s="1765"/>
      <c r="F23" s="1765"/>
      <c r="G23" s="1765"/>
      <c r="H23" s="1765"/>
      <c r="I23" s="1765"/>
      <c r="J23" s="1765"/>
    </row>
    <row r="24" spans="1:10" s="1766" customFormat="1" ht="19.649999999999999" customHeight="1">
      <c r="A24" s="1763"/>
      <c r="B24" s="1764" t="s">
        <v>4612</v>
      </c>
      <c r="C24" s="1765"/>
      <c r="D24" s="1765"/>
      <c r="E24" s="1765"/>
      <c r="F24" s="1765"/>
      <c r="G24" s="1765"/>
      <c r="H24" s="1765"/>
      <c r="I24" s="1765"/>
      <c r="J24" s="1765"/>
    </row>
    <row r="25" spans="1:10" s="1766" customFormat="1" ht="19.649999999999999" customHeight="1">
      <c r="A25" s="1763"/>
      <c r="B25" s="1764" t="s">
        <v>4613</v>
      </c>
      <c r="C25" s="1765"/>
      <c r="D25" s="1765"/>
      <c r="E25" s="1765"/>
      <c r="F25" s="1765"/>
      <c r="G25" s="1765"/>
      <c r="H25" s="1765"/>
      <c r="I25" s="1765"/>
      <c r="J25" s="1765"/>
    </row>
    <row r="26" spans="1:10" s="1766" customFormat="1" ht="19.649999999999999" customHeight="1">
      <c r="A26" s="1763"/>
      <c r="B26" s="1764" t="s">
        <v>4614</v>
      </c>
      <c r="C26" s="1765"/>
      <c r="D26" s="1765"/>
      <c r="E26" s="1765"/>
      <c r="F26" s="1765"/>
      <c r="G26" s="1765"/>
      <c r="H26" s="1765"/>
      <c r="I26" s="1765"/>
      <c r="J26" s="1765"/>
    </row>
    <row r="27" spans="1:10" s="1766" customFormat="1" ht="19.649999999999999" customHeight="1">
      <c r="A27" s="1763"/>
      <c r="B27" s="1764" t="s">
        <v>4615</v>
      </c>
      <c r="C27" s="1765"/>
      <c r="D27" s="1765"/>
      <c r="E27" s="1765"/>
      <c r="F27" s="1765"/>
      <c r="G27" s="1765"/>
      <c r="H27" s="1765"/>
      <c r="I27" s="1765"/>
      <c r="J27" s="1765"/>
    </row>
    <row r="28" spans="1:10" s="1766" customFormat="1" ht="19.649999999999999" customHeight="1">
      <c r="A28" s="1763"/>
      <c r="B28" s="1764" t="s">
        <v>4616</v>
      </c>
      <c r="C28" s="1765"/>
      <c r="D28" s="1765"/>
      <c r="E28" s="1765"/>
      <c r="F28" s="1765"/>
      <c r="G28" s="1765"/>
      <c r="H28" s="1765"/>
      <c r="I28" s="1765"/>
      <c r="J28" s="1765"/>
    </row>
    <row r="29" spans="1:10" s="1766" customFormat="1" ht="19.649999999999999" customHeight="1">
      <c r="A29" s="1763"/>
      <c r="B29" s="1767" t="s">
        <v>4617</v>
      </c>
      <c r="C29" s="1765"/>
      <c r="D29" s="1765"/>
      <c r="E29" s="1765"/>
      <c r="F29" s="1765"/>
      <c r="G29" s="1765"/>
      <c r="H29" s="1765"/>
      <c r="I29" s="1765"/>
      <c r="J29" s="1765"/>
    </row>
    <row r="30" spans="1:10" ht="24" customHeight="1">
      <c r="B30" s="1759" t="s">
        <v>4618</v>
      </c>
    </row>
    <row r="31" spans="1:10" ht="72" customHeight="1">
      <c r="B31" s="2754" t="s">
        <v>4619</v>
      </c>
      <c r="C31" s="2754"/>
      <c r="D31" s="2754"/>
      <c r="E31" s="2754"/>
      <c r="F31" s="2754"/>
      <c r="G31" s="2754"/>
      <c r="H31" s="2754"/>
      <c r="I31" s="2754"/>
      <c r="J31" s="2754"/>
    </row>
    <row r="32" spans="1:10" ht="32.25" customHeight="1">
      <c r="A32" s="2755" t="s">
        <v>4620</v>
      </c>
      <c r="B32" s="2755"/>
      <c r="C32" s="2755"/>
      <c r="D32" s="2755"/>
      <c r="E32" s="2755"/>
      <c r="F32" s="2755"/>
      <c r="G32" s="2755"/>
      <c r="H32" s="2755"/>
      <c r="I32" s="2755"/>
      <c r="J32" s="2755"/>
    </row>
    <row r="33" spans="1:10" ht="42.75" customHeight="1">
      <c r="B33" s="2756" t="s">
        <v>4621</v>
      </c>
      <c r="C33" s="2756"/>
      <c r="D33" s="2756"/>
      <c r="E33" s="2756"/>
      <c r="F33" s="2756"/>
      <c r="G33" s="2756"/>
      <c r="H33" s="2756"/>
      <c r="I33" s="2756"/>
      <c r="J33" s="2756"/>
    </row>
    <row r="34" spans="1:10" ht="24.75" customHeight="1">
      <c r="B34" s="1760" t="s">
        <v>4622</v>
      </c>
    </row>
    <row r="35" spans="1:10" ht="19.649999999999999" customHeight="1">
      <c r="B35" s="1768" t="s">
        <v>4623</v>
      </c>
    </row>
    <row r="36" spans="1:10" ht="46.5" customHeight="1">
      <c r="A36" s="2747" t="s">
        <v>4624</v>
      </c>
      <c r="B36" s="2747"/>
      <c r="C36" s="2747"/>
      <c r="D36" s="2747"/>
      <c r="E36" s="2747"/>
      <c r="F36" s="2747"/>
      <c r="G36" s="2747"/>
      <c r="H36" s="2747"/>
      <c r="I36" s="2747"/>
      <c r="J36" s="2747"/>
    </row>
    <row r="37" spans="1:10" s="1772" customFormat="1">
      <c r="A37" s="1769"/>
      <c r="B37" s="1769"/>
      <c r="C37" s="1770" t="s">
        <v>4625</v>
      </c>
      <c r="D37" s="1769"/>
      <c r="E37" s="1769"/>
      <c r="F37" s="1769"/>
      <c r="G37" s="1769"/>
      <c r="H37" s="1771" t="s">
        <v>4626</v>
      </c>
      <c r="I37" s="1769"/>
      <c r="J37" s="1769"/>
    </row>
    <row r="44" spans="1:10" s="1755" customFormat="1" ht="18">
      <c r="A44" s="1773"/>
      <c r="B44" s="1773"/>
      <c r="C44" s="1774" t="s">
        <v>4631</v>
      </c>
      <c r="D44" s="1774"/>
      <c r="E44" s="1774"/>
      <c r="F44" s="1774"/>
      <c r="G44" s="1774"/>
      <c r="H44" s="1774" t="s">
        <v>4531</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indexed="10"/>
  </sheetPr>
  <dimension ref="A1:IY316"/>
  <sheetViews>
    <sheetView showZeros="0" zoomScaleNormal="100" workbookViewId="0">
      <pane ySplit="8" topLeftCell="A272" activePane="bottomLeft" state="frozen"/>
      <selection pane="bottomLeft" activeCell="E277" sqref="E277"/>
    </sheetView>
  </sheetViews>
  <sheetFormatPr defaultColWidth="7.453125" defaultRowHeight="13.8" outlineLevelRow="1"/>
  <cols>
    <col min="1" max="1" width="11.08984375" style="2321" customWidth="1"/>
    <col min="2" max="2" width="12.1796875" style="2321" customWidth="1"/>
    <col min="3" max="3" width="14.54296875" style="2321" customWidth="1"/>
    <col min="4" max="4" width="4.6328125" style="2408" customWidth="1"/>
    <col min="5" max="5" width="45.90625" style="2409" bestFit="1" customWidth="1"/>
    <col min="6" max="6" width="6.08984375" style="2321" customWidth="1"/>
    <col min="7" max="7" width="10.1796875" style="2409" customWidth="1"/>
    <col min="8" max="8" width="9.81640625" style="2409" customWidth="1"/>
    <col min="9" max="9" width="8.90625" style="2409" customWidth="1"/>
    <col min="10" max="10" width="9.1796875" style="2409" customWidth="1"/>
    <col min="11" max="11" width="12.6328125" style="2409" customWidth="1"/>
    <col min="12" max="13" width="7.453125" style="2321"/>
    <col min="14" max="14" width="28.90625" style="2321" bestFit="1" customWidth="1"/>
    <col min="15" max="15" width="4.453125" style="2321" bestFit="1" customWidth="1"/>
    <col min="16" max="16" width="6.54296875" style="2321" customWidth="1"/>
    <col min="17" max="259" width="7.453125" style="2321"/>
    <col min="260" max="260" width="4.6328125" style="2321" customWidth="1"/>
    <col min="261" max="261" width="45.90625" style="2321" bestFit="1" customWidth="1"/>
    <col min="262" max="262" width="6.08984375" style="2321" customWidth="1"/>
    <col min="263" max="263" width="10.1796875" style="2321" customWidth="1"/>
    <col min="264" max="264" width="9.81640625" style="2321" customWidth="1"/>
    <col min="265" max="265" width="8.90625" style="2321" customWidth="1"/>
    <col min="266" max="266" width="9.1796875" style="2321" customWidth="1"/>
    <col min="267" max="267" width="12.6328125" style="2321" customWidth="1"/>
    <col min="268" max="269" width="7.453125" style="2321"/>
    <col min="270" max="270" width="28.90625" style="2321" bestFit="1" customWidth="1"/>
    <col min="271" max="271" width="4.453125" style="2321" bestFit="1" customWidth="1"/>
    <col min="272" max="272" width="6.54296875" style="2321" customWidth="1"/>
    <col min="273" max="515" width="7.453125" style="2321"/>
    <col min="516" max="516" width="4.6328125" style="2321" customWidth="1"/>
    <col min="517" max="517" width="45.90625" style="2321" bestFit="1" customWidth="1"/>
    <col min="518" max="518" width="6.08984375" style="2321" customWidth="1"/>
    <col min="519" max="519" width="10.1796875" style="2321" customWidth="1"/>
    <col min="520" max="520" width="9.81640625" style="2321" customWidth="1"/>
    <col min="521" max="521" width="8.90625" style="2321" customWidth="1"/>
    <col min="522" max="522" width="9.1796875" style="2321" customWidth="1"/>
    <col min="523" max="523" width="12.6328125" style="2321" customWidth="1"/>
    <col min="524" max="525" width="7.453125" style="2321"/>
    <col min="526" max="526" width="28.90625" style="2321" bestFit="1" customWidth="1"/>
    <col min="527" max="527" width="4.453125" style="2321" bestFit="1" customWidth="1"/>
    <col min="528" max="528" width="6.54296875" style="2321" customWidth="1"/>
    <col min="529" max="771" width="7.453125" style="2321"/>
    <col min="772" max="772" width="4.6328125" style="2321" customWidth="1"/>
    <col min="773" max="773" width="45.90625" style="2321" bestFit="1" customWidth="1"/>
    <col min="774" max="774" width="6.08984375" style="2321" customWidth="1"/>
    <col min="775" max="775" width="10.1796875" style="2321" customWidth="1"/>
    <col min="776" max="776" width="9.81640625" style="2321" customWidth="1"/>
    <col min="777" max="777" width="8.90625" style="2321" customWidth="1"/>
    <col min="778" max="778" width="9.1796875" style="2321" customWidth="1"/>
    <col min="779" max="779" width="12.6328125" style="2321" customWidth="1"/>
    <col min="780" max="781" width="7.453125" style="2321"/>
    <col min="782" max="782" width="28.90625" style="2321" bestFit="1" customWidth="1"/>
    <col min="783" max="783" width="4.453125" style="2321" bestFit="1" customWidth="1"/>
    <col min="784" max="784" width="6.54296875" style="2321" customWidth="1"/>
    <col min="785" max="1027" width="7.453125" style="2321"/>
    <col min="1028" max="1028" width="4.6328125" style="2321" customWidth="1"/>
    <col min="1029" max="1029" width="45.90625" style="2321" bestFit="1" customWidth="1"/>
    <col min="1030" max="1030" width="6.08984375" style="2321" customWidth="1"/>
    <col min="1031" max="1031" width="10.1796875" style="2321" customWidth="1"/>
    <col min="1032" max="1032" width="9.81640625" style="2321" customWidth="1"/>
    <col min="1033" max="1033" width="8.90625" style="2321" customWidth="1"/>
    <col min="1034" max="1034" width="9.1796875" style="2321" customWidth="1"/>
    <col min="1035" max="1035" width="12.6328125" style="2321" customWidth="1"/>
    <col min="1036" max="1037" width="7.453125" style="2321"/>
    <col min="1038" max="1038" width="28.90625" style="2321" bestFit="1" customWidth="1"/>
    <col min="1039" max="1039" width="4.453125" style="2321" bestFit="1" customWidth="1"/>
    <col min="1040" max="1040" width="6.54296875" style="2321" customWidth="1"/>
    <col min="1041" max="1283" width="7.453125" style="2321"/>
    <col min="1284" max="1284" width="4.6328125" style="2321" customWidth="1"/>
    <col min="1285" max="1285" width="45.90625" style="2321" bestFit="1" customWidth="1"/>
    <col min="1286" max="1286" width="6.08984375" style="2321" customWidth="1"/>
    <col min="1287" max="1287" width="10.1796875" style="2321" customWidth="1"/>
    <col min="1288" max="1288" width="9.81640625" style="2321" customWidth="1"/>
    <col min="1289" max="1289" width="8.90625" style="2321" customWidth="1"/>
    <col min="1290" max="1290" width="9.1796875" style="2321" customWidth="1"/>
    <col min="1291" max="1291" width="12.6328125" style="2321" customWidth="1"/>
    <col min="1292" max="1293" width="7.453125" style="2321"/>
    <col min="1294" max="1294" width="28.90625" style="2321" bestFit="1" customWidth="1"/>
    <col min="1295" max="1295" width="4.453125" style="2321" bestFit="1" customWidth="1"/>
    <col min="1296" max="1296" width="6.54296875" style="2321" customWidth="1"/>
    <col min="1297" max="1539" width="7.453125" style="2321"/>
    <col min="1540" max="1540" width="4.6328125" style="2321" customWidth="1"/>
    <col min="1541" max="1541" width="45.90625" style="2321" bestFit="1" customWidth="1"/>
    <col min="1542" max="1542" width="6.08984375" style="2321" customWidth="1"/>
    <col min="1543" max="1543" width="10.1796875" style="2321" customWidth="1"/>
    <col min="1544" max="1544" width="9.81640625" style="2321" customWidth="1"/>
    <col min="1545" max="1545" width="8.90625" style="2321" customWidth="1"/>
    <col min="1546" max="1546" width="9.1796875" style="2321" customWidth="1"/>
    <col min="1547" max="1547" width="12.6328125" style="2321" customWidth="1"/>
    <col min="1548" max="1549" width="7.453125" style="2321"/>
    <col min="1550" max="1550" width="28.90625" style="2321" bestFit="1" customWidth="1"/>
    <col min="1551" max="1551" width="4.453125" style="2321" bestFit="1" customWidth="1"/>
    <col min="1552" max="1552" width="6.54296875" style="2321" customWidth="1"/>
    <col min="1553" max="1795" width="7.453125" style="2321"/>
    <col min="1796" max="1796" width="4.6328125" style="2321" customWidth="1"/>
    <col min="1797" max="1797" width="45.90625" style="2321" bestFit="1" customWidth="1"/>
    <col min="1798" max="1798" width="6.08984375" style="2321" customWidth="1"/>
    <col min="1799" max="1799" width="10.1796875" style="2321" customWidth="1"/>
    <col min="1800" max="1800" width="9.81640625" style="2321" customWidth="1"/>
    <col min="1801" max="1801" width="8.90625" style="2321" customWidth="1"/>
    <col min="1802" max="1802" width="9.1796875" style="2321" customWidth="1"/>
    <col min="1803" max="1803" width="12.6328125" style="2321" customWidth="1"/>
    <col min="1804" max="1805" width="7.453125" style="2321"/>
    <col min="1806" max="1806" width="28.90625" style="2321" bestFit="1" customWidth="1"/>
    <col min="1807" max="1807" width="4.453125" style="2321" bestFit="1" customWidth="1"/>
    <col min="1808" max="1808" width="6.54296875" style="2321" customWidth="1"/>
    <col min="1809" max="2051" width="7.453125" style="2321"/>
    <col min="2052" max="2052" width="4.6328125" style="2321" customWidth="1"/>
    <col min="2053" max="2053" width="45.90625" style="2321" bestFit="1" customWidth="1"/>
    <col min="2054" max="2054" width="6.08984375" style="2321" customWidth="1"/>
    <col min="2055" max="2055" width="10.1796875" style="2321" customWidth="1"/>
    <col min="2056" max="2056" width="9.81640625" style="2321" customWidth="1"/>
    <col min="2057" max="2057" width="8.90625" style="2321" customWidth="1"/>
    <col min="2058" max="2058" width="9.1796875" style="2321" customWidth="1"/>
    <col min="2059" max="2059" width="12.6328125" style="2321" customWidth="1"/>
    <col min="2060" max="2061" width="7.453125" style="2321"/>
    <col min="2062" max="2062" width="28.90625" style="2321" bestFit="1" customWidth="1"/>
    <col min="2063" max="2063" width="4.453125" style="2321" bestFit="1" customWidth="1"/>
    <col min="2064" max="2064" width="6.54296875" style="2321" customWidth="1"/>
    <col min="2065" max="2307" width="7.453125" style="2321"/>
    <col min="2308" max="2308" width="4.6328125" style="2321" customWidth="1"/>
    <col min="2309" max="2309" width="45.90625" style="2321" bestFit="1" customWidth="1"/>
    <col min="2310" max="2310" width="6.08984375" style="2321" customWidth="1"/>
    <col min="2311" max="2311" width="10.1796875" style="2321" customWidth="1"/>
    <col min="2312" max="2312" width="9.81640625" style="2321" customWidth="1"/>
    <col min="2313" max="2313" width="8.90625" style="2321" customWidth="1"/>
    <col min="2314" max="2314" width="9.1796875" style="2321" customWidth="1"/>
    <col min="2315" max="2315" width="12.6328125" style="2321" customWidth="1"/>
    <col min="2316" max="2317" width="7.453125" style="2321"/>
    <col min="2318" max="2318" width="28.90625" style="2321" bestFit="1" customWidth="1"/>
    <col min="2319" max="2319" width="4.453125" style="2321" bestFit="1" customWidth="1"/>
    <col min="2320" max="2320" width="6.54296875" style="2321" customWidth="1"/>
    <col min="2321" max="2563" width="7.453125" style="2321"/>
    <col min="2564" max="2564" width="4.6328125" style="2321" customWidth="1"/>
    <col min="2565" max="2565" width="45.90625" style="2321" bestFit="1" customWidth="1"/>
    <col min="2566" max="2566" width="6.08984375" style="2321" customWidth="1"/>
    <col min="2567" max="2567" width="10.1796875" style="2321" customWidth="1"/>
    <col min="2568" max="2568" width="9.81640625" style="2321" customWidth="1"/>
    <col min="2569" max="2569" width="8.90625" style="2321" customWidth="1"/>
    <col min="2570" max="2570" width="9.1796875" style="2321" customWidth="1"/>
    <col min="2571" max="2571" width="12.6328125" style="2321" customWidth="1"/>
    <col min="2572" max="2573" width="7.453125" style="2321"/>
    <col min="2574" max="2574" width="28.90625" style="2321" bestFit="1" customWidth="1"/>
    <col min="2575" max="2575" width="4.453125" style="2321" bestFit="1" customWidth="1"/>
    <col min="2576" max="2576" width="6.54296875" style="2321" customWidth="1"/>
    <col min="2577" max="2819" width="7.453125" style="2321"/>
    <col min="2820" max="2820" width="4.6328125" style="2321" customWidth="1"/>
    <col min="2821" max="2821" width="45.90625" style="2321" bestFit="1" customWidth="1"/>
    <col min="2822" max="2822" width="6.08984375" style="2321" customWidth="1"/>
    <col min="2823" max="2823" width="10.1796875" style="2321" customWidth="1"/>
    <col min="2824" max="2824" width="9.81640625" style="2321" customWidth="1"/>
    <col min="2825" max="2825" width="8.90625" style="2321" customWidth="1"/>
    <col min="2826" max="2826" width="9.1796875" style="2321" customWidth="1"/>
    <col min="2827" max="2827" width="12.6328125" style="2321" customWidth="1"/>
    <col min="2828" max="2829" width="7.453125" style="2321"/>
    <col min="2830" max="2830" width="28.90625" style="2321" bestFit="1" customWidth="1"/>
    <col min="2831" max="2831" width="4.453125" style="2321" bestFit="1" customWidth="1"/>
    <col min="2832" max="2832" width="6.54296875" style="2321" customWidth="1"/>
    <col min="2833" max="3075" width="7.453125" style="2321"/>
    <col min="3076" max="3076" width="4.6328125" style="2321" customWidth="1"/>
    <col min="3077" max="3077" width="45.90625" style="2321" bestFit="1" customWidth="1"/>
    <col min="3078" max="3078" width="6.08984375" style="2321" customWidth="1"/>
    <col min="3079" max="3079" width="10.1796875" style="2321" customWidth="1"/>
    <col min="3080" max="3080" width="9.81640625" style="2321" customWidth="1"/>
    <col min="3081" max="3081" width="8.90625" style="2321" customWidth="1"/>
    <col min="3082" max="3082" width="9.1796875" style="2321" customWidth="1"/>
    <col min="3083" max="3083" width="12.6328125" style="2321" customWidth="1"/>
    <col min="3084" max="3085" width="7.453125" style="2321"/>
    <col min="3086" max="3086" width="28.90625" style="2321" bestFit="1" customWidth="1"/>
    <col min="3087" max="3087" width="4.453125" style="2321" bestFit="1" customWidth="1"/>
    <col min="3088" max="3088" width="6.54296875" style="2321" customWidth="1"/>
    <col min="3089" max="3331" width="7.453125" style="2321"/>
    <col min="3332" max="3332" width="4.6328125" style="2321" customWidth="1"/>
    <col min="3333" max="3333" width="45.90625" style="2321" bestFit="1" customWidth="1"/>
    <col min="3334" max="3334" width="6.08984375" style="2321" customWidth="1"/>
    <col min="3335" max="3335" width="10.1796875" style="2321" customWidth="1"/>
    <col min="3336" max="3336" width="9.81640625" style="2321" customWidth="1"/>
    <col min="3337" max="3337" width="8.90625" style="2321" customWidth="1"/>
    <col min="3338" max="3338" width="9.1796875" style="2321" customWidth="1"/>
    <col min="3339" max="3339" width="12.6328125" style="2321" customWidth="1"/>
    <col min="3340" max="3341" width="7.453125" style="2321"/>
    <col min="3342" max="3342" width="28.90625" style="2321" bestFit="1" customWidth="1"/>
    <col min="3343" max="3343" width="4.453125" style="2321" bestFit="1" customWidth="1"/>
    <col min="3344" max="3344" width="6.54296875" style="2321" customWidth="1"/>
    <col min="3345" max="3587" width="7.453125" style="2321"/>
    <col min="3588" max="3588" width="4.6328125" style="2321" customWidth="1"/>
    <col min="3589" max="3589" width="45.90625" style="2321" bestFit="1" customWidth="1"/>
    <col min="3590" max="3590" width="6.08984375" style="2321" customWidth="1"/>
    <col min="3591" max="3591" width="10.1796875" style="2321" customWidth="1"/>
    <col min="3592" max="3592" width="9.81640625" style="2321" customWidth="1"/>
    <col min="3593" max="3593" width="8.90625" style="2321" customWidth="1"/>
    <col min="3594" max="3594" width="9.1796875" style="2321" customWidth="1"/>
    <col min="3595" max="3595" width="12.6328125" style="2321" customWidth="1"/>
    <col min="3596" max="3597" width="7.453125" style="2321"/>
    <col min="3598" max="3598" width="28.90625" style="2321" bestFit="1" customWidth="1"/>
    <col min="3599" max="3599" width="4.453125" style="2321" bestFit="1" customWidth="1"/>
    <col min="3600" max="3600" width="6.54296875" style="2321" customWidth="1"/>
    <col min="3601" max="3843" width="7.453125" style="2321"/>
    <col min="3844" max="3844" width="4.6328125" style="2321" customWidth="1"/>
    <col min="3845" max="3845" width="45.90625" style="2321" bestFit="1" customWidth="1"/>
    <col min="3846" max="3846" width="6.08984375" style="2321" customWidth="1"/>
    <col min="3847" max="3847" width="10.1796875" style="2321" customWidth="1"/>
    <col min="3848" max="3848" width="9.81640625" style="2321" customWidth="1"/>
    <col min="3849" max="3849" width="8.90625" style="2321" customWidth="1"/>
    <col min="3850" max="3850" width="9.1796875" style="2321" customWidth="1"/>
    <col min="3851" max="3851" width="12.6328125" style="2321" customWidth="1"/>
    <col min="3852" max="3853" width="7.453125" style="2321"/>
    <col min="3854" max="3854" width="28.90625" style="2321" bestFit="1" customWidth="1"/>
    <col min="3855" max="3855" width="4.453125" style="2321" bestFit="1" customWidth="1"/>
    <col min="3856" max="3856" width="6.54296875" style="2321" customWidth="1"/>
    <col min="3857" max="4099" width="7.453125" style="2321"/>
    <col min="4100" max="4100" width="4.6328125" style="2321" customWidth="1"/>
    <col min="4101" max="4101" width="45.90625" style="2321" bestFit="1" customWidth="1"/>
    <col min="4102" max="4102" width="6.08984375" style="2321" customWidth="1"/>
    <col min="4103" max="4103" width="10.1796875" style="2321" customWidth="1"/>
    <col min="4104" max="4104" width="9.81640625" style="2321" customWidth="1"/>
    <col min="4105" max="4105" width="8.90625" style="2321" customWidth="1"/>
    <col min="4106" max="4106" width="9.1796875" style="2321" customWidth="1"/>
    <col min="4107" max="4107" width="12.6328125" style="2321" customWidth="1"/>
    <col min="4108" max="4109" width="7.453125" style="2321"/>
    <col min="4110" max="4110" width="28.90625" style="2321" bestFit="1" customWidth="1"/>
    <col min="4111" max="4111" width="4.453125" style="2321" bestFit="1" customWidth="1"/>
    <col min="4112" max="4112" width="6.54296875" style="2321" customWidth="1"/>
    <col min="4113" max="4355" width="7.453125" style="2321"/>
    <col min="4356" max="4356" width="4.6328125" style="2321" customWidth="1"/>
    <col min="4357" max="4357" width="45.90625" style="2321" bestFit="1" customWidth="1"/>
    <col min="4358" max="4358" width="6.08984375" style="2321" customWidth="1"/>
    <col min="4359" max="4359" width="10.1796875" style="2321" customWidth="1"/>
    <col min="4360" max="4360" width="9.81640625" style="2321" customWidth="1"/>
    <col min="4361" max="4361" width="8.90625" style="2321" customWidth="1"/>
    <col min="4362" max="4362" width="9.1796875" style="2321" customWidth="1"/>
    <col min="4363" max="4363" width="12.6328125" style="2321" customWidth="1"/>
    <col min="4364" max="4365" width="7.453125" style="2321"/>
    <col min="4366" max="4366" width="28.90625" style="2321" bestFit="1" customWidth="1"/>
    <col min="4367" max="4367" width="4.453125" style="2321" bestFit="1" customWidth="1"/>
    <col min="4368" max="4368" width="6.54296875" style="2321" customWidth="1"/>
    <col min="4369" max="4611" width="7.453125" style="2321"/>
    <col min="4612" max="4612" width="4.6328125" style="2321" customWidth="1"/>
    <col min="4613" max="4613" width="45.90625" style="2321" bestFit="1" customWidth="1"/>
    <col min="4614" max="4614" width="6.08984375" style="2321" customWidth="1"/>
    <col min="4615" max="4615" width="10.1796875" style="2321" customWidth="1"/>
    <col min="4616" max="4616" width="9.81640625" style="2321" customWidth="1"/>
    <col min="4617" max="4617" width="8.90625" style="2321" customWidth="1"/>
    <col min="4618" max="4618" width="9.1796875" style="2321" customWidth="1"/>
    <col min="4619" max="4619" width="12.6328125" style="2321" customWidth="1"/>
    <col min="4620" max="4621" width="7.453125" style="2321"/>
    <col min="4622" max="4622" width="28.90625" style="2321" bestFit="1" customWidth="1"/>
    <col min="4623" max="4623" width="4.453125" style="2321" bestFit="1" customWidth="1"/>
    <col min="4624" max="4624" width="6.54296875" style="2321" customWidth="1"/>
    <col min="4625" max="4867" width="7.453125" style="2321"/>
    <col min="4868" max="4868" width="4.6328125" style="2321" customWidth="1"/>
    <col min="4869" max="4869" width="45.90625" style="2321" bestFit="1" customWidth="1"/>
    <col min="4870" max="4870" width="6.08984375" style="2321" customWidth="1"/>
    <col min="4871" max="4871" width="10.1796875" style="2321" customWidth="1"/>
    <col min="4872" max="4872" width="9.81640625" style="2321" customWidth="1"/>
    <col min="4873" max="4873" width="8.90625" style="2321" customWidth="1"/>
    <col min="4874" max="4874" width="9.1796875" style="2321" customWidth="1"/>
    <col min="4875" max="4875" width="12.6328125" style="2321" customWidth="1"/>
    <col min="4876" max="4877" width="7.453125" style="2321"/>
    <col min="4878" max="4878" width="28.90625" style="2321" bestFit="1" customWidth="1"/>
    <col min="4879" max="4879" width="4.453125" style="2321" bestFit="1" customWidth="1"/>
    <col min="4880" max="4880" width="6.54296875" style="2321" customWidth="1"/>
    <col min="4881" max="5123" width="7.453125" style="2321"/>
    <col min="5124" max="5124" width="4.6328125" style="2321" customWidth="1"/>
    <col min="5125" max="5125" width="45.90625" style="2321" bestFit="1" customWidth="1"/>
    <col min="5126" max="5126" width="6.08984375" style="2321" customWidth="1"/>
    <col min="5127" max="5127" width="10.1796875" style="2321" customWidth="1"/>
    <col min="5128" max="5128" width="9.81640625" style="2321" customWidth="1"/>
    <col min="5129" max="5129" width="8.90625" style="2321" customWidth="1"/>
    <col min="5130" max="5130" width="9.1796875" style="2321" customWidth="1"/>
    <col min="5131" max="5131" width="12.6328125" style="2321" customWidth="1"/>
    <col min="5132" max="5133" width="7.453125" style="2321"/>
    <col min="5134" max="5134" width="28.90625" style="2321" bestFit="1" customWidth="1"/>
    <col min="5135" max="5135" width="4.453125" style="2321" bestFit="1" customWidth="1"/>
    <col min="5136" max="5136" width="6.54296875" style="2321" customWidth="1"/>
    <col min="5137" max="5379" width="7.453125" style="2321"/>
    <col min="5380" max="5380" width="4.6328125" style="2321" customWidth="1"/>
    <col min="5381" max="5381" width="45.90625" style="2321" bestFit="1" customWidth="1"/>
    <col min="5382" max="5382" width="6.08984375" style="2321" customWidth="1"/>
    <col min="5383" max="5383" width="10.1796875" style="2321" customWidth="1"/>
    <col min="5384" max="5384" width="9.81640625" style="2321" customWidth="1"/>
    <col min="5385" max="5385" width="8.90625" style="2321" customWidth="1"/>
    <col min="5386" max="5386" width="9.1796875" style="2321" customWidth="1"/>
    <col min="5387" max="5387" width="12.6328125" style="2321" customWidth="1"/>
    <col min="5388" max="5389" width="7.453125" style="2321"/>
    <col min="5390" max="5390" width="28.90625" style="2321" bestFit="1" customWidth="1"/>
    <col min="5391" max="5391" width="4.453125" style="2321" bestFit="1" customWidth="1"/>
    <col min="5392" max="5392" width="6.54296875" style="2321" customWidth="1"/>
    <col min="5393" max="5635" width="7.453125" style="2321"/>
    <col min="5636" max="5636" width="4.6328125" style="2321" customWidth="1"/>
    <col min="5637" max="5637" width="45.90625" style="2321" bestFit="1" customWidth="1"/>
    <col min="5638" max="5638" width="6.08984375" style="2321" customWidth="1"/>
    <col min="5639" max="5639" width="10.1796875" style="2321" customWidth="1"/>
    <col min="5640" max="5640" width="9.81640625" style="2321" customWidth="1"/>
    <col min="5641" max="5641" width="8.90625" style="2321" customWidth="1"/>
    <col min="5642" max="5642" width="9.1796875" style="2321" customWidth="1"/>
    <col min="5643" max="5643" width="12.6328125" style="2321" customWidth="1"/>
    <col min="5644" max="5645" width="7.453125" style="2321"/>
    <col min="5646" max="5646" width="28.90625" style="2321" bestFit="1" customWidth="1"/>
    <col min="5647" max="5647" width="4.453125" style="2321" bestFit="1" customWidth="1"/>
    <col min="5648" max="5648" width="6.54296875" style="2321" customWidth="1"/>
    <col min="5649" max="5891" width="7.453125" style="2321"/>
    <col min="5892" max="5892" width="4.6328125" style="2321" customWidth="1"/>
    <col min="5893" max="5893" width="45.90625" style="2321" bestFit="1" customWidth="1"/>
    <col min="5894" max="5894" width="6.08984375" style="2321" customWidth="1"/>
    <col min="5895" max="5895" width="10.1796875" style="2321" customWidth="1"/>
    <col min="5896" max="5896" width="9.81640625" style="2321" customWidth="1"/>
    <col min="5897" max="5897" width="8.90625" style="2321" customWidth="1"/>
    <col min="5898" max="5898" width="9.1796875" style="2321" customWidth="1"/>
    <col min="5899" max="5899" width="12.6328125" style="2321" customWidth="1"/>
    <col min="5900" max="5901" width="7.453125" style="2321"/>
    <col min="5902" max="5902" width="28.90625" style="2321" bestFit="1" customWidth="1"/>
    <col min="5903" max="5903" width="4.453125" style="2321" bestFit="1" customWidth="1"/>
    <col min="5904" max="5904" width="6.54296875" style="2321" customWidth="1"/>
    <col min="5905" max="6147" width="7.453125" style="2321"/>
    <col min="6148" max="6148" width="4.6328125" style="2321" customWidth="1"/>
    <col min="6149" max="6149" width="45.90625" style="2321" bestFit="1" customWidth="1"/>
    <col min="6150" max="6150" width="6.08984375" style="2321" customWidth="1"/>
    <col min="6151" max="6151" width="10.1796875" style="2321" customWidth="1"/>
    <col min="6152" max="6152" width="9.81640625" style="2321" customWidth="1"/>
    <col min="6153" max="6153" width="8.90625" style="2321" customWidth="1"/>
    <col min="6154" max="6154" width="9.1796875" style="2321" customWidth="1"/>
    <col min="6155" max="6155" width="12.6328125" style="2321" customWidth="1"/>
    <col min="6156" max="6157" width="7.453125" style="2321"/>
    <col min="6158" max="6158" width="28.90625" style="2321" bestFit="1" customWidth="1"/>
    <col min="6159" max="6159" width="4.453125" style="2321" bestFit="1" customWidth="1"/>
    <col min="6160" max="6160" width="6.54296875" style="2321" customWidth="1"/>
    <col min="6161" max="6403" width="7.453125" style="2321"/>
    <col min="6404" max="6404" width="4.6328125" style="2321" customWidth="1"/>
    <col min="6405" max="6405" width="45.90625" style="2321" bestFit="1" customWidth="1"/>
    <col min="6406" max="6406" width="6.08984375" style="2321" customWidth="1"/>
    <col min="6407" max="6407" width="10.1796875" style="2321" customWidth="1"/>
    <col min="6408" max="6408" width="9.81640625" style="2321" customWidth="1"/>
    <col min="6409" max="6409" width="8.90625" style="2321" customWidth="1"/>
    <col min="6410" max="6410" width="9.1796875" style="2321" customWidth="1"/>
    <col min="6411" max="6411" width="12.6328125" style="2321" customWidth="1"/>
    <col min="6412" max="6413" width="7.453125" style="2321"/>
    <col min="6414" max="6414" width="28.90625" style="2321" bestFit="1" customWidth="1"/>
    <col min="6415" max="6415" width="4.453125" style="2321" bestFit="1" customWidth="1"/>
    <col min="6416" max="6416" width="6.54296875" style="2321" customWidth="1"/>
    <col min="6417" max="6659" width="7.453125" style="2321"/>
    <col min="6660" max="6660" width="4.6328125" style="2321" customWidth="1"/>
    <col min="6661" max="6661" width="45.90625" style="2321" bestFit="1" customWidth="1"/>
    <col min="6662" max="6662" width="6.08984375" style="2321" customWidth="1"/>
    <col min="6663" max="6663" width="10.1796875" style="2321" customWidth="1"/>
    <col min="6664" max="6664" width="9.81640625" style="2321" customWidth="1"/>
    <col min="6665" max="6665" width="8.90625" style="2321" customWidth="1"/>
    <col min="6666" max="6666" width="9.1796875" style="2321" customWidth="1"/>
    <col min="6667" max="6667" width="12.6328125" style="2321" customWidth="1"/>
    <col min="6668" max="6669" width="7.453125" style="2321"/>
    <col min="6670" max="6670" width="28.90625" style="2321" bestFit="1" customWidth="1"/>
    <col min="6671" max="6671" width="4.453125" style="2321" bestFit="1" customWidth="1"/>
    <col min="6672" max="6672" width="6.54296875" style="2321" customWidth="1"/>
    <col min="6673" max="6915" width="7.453125" style="2321"/>
    <col min="6916" max="6916" width="4.6328125" style="2321" customWidth="1"/>
    <col min="6917" max="6917" width="45.90625" style="2321" bestFit="1" customWidth="1"/>
    <col min="6918" max="6918" width="6.08984375" style="2321" customWidth="1"/>
    <col min="6919" max="6919" width="10.1796875" style="2321" customWidth="1"/>
    <col min="6920" max="6920" width="9.81640625" style="2321" customWidth="1"/>
    <col min="6921" max="6921" width="8.90625" style="2321" customWidth="1"/>
    <col min="6922" max="6922" width="9.1796875" style="2321" customWidth="1"/>
    <col min="6923" max="6923" width="12.6328125" style="2321" customWidth="1"/>
    <col min="6924" max="6925" width="7.453125" style="2321"/>
    <col min="6926" max="6926" width="28.90625" style="2321" bestFit="1" customWidth="1"/>
    <col min="6927" max="6927" width="4.453125" style="2321" bestFit="1" customWidth="1"/>
    <col min="6928" max="6928" width="6.54296875" style="2321" customWidth="1"/>
    <col min="6929" max="7171" width="7.453125" style="2321"/>
    <col min="7172" max="7172" width="4.6328125" style="2321" customWidth="1"/>
    <col min="7173" max="7173" width="45.90625" style="2321" bestFit="1" customWidth="1"/>
    <col min="7174" max="7174" width="6.08984375" style="2321" customWidth="1"/>
    <col min="7175" max="7175" width="10.1796875" style="2321" customWidth="1"/>
    <col min="7176" max="7176" width="9.81640625" style="2321" customWidth="1"/>
    <col min="7177" max="7177" width="8.90625" style="2321" customWidth="1"/>
    <col min="7178" max="7178" width="9.1796875" style="2321" customWidth="1"/>
    <col min="7179" max="7179" width="12.6328125" style="2321" customWidth="1"/>
    <col min="7180" max="7181" width="7.453125" style="2321"/>
    <col min="7182" max="7182" width="28.90625" style="2321" bestFit="1" customWidth="1"/>
    <col min="7183" max="7183" width="4.453125" style="2321" bestFit="1" customWidth="1"/>
    <col min="7184" max="7184" width="6.54296875" style="2321" customWidth="1"/>
    <col min="7185" max="7427" width="7.453125" style="2321"/>
    <col min="7428" max="7428" width="4.6328125" style="2321" customWidth="1"/>
    <col min="7429" max="7429" width="45.90625" style="2321" bestFit="1" customWidth="1"/>
    <col min="7430" max="7430" width="6.08984375" style="2321" customWidth="1"/>
    <col min="7431" max="7431" width="10.1796875" style="2321" customWidth="1"/>
    <col min="7432" max="7432" width="9.81640625" style="2321" customWidth="1"/>
    <col min="7433" max="7433" width="8.90625" style="2321" customWidth="1"/>
    <col min="7434" max="7434" width="9.1796875" style="2321" customWidth="1"/>
    <col min="7435" max="7435" width="12.6328125" style="2321" customWidth="1"/>
    <col min="7436" max="7437" width="7.453125" style="2321"/>
    <col min="7438" max="7438" width="28.90625" style="2321" bestFit="1" customWidth="1"/>
    <col min="7439" max="7439" width="4.453125" style="2321" bestFit="1" customWidth="1"/>
    <col min="7440" max="7440" width="6.54296875" style="2321" customWidth="1"/>
    <col min="7441" max="7683" width="7.453125" style="2321"/>
    <col min="7684" max="7684" width="4.6328125" style="2321" customWidth="1"/>
    <col min="7685" max="7685" width="45.90625" style="2321" bestFit="1" customWidth="1"/>
    <col min="7686" max="7686" width="6.08984375" style="2321" customWidth="1"/>
    <col min="7687" max="7687" width="10.1796875" style="2321" customWidth="1"/>
    <col min="7688" max="7688" width="9.81640625" style="2321" customWidth="1"/>
    <col min="7689" max="7689" width="8.90625" style="2321" customWidth="1"/>
    <col min="7690" max="7690" width="9.1796875" style="2321" customWidth="1"/>
    <col min="7691" max="7691" width="12.6328125" style="2321" customWidth="1"/>
    <col min="7692" max="7693" width="7.453125" style="2321"/>
    <col min="7694" max="7694" width="28.90625" style="2321" bestFit="1" customWidth="1"/>
    <col min="7695" max="7695" width="4.453125" style="2321" bestFit="1" customWidth="1"/>
    <col min="7696" max="7696" width="6.54296875" style="2321" customWidth="1"/>
    <col min="7697" max="7939" width="7.453125" style="2321"/>
    <col min="7940" max="7940" width="4.6328125" style="2321" customWidth="1"/>
    <col min="7941" max="7941" width="45.90625" style="2321" bestFit="1" customWidth="1"/>
    <col min="7942" max="7942" width="6.08984375" style="2321" customWidth="1"/>
    <col min="7943" max="7943" width="10.1796875" style="2321" customWidth="1"/>
    <col min="7944" max="7944" width="9.81640625" style="2321" customWidth="1"/>
    <col min="7945" max="7945" width="8.90625" style="2321" customWidth="1"/>
    <col min="7946" max="7946" width="9.1796875" style="2321" customWidth="1"/>
    <col min="7947" max="7947" width="12.6328125" style="2321" customWidth="1"/>
    <col min="7948" max="7949" width="7.453125" style="2321"/>
    <col min="7950" max="7950" width="28.90625" style="2321" bestFit="1" customWidth="1"/>
    <col min="7951" max="7951" width="4.453125" style="2321" bestFit="1" customWidth="1"/>
    <col min="7952" max="7952" width="6.54296875" style="2321" customWidth="1"/>
    <col min="7953" max="8195" width="7.453125" style="2321"/>
    <col min="8196" max="8196" width="4.6328125" style="2321" customWidth="1"/>
    <col min="8197" max="8197" width="45.90625" style="2321" bestFit="1" customWidth="1"/>
    <col min="8198" max="8198" width="6.08984375" style="2321" customWidth="1"/>
    <col min="8199" max="8199" width="10.1796875" style="2321" customWidth="1"/>
    <col min="8200" max="8200" width="9.81640625" style="2321" customWidth="1"/>
    <col min="8201" max="8201" width="8.90625" style="2321" customWidth="1"/>
    <col min="8202" max="8202" width="9.1796875" style="2321" customWidth="1"/>
    <col min="8203" max="8203" width="12.6328125" style="2321" customWidth="1"/>
    <col min="8204" max="8205" width="7.453125" style="2321"/>
    <col min="8206" max="8206" width="28.90625" style="2321" bestFit="1" customWidth="1"/>
    <col min="8207" max="8207" width="4.453125" style="2321" bestFit="1" customWidth="1"/>
    <col min="8208" max="8208" width="6.54296875" style="2321" customWidth="1"/>
    <col min="8209" max="8451" width="7.453125" style="2321"/>
    <col min="8452" max="8452" width="4.6328125" style="2321" customWidth="1"/>
    <col min="8453" max="8453" width="45.90625" style="2321" bestFit="1" customWidth="1"/>
    <col min="8454" max="8454" width="6.08984375" style="2321" customWidth="1"/>
    <col min="8455" max="8455" width="10.1796875" style="2321" customWidth="1"/>
    <col min="8456" max="8456" width="9.81640625" style="2321" customWidth="1"/>
    <col min="8457" max="8457" width="8.90625" style="2321" customWidth="1"/>
    <col min="8458" max="8458" width="9.1796875" style="2321" customWidth="1"/>
    <col min="8459" max="8459" width="12.6328125" style="2321" customWidth="1"/>
    <col min="8460" max="8461" width="7.453125" style="2321"/>
    <col min="8462" max="8462" width="28.90625" style="2321" bestFit="1" customWidth="1"/>
    <col min="8463" max="8463" width="4.453125" style="2321" bestFit="1" customWidth="1"/>
    <col min="8464" max="8464" width="6.54296875" style="2321" customWidth="1"/>
    <col min="8465" max="8707" width="7.453125" style="2321"/>
    <col min="8708" max="8708" width="4.6328125" style="2321" customWidth="1"/>
    <col min="8709" max="8709" width="45.90625" style="2321" bestFit="1" customWidth="1"/>
    <col min="8710" max="8710" width="6.08984375" style="2321" customWidth="1"/>
    <col min="8711" max="8711" width="10.1796875" style="2321" customWidth="1"/>
    <col min="8712" max="8712" width="9.81640625" style="2321" customWidth="1"/>
    <col min="8713" max="8713" width="8.90625" style="2321" customWidth="1"/>
    <col min="8714" max="8714" width="9.1796875" style="2321" customWidth="1"/>
    <col min="8715" max="8715" width="12.6328125" style="2321" customWidth="1"/>
    <col min="8716" max="8717" width="7.453125" style="2321"/>
    <col min="8718" max="8718" width="28.90625" style="2321" bestFit="1" customWidth="1"/>
    <col min="8719" max="8719" width="4.453125" style="2321" bestFit="1" customWidth="1"/>
    <col min="8720" max="8720" width="6.54296875" style="2321" customWidth="1"/>
    <col min="8721" max="8963" width="7.453125" style="2321"/>
    <col min="8964" max="8964" width="4.6328125" style="2321" customWidth="1"/>
    <col min="8965" max="8965" width="45.90625" style="2321" bestFit="1" customWidth="1"/>
    <col min="8966" max="8966" width="6.08984375" style="2321" customWidth="1"/>
    <col min="8967" max="8967" width="10.1796875" style="2321" customWidth="1"/>
    <col min="8968" max="8968" width="9.81640625" style="2321" customWidth="1"/>
    <col min="8969" max="8969" width="8.90625" style="2321" customWidth="1"/>
    <col min="8970" max="8970" width="9.1796875" style="2321" customWidth="1"/>
    <col min="8971" max="8971" width="12.6328125" style="2321" customWidth="1"/>
    <col min="8972" max="8973" width="7.453125" style="2321"/>
    <col min="8974" max="8974" width="28.90625" style="2321" bestFit="1" customWidth="1"/>
    <col min="8975" max="8975" width="4.453125" style="2321" bestFit="1" customWidth="1"/>
    <col min="8976" max="8976" width="6.54296875" style="2321" customWidth="1"/>
    <col min="8977" max="9219" width="7.453125" style="2321"/>
    <col min="9220" max="9220" width="4.6328125" style="2321" customWidth="1"/>
    <col min="9221" max="9221" width="45.90625" style="2321" bestFit="1" customWidth="1"/>
    <col min="9222" max="9222" width="6.08984375" style="2321" customWidth="1"/>
    <col min="9223" max="9223" width="10.1796875" style="2321" customWidth="1"/>
    <col min="9224" max="9224" width="9.81640625" style="2321" customWidth="1"/>
    <col min="9225" max="9225" width="8.90625" style="2321" customWidth="1"/>
    <col min="9226" max="9226" width="9.1796875" style="2321" customWidth="1"/>
    <col min="9227" max="9227" width="12.6328125" style="2321" customWidth="1"/>
    <col min="9228" max="9229" width="7.453125" style="2321"/>
    <col min="9230" max="9230" width="28.90625" style="2321" bestFit="1" customWidth="1"/>
    <col min="9231" max="9231" width="4.453125" style="2321" bestFit="1" customWidth="1"/>
    <col min="9232" max="9232" width="6.54296875" style="2321" customWidth="1"/>
    <col min="9233" max="9475" width="7.453125" style="2321"/>
    <col min="9476" max="9476" width="4.6328125" style="2321" customWidth="1"/>
    <col min="9477" max="9477" width="45.90625" style="2321" bestFit="1" customWidth="1"/>
    <col min="9478" max="9478" width="6.08984375" style="2321" customWidth="1"/>
    <col min="9479" max="9479" width="10.1796875" style="2321" customWidth="1"/>
    <col min="9480" max="9480" width="9.81640625" style="2321" customWidth="1"/>
    <col min="9481" max="9481" width="8.90625" style="2321" customWidth="1"/>
    <col min="9482" max="9482" width="9.1796875" style="2321" customWidth="1"/>
    <col min="9483" max="9483" width="12.6328125" style="2321" customWidth="1"/>
    <col min="9484" max="9485" width="7.453125" style="2321"/>
    <col min="9486" max="9486" width="28.90625" style="2321" bestFit="1" customWidth="1"/>
    <col min="9487" max="9487" width="4.453125" style="2321" bestFit="1" customWidth="1"/>
    <col min="9488" max="9488" width="6.54296875" style="2321" customWidth="1"/>
    <col min="9489" max="9731" width="7.453125" style="2321"/>
    <col min="9732" max="9732" width="4.6328125" style="2321" customWidth="1"/>
    <col min="9733" max="9733" width="45.90625" style="2321" bestFit="1" customWidth="1"/>
    <col min="9734" max="9734" width="6.08984375" style="2321" customWidth="1"/>
    <col min="9735" max="9735" width="10.1796875" style="2321" customWidth="1"/>
    <col min="9736" max="9736" width="9.81640625" style="2321" customWidth="1"/>
    <col min="9737" max="9737" width="8.90625" style="2321" customWidth="1"/>
    <col min="9738" max="9738" width="9.1796875" style="2321" customWidth="1"/>
    <col min="9739" max="9739" width="12.6328125" style="2321" customWidth="1"/>
    <col min="9740" max="9741" width="7.453125" style="2321"/>
    <col min="9742" max="9742" width="28.90625" style="2321" bestFit="1" customWidth="1"/>
    <col min="9743" max="9743" width="4.453125" style="2321" bestFit="1" customWidth="1"/>
    <col min="9744" max="9744" width="6.54296875" style="2321" customWidth="1"/>
    <col min="9745" max="9987" width="7.453125" style="2321"/>
    <col min="9988" max="9988" width="4.6328125" style="2321" customWidth="1"/>
    <col min="9989" max="9989" width="45.90625" style="2321" bestFit="1" customWidth="1"/>
    <col min="9990" max="9990" width="6.08984375" style="2321" customWidth="1"/>
    <col min="9991" max="9991" width="10.1796875" style="2321" customWidth="1"/>
    <col min="9992" max="9992" width="9.81640625" style="2321" customWidth="1"/>
    <col min="9993" max="9993" width="8.90625" style="2321" customWidth="1"/>
    <col min="9994" max="9994" width="9.1796875" style="2321" customWidth="1"/>
    <col min="9995" max="9995" width="12.6328125" style="2321" customWidth="1"/>
    <col min="9996" max="9997" width="7.453125" style="2321"/>
    <col min="9998" max="9998" width="28.90625" style="2321" bestFit="1" customWidth="1"/>
    <col min="9999" max="9999" width="4.453125" style="2321" bestFit="1" customWidth="1"/>
    <col min="10000" max="10000" width="6.54296875" style="2321" customWidth="1"/>
    <col min="10001" max="10243" width="7.453125" style="2321"/>
    <col min="10244" max="10244" width="4.6328125" style="2321" customWidth="1"/>
    <col min="10245" max="10245" width="45.90625" style="2321" bestFit="1" customWidth="1"/>
    <col min="10246" max="10246" width="6.08984375" style="2321" customWidth="1"/>
    <col min="10247" max="10247" width="10.1796875" style="2321" customWidth="1"/>
    <col min="10248" max="10248" width="9.81640625" style="2321" customWidth="1"/>
    <col min="10249" max="10249" width="8.90625" style="2321" customWidth="1"/>
    <col min="10250" max="10250" width="9.1796875" style="2321" customWidth="1"/>
    <col min="10251" max="10251" width="12.6328125" style="2321" customWidth="1"/>
    <col min="10252" max="10253" width="7.453125" style="2321"/>
    <col min="10254" max="10254" width="28.90625" style="2321" bestFit="1" customWidth="1"/>
    <col min="10255" max="10255" width="4.453125" style="2321" bestFit="1" customWidth="1"/>
    <col min="10256" max="10256" width="6.54296875" style="2321" customWidth="1"/>
    <col min="10257" max="10499" width="7.453125" style="2321"/>
    <col min="10500" max="10500" width="4.6328125" style="2321" customWidth="1"/>
    <col min="10501" max="10501" width="45.90625" style="2321" bestFit="1" customWidth="1"/>
    <col min="10502" max="10502" width="6.08984375" style="2321" customWidth="1"/>
    <col min="10503" max="10503" width="10.1796875" style="2321" customWidth="1"/>
    <col min="10504" max="10504" width="9.81640625" style="2321" customWidth="1"/>
    <col min="10505" max="10505" width="8.90625" style="2321" customWidth="1"/>
    <col min="10506" max="10506" width="9.1796875" style="2321" customWidth="1"/>
    <col min="10507" max="10507" width="12.6328125" style="2321" customWidth="1"/>
    <col min="10508" max="10509" width="7.453125" style="2321"/>
    <col min="10510" max="10510" width="28.90625" style="2321" bestFit="1" customWidth="1"/>
    <col min="10511" max="10511" width="4.453125" style="2321" bestFit="1" customWidth="1"/>
    <col min="10512" max="10512" width="6.54296875" style="2321" customWidth="1"/>
    <col min="10513" max="10755" width="7.453125" style="2321"/>
    <col min="10756" max="10756" width="4.6328125" style="2321" customWidth="1"/>
    <col min="10757" max="10757" width="45.90625" style="2321" bestFit="1" customWidth="1"/>
    <col min="10758" max="10758" width="6.08984375" style="2321" customWidth="1"/>
    <col min="10759" max="10759" width="10.1796875" style="2321" customWidth="1"/>
    <col min="10760" max="10760" width="9.81640625" style="2321" customWidth="1"/>
    <col min="10761" max="10761" width="8.90625" style="2321" customWidth="1"/>
    <col min="10762" max="10762" width="9.1796875" style="2321" customWidth="1"/>
    <col min="10763" max="10763" width="12.6328125" style="2321" customWidth="1"/>
    <col min="10764" max="10765" width="7.453125" style="2321"/>
    <col min="10766" max="10766" width="28.90625" style="2321" bestFit="1" customWidth="1"/>
    <col min="10767" max="10767" width="4.453125" style="2321" bestFit="1" customWidth="1"/>
    <col min="10768" max="10768" width="6.54296875" style="2321" customWidth="1"/>
    <col min="10769" max="11011" width="7.453125" style="2321"/>
    <col min="11012" max="11012" width="4.6328125" style="2321" customWidth="1"/>
    <col min="11013" max="11013" width="45.90625" style="2321" bestFit="1" customWidth="1"/>
    <col min="11014" max="11014" width="6.08984375" style="2321" customWidth="1"/>
    <col min="11015" max="11015" width="10.1796875" style="2321" customWidth="1"/>
    <col min="11016" max="11016" width="9.81640625" style="2321" customWidth="1"/>
    <col min="11017" max="11017" width="8.90625" style="2321" customWidth="1"/>
    <col min="11018" max="11018" width="9.1796875" style="2321" customWidth="1"/>
    <col min="11019" max="11019" width="12.6328125" style="2321" customWidth="1"/>
    <col min="11020" max="11021" width="7.453125" style="2321"/>
    <col min="11022" max="11022" width="28.90625" style="2321" bestFit="1" customWidth="1"/>
    <col min="11023" max="11023" width="4.453125" style="2321" bestFit="1" customWidth="1"/>
    <col min="11024" max="11024" width="6.54296875" style="2321" customWidth="1"/>
    <col min="11025" max="11267" width="7.453125" style="2321"/>
    <col min="11268" max="11268" width="4.6328125" style="2321" customWidth="1"/>
    <col min="11269" max="11269" width="45.90625" style="2321" bestFit="1" customWidth="1"/>
    <col min="11270" max="11270" width="6.08984375" style="2321" customWidth="1"/>
    <col min="11271" max="11271" width="10.1796875" style="2321" customWidth="1"/>
    <col min="11272" max="11272" width="9.81640625" style="2321" customWidth="1"/>
    <col min="11273" max="11273" width="8.90625" style="2321" customWidth="1"/>
    <col min="11274" max="11274" width="9.1796875" style="2321" customWidth="1"/>
    <col min="11275" max="11275" width="12.6328125" style="2321" customWidth="1"/>
    <col min="11276" max="11277" width="7.453125" style="2321"/>
    <col min="11278" max="11278" width="28.90625" style="2321" bestFit="1" customWidth="1"/>
    <col min="11279" max="11279" width="4.453125" style="2321" bestFit="1" customWidth="1"/>
    <col min="11280" max="11280" width="6.54296875" style="2321" customWidth="1"/>
    <col min="11281" max="11523" width="7.453125" style="2321"/>
    <col min="11524" max="11524" width="4.6328125" style="2321" customWidth="1"/>
    <col min="11525" max="11525" width="45.90625" style="2321" bestFit="1" customWidth="1"/>
    <col min="11526" max="11526" width="6.08984375" style="2321" customWidth="1"/>
    <col min="11527" max="11527" width="10.1796875" style="2321" customWidth="1"/>
    <col min="11528" max="11528" width="9.81640625" style="2321" customWidth="1"/>
    <col min="11529" max="11529" width="8.90625" style="2321" customWidth="1"/>
    <col min="11530" max="11530" width="9.1796875" style="2321" customWidth="1"/>
    <col min="11531" max="11531" width="12.6328125" style="2321" customWidth="1"/>
    <col min="11532" max="11533" width="7.453125" style="2321"/>
    <col min="11534" max="11534" width="28.90625" style="2321" bestFit="1" customWidth="1"/>
    <col min="11535" max="11535" width="4.453125" style="2321" bestFit="1" customWidth="1"/>
    <col min="11536" max="11536" width="6.54296875" style="2321" customWidth="1"/>
    <col min="11537" max="11779" width="7.453125" style="2321"/>
    <col min="11780" max="11780" width="4.6328125" style="2321" customWidth="1"/>
    <col min="11781" max="11781" width="45.90625" style="2321" bestFit="1" customWidth="1"/>
    <col min="11782" max="11782" width="6.08984375" style="2321" customWidth="1"/>
    <col min="11783" max="11783" width="10.1796875" style="2321" customWidth="1"/>
    <col min="11784" max="11784" width="9.81640625" style="2321" customWidth="1"/>
    <col min="11785" max="11785" width="8.90625" style="2321" customWidth="1"/>
    <col min="11786" max="11786" width="9.1796875" style="2321" customWidth="1"/>
    <col min="11787" max="11787" width="12.6328125" style="2321" customWidth="1"/>
    <col min="11788" max="11789" width="7.453125" style="2321"/>
    <col min="11790" max="11790" width="28.90625" style="2321" bestFit="1" customWidth="1"/>
    <col min="11791" max="11791" width="4.453125" style="2321" bestFit="1" customWidth="1"/>
    <col min="11792" max="11792" width="6.54296875" style="2321" customWidth="1"/>
    <col min="11793" max="12035" width="7.453125" style="2321"/>
    <col min="12036" max="12036" width="4.6328125" style="2321" customWidth="1"/>
    <col min="12037" max="12037" width="45.90625" style="2321" bestFit="1" customWidth="1"/>
    <col min="12038" max="12038" width="6.08984375" style="2321" customWidth="1"/>
    <col min="12039" max="12039" width="10.1796875" style="2321" customWidth="1"/>
    <col min="12040" max="12040" width="9.81640625" style="2321" customWidth="1"/>
    <col min="12041" max="12041" width="8.90625" style="2321" customWidth="1"/>
    <col min="12042" max="12042" width="9.1796875" style="2321" customWidth="1"/>
    <col min="12043" max="12043" width="12.6328125" style="2321" customWidth="1"/>
    <col min="12044" max="12045" width="7.453125" style="2321"/>
    <col min="12046" max="12046" width="28.90625" style="2321" bestFit="1" customWidth="1"/>
    <col min="12047" max="12047" width="4.453125" style="2321" bestFit="1" customWidth="1"/>
    <col min="12048" max="12048" width="6.54296875" style="2321" customWidth="1"/>
    <col min="12049" max="12291" width="7.453125" style="2321"/>
    <col min="12292" max="12292" width="4.6328125" style="2321" customWidth="1"/>
    <col min="12293" max="12293" width="45.90625" style="2321" bestFit="1" customWidth="1"/>
    <col min="12294" max="12294" width="6.08984375" style="2321" customWidth="1"/>
    <col min="12295" max="12295" width="10.1796875" style="2321" customWidth="1"/>
    <col min="12296" max="12296" width="9.81640625" style="2321" customWidth="1"/>
    <col min="12297" max="12297" width="8.90625" style="2321" customWidth="1"/>
    <col min="12298" max="12298" width="9.1796875" style="2321" customWidth="1"/>
    <col min="12299" max="12299" width="12.6328125" style="2321" customWidth="1"/>
    <col min="12300" max="12301" width="7.453125" style="2321"/>
    <col min="12302" max="12302" width="28.90625" style="2321" bestFit="1" customWidth="1"/>
    <col min="12303" max="12303" width="4.453125" style="2321" bestFit="1" customWidth="1"/>
    <col min="12304" max="12304" width="6.54296875" style="2321" customWidth="1"/>
    <col min="12305" max="12547" width="7.453125" style="2321"/>
    <col min="12548" max="12548" width="4.6328125" style="2321" customWidth="1"/>
    <col min="12549" max="12549" width="45.90625" style="2321" bestFit="1" customWidth="1"/>
    <col min="12550" max="12550" width="6.08984375" style="2321" customWidth="1"/>
    <col min="12551" max="12551" width="10.1796875" style="2321" customWidth="1"/>
    <col min="12552" max="12552" width="9.81640625" style="2321" customWidth="1"/>
    <col min="12553" max="12553" width="8.90625" style="2321" customWidth="1"/>
    <col min="12554" max="12554" width="9.1796875" style="2321" customWidth="1"/>
    <col min="12555" max="12555" width="12.6328125" style="2321" customWidth="1"/>
    <col min="12556" max="12557" width="7.453125" style="2321"/>
    <col min="12558" max="12558" width="28.90625" style="2321" bestFit="1" customWidth="1"/>
    <col min="12559" max="12559" width="4.453125" style="2321" bestFit="1" customWidth="1"/>
    <col min="12560" max="12560" width="6.54296875" style="2321" customWidth="1"/>
    <col min="12561" max="12803" width="7.453125" style="2321"/>
    <col min="12804" max="12804" width="4.6328125" style="2321" customWidth="1"/>
    <col min="12805" max="12805" width="45.90625" style="2321" bestFit="1" customWidth="1"/>
    <col min="12806" max="12806" width="6.08984375" style="2321" customWidth="1"/>
    <col min="12807" max="12807" width="10.1796875" style="2321" customWidth="1"/>
    <col min="12808" max="12808" width="9.81640625" style="2321" customWidth="1"/>
    <col min="12809" max="12809" width="8.90625" style="2321" customWidth="1"/>
    <col min="12810" max="12810" width="9.1796875" style="2321" customWidth="1"/>
    <col min="12811" max="12811" width="12.6328125" style="2321" customWidth="1"/>
    <col min="12812" max="12813" width="7.453125" style="2321"/>
    <col min="12814" max="12814" width="28.90625" style="2321" bestFit="1" customWidth="1"/>
    <col min="12815" max="12815" width="4.453125" style="2321" bestFit="1" customWidth="1"/>
    <col min="12816" max="12816" width="6.54296875" style="2321" customWidth="1"/>
    <col min="12817" max="13059" width="7.453125" style="2321"/>
    <col min="13060" max="13060" width="4.6328125" style="2321" customWidth="1"/>
    <col min="13061" max="13061" width="45.90625" style="2321" bestFit="1" customWidth="1"/>
    <col min="13062" max="13062" width="6.08984375" style="2321" customWidth="1"/>
    <col min="13063" max="13063" width="10.1796875" style="2321" customWidth="1"/>
    <col min="13064" max="13064" width="9.81640625" style="2321" customWidth="1"/>
    <col min="13065" max="13065" width="8.90625" style="2321" customWidth="1"/>
    <col min="13066" max="13066" width="9.1796875" style="2321" customWidth="1"/>
    <col min="13067" max="13067" width="12.6328125" style="2321" customWidth="1"/>
    <col min="13068" max="13069" width="7.453125" style="2321"/>
    <col min="13070" max="13070" width="28.90625" style="2321" bestFit="1" customWidth="1"/>
    <col min="13071" max="13071" width="4.453125" style="2321" bestFit="1" customWidth="1"/>
    <col min="13072" max="13072" width="6.54296875" style="2321" customWidth="1"/>
    <col min="13073" max="13315" width="7.453125" style="2321"/>
    <col min="13316" max="13316" width="4.6328125" style="2321" customWidth="1"/>
    <col min="13317" max="13317" width="45.90625" style="2321" bestFit="1" customWidth="1"/>
    <col min="13318" max="13318" width="6.08984375" style="2321" customWidth="1"/>
    <col min="13319" max="13319" width="10.1796875" style="2321" customWidth="1"/>
    <col min="13320" max="13320" width="9.81640625" style="2321" customWidth="1"/>
    <col min="13321" max="13321" width="8.90625" style="2321" customWidth="1"/>
    <col min="13322" max="13322" width="9.1796875" style="2321" customWidth="1"/>
    <col min="13323" max="13323" width="12.6328125" style="2321" customWidth="1"/>
    <col min="13324" max="13325" width="7.453125" style="2321"/>
    <col min="13326" max="13326" width="28.90625" style="2321" bestFit="1" customWidth="1"/>
    <col min="13327" max="13327" width="4.453125" style="2321" bestFit="1" customWidth="1"/>
    <col min="13328" max="13328" width="6.54296875" style="2321" customWidth="1"/>
    <col min="13329" max="13571" width="7.453125" style="2321"/>
    <col min="13572" max="13572" width="4.6328125" style="2321" customWidth="1"/>
    <col min="13573" max="13573" width="45.90625" style="2321" bestFit="1" customWidth="1"/>
    <col min="13574" max="13574" width="6.08984375" style="2321" customWidth="1"/>
    <col min="13575" max="13575" width="10.1796875" style="2321" customWidth="1"/>
    <col min="13576" max="13576" width="9.81640625" style="2321" customWidth="1"/>
    <col min="13577" max="13577" width="8.90625" style="2321" customWidth="1"/>
    <col min="13578" max="13578" width="9.1796875" style="2321" customWidth="1"/>
    <col min="13579" max="13579" width="12.6328125" style="2321" customWidth="1"/>
    <col min="13580" max="13581" width="7.453125" style="2321"/>
    <col min="13582" max="13582" width="28.90625" style="2321" bestFit="1" customWidth="1"/>
    <col min="13583" max="13583" width="4.453125" style="2321" bestFit="1" customWidth="1"/>
    <col min="13584" max="13584" width="6.54296875" style="2321" customWidth="1"/>
    <col min="13585" max="13827" width="7.453125" style="2321"/>
    <col min="13828" max="13828" width="4.6328125" style="2321" customWidth="1"/>
    <col min="13829" max="13829" width="45.90625" style="2321" bestFit="1" customWidth="1"/>
    <col min="13830" max="13830" width="6.08984375" style="2321" customWidth="1"/>
    <col min="13831" max="13831" width="10.1796875" style="2321" customWidth="1"/>
    <col min="13832" max="13832" width="9.81640625" style="2321" customWidth="1"/>
    <col min="13833" max="13833" width="8.90625" style="2321" customWidth="1"/>
    <col min="13834" max="13834" width="9.1796875" style="2321" customWidth="1"/>
    <col min="13835" max="13835" width="12.6328125" style="2321" customWidth="1"/>
    <col min="13836" max="13837" width="7.453125" style="2321"/>
    <col min="13838" max="13838" width="28.90625" style="2321" bestFit="1" customWidth="1"/>
    <col min="13839" max="13839" width="4.453125" style="2321" bestFit="1" customWidth="1"/>
    <col min="13840" max="13840" width="6.54296875" style="2321" customWidth="1"/>
    <col min="13841" max="14083" width="7.453125" style="2321"/>
    <col min="14084" max="14084" width="4.6328125" style="2321" customWidth="1"/>
    <col min="14085" max="14085" width="45.90625" style="2321" bestFit="1" customWidth="1"/>
    <col min="14086" max="14086" width="6.08984375" style="2321" customWidth="1"/>
    <col min="14087" max="14087" width="10.1796875" style="2321" customWidth="1"/>
    <col min="14088" max="14088" width="9.81640625" style="2321" customWidth="1"/>
    <col min="14089" max="14089" width="8.90625" style="2321" customWidth="1"/>
    <col min="14090" max="14090" width="9.1796875" style="2321" customWidth="1"/>
    <col min="14091" max="14091" width="12.6328125" style="2321" customWidth="1"/>
    <col min="14092" max="14093" width="7.453125" style="2321"/>
    <col min="14094" max="14094" width="28.90625" style="2321" bestFit="1" customWidth="1"/>
    <col min="14095" max="14095" width="4.453125" style="2321" bestFit="1" customWidth="1"/>
    <col min="14096" max="14096" width="6.54296875" style="2321" customWidth="1"/>
    <col min="14097" max="14339" width="7.453125" style="2321"/>
    <col min="14340" max="14340" width="4.6328125" style="2321" customWidth="1"/>
    <col min="14341" max="14341" width="45.90625" style="2321" bestFit="1" customWidth="1"/>
    <col min="14342" max="14342" width="6.08984375" style="2321" customWidth="1"/>
    <col min="14343" max="14343" width="10.1796875" style="2321" customWidth="1"/>
    <col min="14344" max="14344" width="9.81640625" style="2321" customWidth="1"/>
    <col min="14345" max="14345" width="8.90625" style="2321" customWidth="1"/>
    <col min="14346" max="14346" width="9.1796875" style="2321" customWidth="1"/>
    <col min="14347" max="14347" width="12.6328125" style="2321" customWidth="1"/>
    <col min="14348" max="14349" width="7.453125" style="2321"/>
    <col min="14350" max="14350" width="28.90625" style="2321" bestFit="1" customWidth="1"/>
    <col min="14351" max="14351" width="4.453125" style="2321" bestFit="1" customWidth="1"/>
    <col min="14352" max="14352" width="6.54296875" style="2321" customWidth="1"/>
    <col min="14353" max="14595" width="7.453125" style="2321"/>
    <col min="14596" max="14596" width="4.6328125" style="2321" customWidth="1"/>
    <col min="14597" max="14597" width="45.90625" style="2321" bestFit="1" customWidth="1"/>
    <col min="14598" max="14598" width="6.08984375" style="2321" customWidth="1"/>
    <col min="14599" max="14599" width="10.1796875" style="2321" customWidth="1"/>
    <col min="14600" max="14600" width="9.81640625" style="2321" customWidth="1"/>
    <col min="14601" max="14601" width="8.90625" style="2321" customWidth="1"/>
    <col min="14602" max="14602" width="9.1796875" style="2321" customWidth="1"/>
    <col min="14603" max="14603" width="12.6328125" style="2321" customWidth="1"/>
    <col min="14604" max="14605" width="7.453125" style="2321"/>
    <col min="14606" max="14606" width="28.90625" style="2321" bestFit="1" customWidth="1"/>
    <col min="14607" max="14607" width="4.453125" style="2321" bestFit="1" customWidth="1"/>
    <col min="14608" max="14608" width="6.54296875" style="2321" customWidth="1"/>
    <col min="14609" max="14851" width="7.453125" style="2321"/>
    <col min="14852" max="14852" width="4.6328125" style="2321" customWidth="1"/>
    <col min="14853" max="14853" width="45.90625" style="2321" bestFit="1" customWidth="1"/>
    <col min="14854" max="14854" width="6.08984375" style="2321" customWidth="1"/>
    <col min="14855" max="14855" width="10.1796875" style="2321" customWidth="1"/>
    <col min="14856" max="14856" width="9.81640625" style="2321" customWidth="1"/>
    <col min="14857" max="14857" width="8.90625" style="2321" customWidth="1"/>
    <col min="14858" max="14858" width="9.1796875" style="2321" customWidth="1"/>
    <col min="14859" max="14859" width="12.6328125" style="2321" customWidth="1"/>
    <col min="14860" max="14861" width="7.453125" style="2321"/>
    <col min="14862" max="14862" width="28.90625" style="2321" bestFit="1" customWidth="1"/>
    <col min="14863" max="14863" width="4.453125" style="2321" bestFit="1" customWidth="1"/>
    <col min="14864" max="14864" width="6.54296875" style="2321" customWidth="1"/>
    <col min="14865" max="15107" width="7.453125" style="2321"/>
    <col min="15108" max="15108" width="4.6328125" style="2321" customWidth="1"/>
    <col min="15109" max="15109" width="45.90625" style="2321" bestFit="1" customWidth="1"/>
    <col min="15110" max="15110" width="6.08984375" style="2321" customWidth="1"/>
    <col min="15111" max="15111" width="10.1796875" style="2321" customWidth="1"/>
    <col min="15112" max="15112" width="9.81640625" style="2321" customWidth="1"/>
    <col min="15113" max="15113" width="8.90625" style="2321" customWidth="1"/>
    <col min="15114" max="15114" width="9.1796875" style="2321" customWidth="1"/>
    <col min="15115" max="15115" width="12.6328125" style="2321" customWidth="1"/>
    <col min="15116" max="15117" width="7.453125" style="2321"/>
    <col min="15118" max="15118" width="28.90625" style="2321" bestFit="1" customWidth="1"/>
    <col min="15119" max="15119" width="4.453125" style="2321" bestFit="1" customWidth="1"/>
    <col min="15120" max="15120" width="6.54296875" style="2321" customWidth="1"/>
    <col min="15121" max="15363" width="7.453125" style="2321"/>
    <col min="15364" max="15364" width="4.6328125" style="2321" customWidth="1"/>
    <col min="15365" max="15365" width="45.90625" style="2321" bestFit="1" customWidth="1"/>
    <col min="15366" max="15366" width="6.08984375" style="2321" customWidth="1"/>
    <col min="15367" max="15367" width="10.1796875" style="2321" customWidth="1"/>
    <col min="15368" max="15368" width="9.81640625" style="2321" customWidth="1"/>
    <col min="15369" max="15369" width="8.90625" style="2321" customWidth="1"/>
    <col min="15370" max="15370" width="9.1796875" style="2321" customWidth="1"/>
    <col min="15371" max="15371" width="12.6328125" style="2321" customWidth="1"/>
    <col min="15372" max="15373" width="7.453125" style="2321"/>
    <col min="15374" max="15374" width="28.90625" style="2321" bestFit="1" customWidth="1"/>
    <col min="15375" max="15375" width="4.453125" style="2321" bestFit="1" customWidth="1"/>
    <col min="15376" max="15376" width="6.54296875" style="2321" customWidth="1"/>
    <col min="15377" max="15619" width="7.453125" style="2321"/>
    <col min="15620" max="15620" width="4.6328125" style="2321" customWidth="1"/>
    <col min="15621" max="15621" width="45.90625" style="2321" bestFit="1" customWidth="1"/>
    <col min="15622" max="15622" width="6.08984375" style="2321" customWidth="1"/>
    <col min="15623" max="15623" width="10.1796875" style="2321" customWidth="1"/>
    <col min="15624" max="15624" width="9.81640625" style="2321" customWidth="1"/>
    <col min="15625" max="15625" width="8.90625" style="2321" customWidth="1"/>
    <col min="15626" max="15626" width="9.1796875" style="2321" customWidth="1"/>
    <col min="15627" max="15627" width="12.6328125" style="2321" customWidth="1"/>
    <col min="15628" max="15629" width="7.453125" style="2321"/>
    <col min="15630" max="15630" width="28.90625" style="2321" bestFit="1" customWidth="1"/>
    <col min="15631" max="15631" width="4.453125" style="2321" bestFit="1" customWidth="1"/>
    <col min="15632" max="15632" width="6.54296875" style="2321" customWidth="1"/>
    <col min="15633" max="15875" width="7.453125" style="2321"/>
    <col min="15876" max="15876" width="4.6328125" style="2321" customWidth="1"/>
    <col min="15877" max="15877" width="45.90625" style="2321" bestFit="1" customWidth="1"/>
    <col min="15878" max="15878" width="6.08984375" style="2321" customWidth="1"/>
    <col min="15879" max="15879" width="10.1796875" style="2321" customWidth="1"/>
    <col min="15880" max="15880" width="9.81640625" style="2321" customWidth="1"/>
    <col min="15881" max="15881" width="8.90625" style="2321" customWidth="1"/>
    <col min="15882" max="15882" width="9.1796875" style="2321" customWidth="1"/>
    <col min="15883" max="15883" width="12.6328125" style="2321" customWidth="1"/>
    <col min="15884" max="15885" width="7.453125" style="2321"/>
    <col min="15886" max="15886" width="28.90625" style="2321" bestFit="1" customWidth="1"/>
    <col min="15887" max="15887" width="4.453125" style="2321" bestFit="1" customWidth="1"/>
    <col min="15888" max="15888" width="6.54296875" style="2321" customWidth="1"/>
    <col min="15889" max="16131" width="7.453125" style="2321"/>
    <col min="16132" max="16132" width="4.6328125" style="2321" customWidth="1"/>
    <col min="16133" max="16133" width="45.90625" style="2321" bestFit="1" customWidth="1"/>
    <col min="16134" max="16134" width="6.08984375" style="2321" customWidth="1"/>
    <col min="16135" max="16135" width="10.1796875" style="2321" customWidth="1"/>
    <col min="16136" max="16136" width="9.81640625" style="2321" customWidth="1"/>
    <col min="16137" max="16137" width="8.90625" style="2321" customWidth="1"/>
    <col min="16138" max="16138" width="9.1796875" style="2321" customWidth="1"/>
    <col min="16139" max="16139" width="12.6328125" style="2321" customWidth="1"/>
    <col min="16140" max="16141" width="7.453125" style="2321"/>
    <col min="16142" max="16142" width="28.90625" style="2321" bestFit="1" customWidth="1"/>
    <col min="16143" max="16143" width="4.453125" style="2321" bestFit="1" customWidth="1"/>
    <col min="16144" max="16144" width="6.54296875" style="2321" customWidth="1"/>
    <col min="16145" max="16384" width="7.453125" style="2321"/>
  </cols>
  <sheetData>
    <row r="1" spans="1:259" ht="17.399999999999999" hidden="1" outlineLevel="1">
      <c r="D1" s="2773" t="s">
        <v>4913</v>
      </c>
      <c r="E1" s="2773"/>
      <c r="F1" s="2773"/>
      <c r="G1" s="2773"/>
      <c r="H1" s="2773"/>
      <c r="I1" s="2773"/>
      <c r="J1" s="2773"/>
      <c r="K1" s="2773"/>
    </row>
    <row r="2" spans="1:259" s="2322" customFormat="1" ht="17.25" hidden="1" customHeight="1" outlineLevel="1">
      <c r="D2" s="2765" t="s">
        <v>4914</v>
      </c>
      <c r="E2" s="2765"/>
      <c r="F2" s="2765"/>
      <c r="G2" s="2765"/>
      <c r="H2" s="2765"/>
      <c r="I2" s="2765"/>
      <c r="J2" s="2765"/>
      <c r="K2" s="2765"/>
      <c r="L2" s="2765" t="s">
        <v>4914</v>
      </c>
      <c r="M2" s="2765"/>
      <c r="N2" s="2765"/>
      <c r="O2" s="2765"/>
      <c r="P2" s="2765"/>
      <c r="Q2" s="2765"/>
      <c r="R2" s="2765"/>
      <c r="S2" s="2765"/>
      <c r="T2" s="2765" t="s">
        <v>4914</v>
      </c>
      <c r="U2" s="2765"/>
      <c r="V2" s="2765"/>
      <c r="W2" s="2765"/>
      <c r="X2" s="2765"/>
      <c r="Y2" s="2765"/>
      <c r="Z2" s="2765"/>
      <c r="AA2" s="2765"/>
      <c r="AB2" s="2765" t="s">
        <v>4914</v>
      </c>
      <c r="AC2" s="2765"/>
      <c r="AD2" s="2765"/>
      <c r="AE2" s="2765"/>
      <c r="AF2" s="2765"/>
      <c r="AG2" s="2765"/>
      <c r="AH2" s="2765"/>
      <c r="AI2" s="2765"/>
      <c r="AJ2" s="2765" t="s">
        <v>4914</v>
      </c>
      <c r="AK2" s="2765"/>
      <c r="AL2" s="2765"/>
      <c r="AM2" s="2765"/>
      <c r="AN2" s="2765"/>
      <c r="AO2" s="2765"/>
      <c r="AP2" s="2765"/>
      <c r="AQ2" s="2765"/>
      <c r="AR2" s="2765" t="s">
        <v>4914</v>
      </c>
      <c r="AS2" s="2765"/>
      <c r="AT2" s="2765"/>
      <c r="AU2" s="2765"/>
      <c r="AV2" s="2765"/>
      <c r="AW2" s="2765"/>
      <c r="AX2" s="2765"/>
      <c r="AY2" s="2765"/>
      <c r="AZ2" s="2765" t="s">
        <v>4914</v>
      </c>
      <c r="BA2" s="2765"/>
      <c r="BB2" s="2765"/>
      <c r="BC2" s="2765"/>
      <c r="BD2" s="2765"/>
      <c r="BE2" s="2765"/>
      <c r="BF2" s="2765"/>
      <c r="BG2" s="2765"/>
      <c r="BH2" s="2765" t="s">
        <v>4914</v>
      </c>
      <c r="BI2" s="2765"/>
      <c r="BJ2" s="2765"/>
      <c r="BK2" s="2765"/>
      <c r="BL2" s="2765"/>
      <c r="BM2" s="2765"/>
      <c r="BN2" s="2765"/>
      <c r="BO2" s="2765"/>
      <c r="BP2" s="2765" t="s">
        <v>4914</v>
      </c>
      <c r="BQ2" s="2765"/>
      <c r="BR2" s="2765"/>
      <c r="BS2" s="2765"/>
      <c r="BT2" s="2765"/>
      <c r="BU2" s="2765"/>
      <c r="BV2" s="2765"/>
      <c r="BW2" s="2765"/>
      <c r="BX2" s="2765" t="s">
        <v>4914</v>
      </c>
      <c r="BY2" s="2765"/>
      <c r="BZ2" s="2765"/>
      <c r="CA2" s="2765"/>
      <c r="CB2" s="2765"/>
      <c r="CC2" s="2765"/>
      <c r="CD2" s="2765"/>
      <c r="CE2" s="2765"/>
      <c r="CF2" s="2765" t="s">
        <v>4914</v>
      </c>
      <c r="CG2" s="2765"/>
      <c r="CH2" s="2765"/>
      <c r="CI2" s="2765"/>
      <c r="CJ2" s="2765"/>
      <c r="CK2" s="2765"/>
      <c r="CL2" s="2765"/>
      <c r="CM2" s="2765"/>
      <c r="CN2" s="2765" t="s">
        <v>4914</v>
      </c>
      <c r="CO2" s="2765"/>
      <c r="CP2" s="2765"/>
      <c r="CQ2" s="2765"/>
      <c r="CR2" s="2765"/>
      <c r="CS2" s="2765"/>
      <c r="CT2" s="2765"/>
      <c r="CU2" s="2765"/>
      <c r="CV2" s="2765" t="s">
        <v>4914</v>
      </c>
      <c r="CW2" s="2765"/>
      <c r="CX2" s="2765"/>
      <c r="CY2" s="2765"/>
      <c r="CZ2" s="2765"/>
      <c r="DA2" s="2765"/>
      <c r="DB2" s="2765"/>
      <c r="DC2" s="2765"/>
      <c r="DD2" s="2765" t="s">
        <v>4914</v>
      </c>
      <c r="DE2" s="2765"/>
      <c r="DF2" s="2765"/>
      <c r="DG2" s="2765"/>
      <c r="DH2" s="2765"/>
      <c r="DI2" s="2765"/>
      <c r="DJ2" s="2765"/>
      <c r="DK2" s="2765"/>
      <c r="DL2" s="2765" t="s">
        <v>4914</v>
      </c>
      <c r="DM2" s="2765"/>
      <c r="DN2" s="2765"/>
      <c r="DO2" s="2765"/>
      <c r="DP2" s="2765"/>
      <c r="DQ2" s="2765"/>
      <c r="DR2" s="2765"/>
      <c r="DS2" s="2765"/>
      <c r="DT2" s="2765" t="s">
        <v>4914</v>
      </c>
      <c r="DU2" s="2765"/>
      <c r="DV2" s="2765"/>
      <c r="DW2" s="2765"/>
      <c r="DX2" s="2765"/>
      <c r="DY2" s="2765"/>
      <c r="DZ2" s="2765"/>
      <c r="EA2" s="2765"/>
      <c r="EB2" s="2765" t="s">
        <v>4914</v>
      </c>
      <c r="EC2" s="2765"/>
      <c r="ED2" s="2765"/>
      <c r="EE2" s="2765"/>
      <c r="EF2" s="2765"/>
      <c r="EG2" s="2765"/>
      <c r="EH2" s="2765"/>
      <c r="EI2" s="2765"/>
      <c r="EJ2" s="2765" t="s">
        <v>4914</v>
      </c>
      <c r="EK2" s="2765"/>
      <c r="EL2" s="2765"/>
      <c r="EM2" s="2765"/>
      <c r="EN2" s="2765"/>
      <c r="EO2" s="2765"/>
      <c r="EP2" s="2765"/>
      <c r="EQ2" s="2765"/>
      <c r="ER2" s="2765" t="s">
        <v>4914</v>
      </c>
      <c r="ES2" s="2765"/>
      <c r="ET2" s="2765"/>
      <c r="EU2" s="2765"/>
      <c r="EV2" s="2765"/>
      <c r="EW2" s="2765"/>
      <c r="EX2" s="2765"/>
      <c r="EY2" s="2765"/>
      <c r="EZ2" s="2765" t="s">
        <v>4914</v>
      </c>
      <c r="FA2" s="2765"/>
      <c r="FB2" s="2765"/>
      <c r="FC2" s="2765"/>
      <c r="FD2" s="2765"/>
      <c r="FE2" s="2765"/>
      <c r="FF2" s="2765"/>
      <c r="FG2" s="2765"/>
      <c r="FH2" s="2765" t="s">
        <v>4914</v>
      </c>
      <c r="FI2" s="2765"/>
      <c r="FJ2" s="2765"/>
      <c r="FK2" s="2765"/>
      <c r="FL2" s="2765"/>
      <c r="FM2" s="2765"/>
      <c r="FN2" s="2765"/>
      <c r="FO2" s="2765"/>
      <c r="FP2" s="2765" t="s">
        <v>4914</v>
      </c>
      <c r="FQ2" s="2765"/>
      <c r="FR2" s="2765"/>
      <c r="FS2" s="2765"/>
      <c r="FT2" s="2765"/>
      <c r="FU2" s="2765"/>
      <c r="FV2" s="2765"/>
      <c r="FW2" s="2765"/>
      <c r="FX2" s="2765" t="s">
        <v>4914</v>
      </c>
      <c r="FY2" s="2765"/>
      <c r="FZ2" s="2765"/>
      <c r="GA2" s="2765"/>
      <c r="GB2" s="2765"/>
      <c r="GC2" s="2765"/>
      <c r="GD2" s="2765"/>
      <c r="GE2" s="2765"/>
      <c r="GF2" s="2765" t="s">
        <v>4914</v>
      </c>
      <c r="GG2" s="2765"/>
      <c r="GH2" s="2765"/>
      <c r="GI2" s="2765"/>
      <c r="GJ2" s="2765"/>
      <c r="GK2" s="2765"/>
      <c r="GL2" s="2765"/>
      <c r="GM2" s="2765"/>
      <c r="GN2" s="2765" t="s">
        <v>4914</v>
      </c>
      <c r="GO2" s="2765"/>
      <c r="GP2" s="2765"/>
      <c r="GQ2" s="2765"/>
      <c r="GR2" s="2765"/>
      <c r="GS2" s="2765"/>
      <c r="GT2" s="2765"/>
      <c r="GU2" s="2765"/>
      <c r="GV2" s="2765" t="s">
        <v>4914</v>
      </c>
      <c r="GW2" s="2765"/>
      <c r="GX2" s="2765"/>
      <c r="GY2" s="2765"/>
      <c r="GZ2" s="2765"/>
      <c r="HA2" s="2765"/>
      <c r="HB2" s="2765"/>
      <c r="HC2" s="2765"/>
      <c r="HD2" s="2765" t="s">
        <v>4914</v>
      </c>
      <c r="HE2" s="2765"/>
      <c r="HF2" s="2765"/>
      <c r="HG2" s="2765"/>
      <c r="HH2" s="2765"/>
      <c r="HI2" s="2765"/>
      <c r="HJ2" s="2765"/>
      <c r="HK2" s="2765"/>
      <c r="HL2" s="2765" t="s">
        <v>4914</v>
      </c>
      <c r="HM2" s="2765"/>
      <c r="HN2" s="2765"/>
      <c r="HO2" s="2765"/>
      <c r="HP2" s="2765"/>
      <c r="HQ2" s="2765"/>
      <c r="HR2" s="2765"/>
      <c r="HS2" s="2765"/>
      <c r="HT2" s="2765" t="s">
        <v>4914</v>
      </c>
      <c r="HU2" s="2765"/>
      <c r="HV2" s="2765"/>
      <c r="HW2" s="2765"/>
      <c r="HX2" s="2765"/>
      <c r="HY2" s="2765"/>
      <c r="HZ2" s="2765"/>
      <c r="IA2" s="2765"/>
      <c r="IB2" s="2765" t="s">
        <v>4914</v>
      </c>
      <c r="IC2" s="2765"/>
      <c r="ID2" s="2765"/>
      <c r="IE2" s="2765"/>
      <c r="IF2" s="2765"/>
      <c r="IG2" s="2765"/>
      <c r="IH2" s="2765"/>
      <c r="II2" s="2765"/>
      <c r="IJ2" s="2765" t="s">
        <v>4914</v>
      </c>
      <c r="IK2" s="2765"/>
      <c r="IL2" s="2765"/>
      <c r="IM2" s="2765"/>
      <c r="IN2" s="2765"/>
      <c r="IO2" s="2765"/>
      <c r="IP2" s="2765"/>
      <c r="IQ2" s="2765"/>
      <c r="IR2" s="2765" t="s">
        <v>4914</v>
      </c>
      <c r="IS2" s="2765"/>
      <c r="IT2" s="2765"/>
      <c r="IU2" s="2765"/>
      <c r="IV2" s="2765"/>
      <c r="IW2" s="2765"/>
      <c r="IX2" s="2765"/>
      <c r="IY2" s="2765"/>
    </row>
    <row r="3" spans="1:259" s="2322" customFormat="1" ht="17.25" hidden="1" customHeight="1" outlineLevel="1">
      <c r="D3" s="2765" t="s">
        <v>4915</v>
      </c>
      <c r="E3" s="2765"/>
      <c r="F3" s="2765"/>
      <c r="G3" s="2765"/>
      <c r="H3" s="2765"/>
      <c r="I3" s="2765"/>
      <c r="J3" s="2765"/>
      <c r="K3" s="2765"/>
      <c r="L3" s="2765" t="s">
        <v>4915</v>
      </c>
      <c r="M3" s="2765"/>
      <c r="N3" s="2765"/>
      <c r="O3" s="2765"/>
      <c r="P3" s="2765"/>
      <c r="Q3" s="2765"/>
      <c r="R3" s="2765"/>
      <c r="S3" s="2765"/>
      <c r="T3" s="2765" t="s">
        <v>4915</v>
      </c>
      <c r="U3" s="2765"/>
      <c r="V3" s="2765"/>
      <c r="W3" s="2765"/>
      <c r="X3" s="2765"/>
      <c r="Y3" s="2765"/>
      <c r="Z3" s="2765"/>
      <c r="AA3" s="2765"/>
      <c r="AB3" s="2765" t="s">
        <v>4915</v>
      </c>
      <c r="AC3" s="2765"/>
      <c r="AD3" s="2765"/>
      <c r="AE3" s="2765"/>
      <c r="AF3" s="2765"/>
      <c r="AG3" s="2765"/>
      <c r="AH3" s="2765"/>
      <c r="AI3" s="2765"/>
      <c r="AJ3" s="2765" t="s">
        <v>4915</v>
      </c>
      <c r="AK3" s="2765"/>
      <c r="AL3" s="2765"/>
      <c r="AM3" s="2765"/>
      <c r="AN3" s="2765"/>
      <c r="AO3" s="2765"/>
      <c r="AP3" s="2765"/>
      <c r="AQ3" s="2765"/>
      <c r="AR3" s="2765" t="s">
        <v>4915</v>
      </c>
      <c r="AS3" s="2765"/>
      <c r="AT3" s="2765"/>
      <c r="AU3" s="2765"/>
      <c r="AV3" s="2765"/>
      <c r="AW3" s="2765"/>
      <c r="AX3" s="2765"/>
      <c r="AY3" s="2765"/>
      <c r="AZ3" s="2765" t="s">
        <v>4915</v>
      </c>
      <c r="BA3" s="2765"/>
      <c r="BB3" s="2765"/>
      <c r="BC3" s="2765"/>
      <c r="BD3" s="2765"/>
      <c r="BE3" s="2765"/>
      <c r="BF3" s="2765"/>
      <c r="BG3" s="2765"/>
      <c r="BH3" s="2765" t="s">
        <v>4915</v>
      </c>
      <c r="BI3" s="2765"/>
      <c r="BJ3" s="2765"/>
      <c r="BK3" s="2765"/>
      <c r="BL3" s="2765"/>
      <c r="BM3" s="2765"/>
      <c r="BN3" s="2765"/>
      <c r="BO3" s="2765"/>
      <c r="BP3" s="2765" t="s">
        <v>4915</v>
      </c>
      <c r="BQ3" s="2765"/>
      <c r="BR3" s="2765"/>
      <c r="BS3" s="2765"/>
      <c r="BT3" s="2765"/>
      <c r="BU3" s="2765"/>
      <c r="BV3" s="2765"/>
      <c r="BW3" s="2765"/>
      <c r="BX3" s="2765" t="s">
        <v>4915</v>
      </c>
      <c r="BY3" s="2765"/>
      <c r="BZ3" s="2765"/>
      <c r="CA3" s="2765"/>
      <c r="CB3" s="2765"/>
      <c r="CC3" s="2765"/>
      <c r="CD3" s="2765"/>
      <c r="CE3" s="2765"/>
      <c r="CF3" s="2765" t="s">
        <v>4915</v>
      </c>
      <c r="CG3" s="2765"/>
      <c r="CH3" s="2765"/>
      <c r="CI3" s="2765"/>
      <c r="CJ3" s="2765"/>
      <c r="CK3" s="2765"/>
      <c r="CL3" s="2765"/>
      <c r="CM3" s="2765"/>
      <c r="CN3" s="2765" t="s">
        <v>4915</v>
      </c>
      <c r="CO3" s="2765"/>
      <c r="CP3" s="2765"/>
      <c r="CQ3" s="2765"/>
      <c r="CR3" s="2765"/>
      <c r="CS3" s="2765"/>
      <c r="CT3" s="2765"/>
      <c r="CU3" s="2765"/>
      <c r="CV3" s="2765" t="s">
        <v>4915</v>
      </c>
      <c r="CW3" s="2765"/>
      <c r="CX3" s="2765"/>
      <c r="CY3" s="2765"/>
      <c r="CZ3" s="2765"/>
      <c r="DA3" s="2765"/>
      <c r="DB3" s="2765"/>
      <c r="DC3" s="2765"/>
      <c r="DD3" s="2765" t="s">
        <v>4915</v>
      </c>
      <c r="DE3" s="2765"/>
      <c r="DF3" s="2765"/>
      <c r="DG3" s="2765"/>
      <c r="DH3" s="2765"/>
      <c r="DI3" s="2765"/>
      <c r="DJ3" s="2765"/>
      <c r="DK3" s="2765"/>
      <c r="DL3" s="2765" t="s">
        <v>4915</v>
      </c>
      <c r="DM3" s="2765"/>
      <c r="DN3" s="2765"/>
      <c r="DO3" s="2765"/>
      <c r="DP3" s="2765"/>
      <c r="DQ3" s="2765"/>
      <c r="DR3" s="2765"/>
      <c r="DS3" s="2765"/>
      <c r="DT3" s="2765" t="s">
        <v>4915</v>
      </c>
      <c r="DU3" s="2765"/>
      <c r="DV3" s="2765"/>
      <c r="DW3" s="2765"/>
      <c r="DX3" s="2765"/>
      <c r="DY3" s="2765"/>
      <c r="DZ3" s="2765"/>
      <c r="EA3" s="2765"/>
      <c r="EB3" s="2765" t="s">
        <v>4915</v>
      </c>
      <c r="EC3" s="2765"/>
      <c r="ED3" s="2765"/>
      <c r="EE3" s="2765"/>
      <c r="EF3" s="2765"/>
      <c r="EG3" s="2765"/>
      <c r="EH3" s="2765"/>
      <c r="EI3" s="2765"/>
      <c r="EJ3" s="2765" t="s">
        <v>4915</v>
      </c>
      <c r="EK3" s="2765"/>
      <c r="EL3" s="2765"/>
      <c r="EM3" s="2765"/>
      <c r="EN3" s="2765"/>
      <c r="EO3" s="2765"/>
      <c r="EP3" s="2765"/>
      <c r="EQ3" s="2765"/>
      <c r="ER3" s="2765" t="s">
        <v>4915</v>
      </c>
      <c r="ES3" s="2765"/>
      <c r="ET3" s="2765"/>
      <c r="EU3" s="2765"/>
      <c r="EV3" s="2765"/>
      <c r="EW3" s="2765"/>
      <c r="EX3" s="2765"/>
      <c r="EY3" s="2765"/>
      <c r="EZ3" s="2765" t="s">
        <v>4915</v>
      </c>
      <c r="FA3" s="2765"/>
      <c r="FB3" s="2765"/>
      <c r="FC3" s="2765"/>
      <c r="FD3" s="2765"/>
      <c r="FE3" s="2765"/>
      <c r="FF3" s="2765"/>
      <c r="FG3" s="2765"/>
      <c r="FH3" s="2765" t="s">
        <v>4915</v>
      </c>
      <c r="FI3" s="2765"/>
      <c r="FJ3" s="2765"/>
      <c r="FK3" s="2765"/>
      <c r="FL3" s="2765"/>
      <c r="FM3" s="2765"/>
      <c r="FN3" s="2765"/>
      <c r="FO3" s="2765"/>
      <c r="FP3" s="2765" t="s">
        <v>4915</v>
      </c>
      <c r="FQ3" s="2765"/>
      <c r="FR3" s="2765"/>
      <c r="FS3" s="2765"/>
      <c r="FT3" s="2765"/>
      <c r="FU3" s="2765"/>
      <c r="FV3" s="2765"/>
      <c r="FW3" s="2765"/>
      <c r="FX3" s="2765" t="s">
        <v>4915</v>
      </c>
      <c r="FY3" s="2765"/>
      <c r="FZ3" s="2765"/>
      <c r="GA3" s="2765"/>
      <c r="GB3" s="2765"/>
      <c r="GC3" s="2765"/>
      <c r="GD3" s="2765"/>
      <c r="GE3" s="2765"/>
      <c r="GF3" s="2765" t="s">
        <v>4915</v>
      </c>
      <c r="GG3" s="2765"/>
      <c r="GH3" s="2765"/>
      <c r="GI3" s="2765"/>
      <c r="GJ3" s="2765"/>
      <c r="GK3" s="2765"/>
      <c r="GL3" s="2765"/>
      <c r="GM3" s="2765"/>
      <c r="GN3" s="2765" t="s">
        <v>4915</v>
      </c>
      <c r="GO3" s="2765"/>
      <c r="GP3" s="2765"/>
      <c r="GQ3" s="2765"/>
      <c r="GR3" s="2765"/>
      <c r="GS3" s="2765"/>
      <c r="GT3" s="2765"/>
      <c r="GU3" s="2765"/>
      <c r="GV3" s="2765" t="s">
        <v>4915</v>
      </c>
      <c r="GW3" s="2765"/>
      <c r="GX3" s="2765"/>
      <c r="GY3" s="2765"/>
      <c r="GZ3" s="2765"/>
      <c r="HA3" s="2765"/>
      <c r="HB3" s="2765"/>
      <c r="HC3" s="2765"/>
      <c r="HD3" s="2765" t="s">
        <v>4915</v>
      </c>
      <c r="HE3" s="2765"/>
      <c r="HF3" s="2765"/>
      <c r="HG3" s="2765"/>
      <c r="HH3" s="2765"/>
      <c r="HI3" s="2765"/>
      <c r="HJ3" s="2765"/>
      <c r="HK3" s="2765"/>
      <c r="HL3" s="2765" t="s">
        <v>4915</v>
      </c>
      <c r="HM3" s="2765"/>
      <c r="HN3" s="2765"/>
      <c r="HO3" s="2765"/>
      <c r="HP3" s="2765"/>
      <c r="HQ3" s="2765"/>
      <c r="HR3" s="2765"/>
      <c r="HS3" s="2765"/>
      <c r="HT3" s="2765" t="s">
        <v>4915</v>
      </c>
      <c r="HU3" s="2765"/>
      <c r="HV3" s="2765"/>
      <c r="HW3" s="2765"/>
      <c r="HX3" s="2765"/>
      <c r="HY3" s="2765"/>
      <c r="HZ3" s="2765"/>
      <c r="IA3" s="2765"/>
      <c r="IB3" s="2765" t="s">
        <v>4915</v>
      </c>
      <c r="IC3" s="2765"/>
      <c r="ID3" s="2765"/>
      <c r="IE3" s="2765"/>
      <c r="IF3" s="2765"/>
      <c r="IG3" s="2765"/>
      <c r="IH3" s="2765"/>
      <c r="II3" s="2765"/>
      <c r="IJ3" s="2765" t="s">
        <v>4915</v>
      </c>
      <c r="IK3" s="2765"/>
      <c r="IL3" s="2765"/>
      <c r="IM3" s="2765"/>
      <c r="IN3" s="2765"/>
      <c r="IO3" s="2765"/>
      <c r="IP3" s="2765"/>
      <c r="IQ3" s="2765"/>
      <c r="IR3" s="2765" t="s">
        <v>4915</v>
      </c>
      <c r="IS3" s="2765"/>
      <c r="IT3" s="2765"/>
      <c r="IU3" s="2765"/>
      <c r="IV3" s="2765"/>
      <c r="IW3" s="2765"/>
      <c r="IX3" s="2765"/>
      <c r="IY3" s="2765"/>
    </row>
    <row r="4" spans="1:259" s="2325" customFormat="1" ht="17.25" hidden="1" customHeight="1" outlineLevel="1">
      <c r="D4" s="2760" t="s">
        <v>4916</v>
      </c>
      <c r="E4" s="2760"/>
      <c r="F4" s="2760"/>
      <c r="G4" s="2760"/>
      <c r="H4" s="2760"/>
      <c r="I4" s="2760"/>
      <c r="J4" s="2760"/>
      <c r="K4" s="2760"/>
      <c r="L4" s="2323"/>
      <c r="M4" s="2323"/>
      <c r="N4" s="2324" t="s">
        <v>5114</v>
      </c>
      <c r="O4" s="2323"/>
      <c r="P4" s="2323"/>
      <c r="Q4" s="2323"/>
      <c r="R4" s="2323"/>
      <c r="S4" s="2323"/>
      <c r="T4" s="2323"/>
      <c r="U4" s="2323"/>
      <c r="V4" s="2323"/>
      <c r="W4" s="2323"/>
      <c r="X4" s="2323"/>
      <c r="Y4" s="2323"/>
      <c r="Z4" s="2323"/>
      <c r="AA4" s="2323"/>
      <c r="AB4" s="2323"/>
      <c r="AC4" s="2323"/>
      <c r="AD4" s="2323"/>
      <c r="AE4" s="2323"/>
    </row>
    <row r="5" spans="1:259" ht="17.25" customHeight="1" collapsed="1">
      <c r="D5" s="2766"/>
      <c r="E5" s="2766"/>
      <c r="F5" s="2766"/>
      <c r="G5" s="2766"/>
      <c r="H5" s="2766"/>
      <c r="I5" s="2766"/>
      <c r="J5" s="2766"/>
      <c r="K5" s="2766"/>
    </row>
    <row r="6" spans="1:259" ht="17.25" customHeight="1">
      <c r="D6" s="2767" t="s">
        <v>4227</v>
      </c>
      <c r="E6" s="2769" t="s">
        <v>4917</v>
      </c>
      <c r="F6" s="2769" t="s">
        <v>4918</v>
      </c>
      <c r="G6" s="2771" t="s">
        <v>4919</v>
      </c>
      <c r="H6" s="2772"/>
      <c r="I6" s="2771" t="s">
        <v>4920</v>
      </c>
      <c r="J6" s="2772"/>
      <c r="K6" s="2769" t="s">
        <v>4921</v>
      </c>
    </row>
    <row r="7" spans="1:259" ht="17.25" customHeight="1">
      <c r="D7" s="2768"/>
      <c r="E7" s="2770"/>
      <c r="F7" s="2770"/>
      <c r="G7" s="2326" t="s">
        <v>4922</v>
      </c>
      <c r="H7" s="2326" t="s">
        <v>4727</v>
      </c>
      <c r="I7" s="2326" t="s">
        <v>4923</v>
      </c>
      <c r="J7" s="2326" t="s">
        <v>4924</v>
      </c>
      <c r="K7" s="2770"/>
    </row>
    <row r="8" spans="1:259" ht="17.25" customHeight="1">
      <c r="D8" s="2446"/>
      <c r="E8" s="2447"/>
      <c r="F8" s="2447"/>
      <c r="G8" s="2448"/>
      <c r="H8" s="2448"/>
      <c r="I8" s="2448"/>
      <c r="J8" s="2448"/>
      <c r="K8" s="2447"/>
    </row>
    <row r="9" spans="1:259" ht="14.4">
      <c r="D9" s="2327" t="s">
        <v>501</v>
      </c>
      <c r="E9" s="2328" t="s">
        <v>4925</v>
      </c>
      <c r="F9" s="2327"/>
      <c r="G9" s="2329"/>
      <c r="H9" s="2330"/>
      <c r="I9" s="2330"/>
      <c r="J9" s="2330"/>
      <c r="K9" s="2331"/>
    </row>
    <row r="10" spans="1:259" s="2336" customFormat="1" ht="14.4">
      <c r="D10" s="2332"/>
      <c r="E10" s="2333" t="s">
        <v>4926</v>
      </c>
      <c r="F10" s="2334" t="s">
        <v>4927</v>
      </c>
      <c r="G10" s="2308">
        <v>1</v>
      </c>
      <c r="H10" s="2308">
        <v>1</v>
      </c>
      <c r="I10" s="2309"/>
      <c r="J10" s="2309"/>
      <c r="K10" s="2335"/>
      <c r="M10" s="2337" t="s">
        <v>5115</v>
      </c>
      <c r="N10" s="2338" t="s">
        <v>5116</v>
      </c>
      <c r="O10" s="2337"/>
      <c r="P10" s="2337"/>
    </row>
    <row r="11" spans="1:259" s="2340" customFormat="1">
      <c r="D11" s="2327" t="s">
        <v>941</v>
      </c>
      <c r="E11" s="2339" t="s">
        <v>4928</v>
      </c>
      <c r="F11" s="2328"/>
      <c r="G11" s="2310"/>
      <c r="H11" s="2310"/>
      <c r="I11" s="2311"/>
      <c r="J11" s="2311"/>
      <c r="K11" s="2335"/>
      <c r="M11" s="2337" t="s">
        <v>501</v>
      </c>
      <c r="N11" s="2338" t="s">
        <v>5117</v>
      </c>
      <c r="O11" s="2341"/>
      <c r="P11" s="2342"/>
    </row>
    <row r="12" spans="1:259" s="2340" customFormat="1">
      <c r="D12" s="2327"/>
      <c r="E12" s="2339" t="s">
        <v>2296</v>
      </c>
      <c r="F12" s="2327"/>
      <c r="G12" s="2312"/>
      <c r="H12" s="2312"/>
      <c r="I12" s="2309"/>
      <c r="J12" s="2309"/>
      <c r="K12" s="2335"/>
      <c r="M12" s="2343">
        <v>1</v>
      </c>
      <c r="N12" s="2341" t="s">
        <v>5118</v>
      </c>
      <c r="O12" s="2344" t="s">
        <v>5119</v>
      </c>
      <c r="P12" s="2345">
        <v>6</v>
      </c>
    </row>
    <row r="13" spans="1:259" s="2340" customFormat="1">
      <c r="A13" s="2340" t="s">
        <v>960</v>
      </c>
      <c r="C13" s="2340" t="str">
        <f>VLOOKUP(E13,DG!C:J,8,0)</f>
        <v>M8</v>
      </c>
      <c r="D13" s="2327">
        <v>1</v>
      </c>
      <c r="E13" s="2449" t="s">
        <v>2342</v>
      </c>
      <c r="F13" s="2327" t="s">
        <v>2336</v>
      </c>
      <c r="G13" s="2312"/>
      <c r="H13" s="2312"/>
      <c r="I13" s="2309"/>
      <c r="J13" s="2309"/>
      <c r="K13" s="2335"/>
      <c r="M13" s="2343">
        <v>2</v>
      </c>
      <c r="N13" s="2341" t="s">
        <v>5120</v>
      </c>
      <c r="O13" s="2344" t="s">
        <v>5119</v>
      </c>
      <c r="P13" s="2345">
        <v>36</v>
      </c>
    </row>
    <row r="14" spans="1:259" s="2336" customFormat="1">
      <c r="A14" s="2340" t="e">
        <v>#N/A</v>
      </c>
      <c r="B14" s="2340"/>
      <c r="C14" s="2340" t="e">
        <f>VLOOKUP(E14,DG!C:J,8,0)</f>
        <v>#N/A</v>
      </c>
      <c r="D14" s="2327"/>
      <c r="E14" s="2346" t="s">
        <v>4929</v>
      </c>
      <c r="F14" s="2347" t="s">
        <v>858</v>
      </c>
      <c r="G14" s="2348">
        <v>0.23</v>
      </c>
      <c r="H14" s="2348">
        <v>0.23</v>
      </c>
      <c r="I14" s="2309"/>
      <c r="J14" s="2309"/>
      <c r="K14" s="2335"/>
      <c r="M14" s="2343">
        <v>3</v>
      </c>
      <c r="N14" s="2341" t="s">
        <v>5121</v>
      </c>
      <c r="O14" s="2344" t="s">
        <v>5119</v>
      </c>
      <c r="P14" s="2345">
        <v>5</v>
      </c>
    </row>
    <row r="15" spans="1:259" s="2336" customFormat="1">
      <c r="A15" s="2340" t="e">
        <v>#N/A</v>
      </c>
      <c r="B15" s="2340"/>
      <c r="C15" s="2340" t="e">
        <f>VLOOKUP(E15,DG!C:J,8,0)</f>
        <v>#N/A</v>
      </c>
      <c r="D15" s="2327"/>
      <c r="E15" s="2346" t="s">
        <v>4930</v>
      </c>
      <c r="F15" s="2347" t="s">
        <v>858</v>
      </c>
      <c r="G15" s="2348">
        <v>0.24</v>
      </c>
      <c r="H15" s="2348">
        <v>0.24</v>
      </c>
      <c r="I15" s="2309"/>
      <c r="J15" s="2309"/>
      <c r="K15" s="2335"/>
      <c r="M15" s="2343">
        <v>4</v>
      </c>
      <c r="N15" s="2341" t="s">
        <v>5122</v>
      </c>
      <c r="O15" s="2344" t="s">
        <v>5123</v>
      </c>
      <c r="P15" s="2345">
        <v>2</v>
      </c>
    </row>
    <row r="16" spans="1:259" s="2336" customFormat="1">
      <c r="A16" s="2340" t="e">
        <v>#N/A</v>
      </c>
      <c r="B16" s="2340"/>
      <c r="C16" s="2340" t="s">
        <v>2323</v>
      </c>
      <c r="D16" s="2327">
        <v>2</v>
      </c>
      <c r="E16" s="2449" t="s">
        <v>4931</v>
      </c>
      <c r="F16" s="2327" t="s">
        <v>2336</v>
      </c>
      <c r="G16" s="2348">
        <v>2</v>
      </c>
      <c r="H16" s="2348">
        <v>2</v>
      </c>
      <c r="I16" s="2309"/>
      <c r="J16" s="2309"/>
      <c r="K16" s="2335"/>
      <c r="M16" s="2337" t="s">
        <v>941</v>
      </c>
      <c r="N16" s="2338" t="s">
        <v>5124</v>
      </c>
      <c r="O16" s="2341"/>
      <c r="P16" s="2342"/>
    </row>
    <row r="17" spans="1:16" s="2336" customFormat="1">
      <c r="A17" s="2340" t="s">
        <v>753</v>
      </c>
      <c r="B17" s="2340"/>
      <c r="D17" s="2327"/>
      <c r="E17" s="2346" t="s">
        <v>4932</v>
      </c>
      <c r="F17" s="2347" t="s">
        <v>2256</v>
      </c>
      <c r="G17" s="2348">
        <v>162</v>
      </c>
      <c r="H17" s="2348">
        <v>162</v>
      </c>
      <c r="I17" s="2309"/>
      <c r="J17" s="2309"/>
      <c r="K17" s="2335"/>
      <c r="M17" s="2337" t="s">
        <v>1620</v>
      </c>
      <c r="N17" s="2338" t="s">
        <v>5125</v>
      </c>
      <c r="O17" s="2341"/>
      <c r="P17" s="2342"/>
    </row>
    <row r="18" spans="1:16" s="2336" customFormat="1">
      <c r="A18" s="2340" t="s">
        <v>4447</v>
      </c>
      <c r="B18" s="2340"/>
      <c r="D18" s="2327"/>
      <c r="E18" s="2346" t="s">
        <v>3025</v>
      </c>
      <c r="F18" s="2347" t="s">
        <v>858</v>
      </c>
      <c r="G18" s="2348">
        <v>0.26</v>
      </c>
      <c r="H18" s="2348">
        <v>0.26</v>
      </c>
      <c r="I18" s="2309"/>
      <c r="J18" s="2309"/>
      <c r="K18" s="2335"/>
      <c r="M18" s="2343">
        <v>1</v>
      </c>
      <c r="N18" s="2341" t="s">
        <v>5126</v>
      </c>
      <c r="O18" s="2344" t="s">
        <v>5123</v>
      </c>
      <c r="P18" s="2345">
        <v>37</v>
      </c>
    </row>
    <row r="19" spans="1:16" s="2336" customFormat="1">
      <c r="A19" s="2340" t="s">
        <v>755</v>
      </c>
      <c r="B19" s="2340"/>
      <c r="D19" s="2327"/>
      <c r="E19" s="2346" t="s">
        <v>3021</v>
      </c>
      <c r="F19" s="2347" t="s">
        <v>858</v>
      </c>
      <c r="G19" s="2348">
        <v>0.48299999999999998</v>
      </c>
      <c r="H19" s="2348">
        <v>0.48299999999999998</v>
      </c>
      <c r="I19" s="2309"/>
      <c r="J19" s="2309"/>
      <c r="K19" s="2335"/>
      <c r="M19" s="2343">
        <v>2</v>
      </c>
      <c r="N19" s="2341" t="s">
        <v>5127</v>
      </c>
      <c r="O19" s="2344" t="s">
        <v>5123</v>
      </c>
      <c r="P19" s="2345">
        <v>6</v>
      </c>
    </row>
    <row r="20" spans="1:16" s="2336" customFormat="1">
      <c r="A20" s="2340" t="e">
        <v>#N/A</v>
      </c>
      <c r="B20" s="2340"/>
      <c r="D20" s="2327"/>
      <c r="E20" s="2346" t="s">
        <v>4929</v>
      </c>
      <c r="F20" s="2347" t="s">
        <v>858</v>
      </c>
      <c r="G20" s="2348">
        <v>0.69</v>
      </c>
      <c r="H20" s="2348">
        <v>0.69</v>
      </c>
      <c r="I20" s="2309"/>
      <c r="J20" s="2309"/>
      <c r="K20" s="2335"/>
      <c r="M20" s="2343">
        <v>3</v>
      </c>
      <c r="N20" s="2341" t="s">
        <v>5128</v>
      </c>
      <c r="O20" s="2344" t="s">
        <v>5123</v>
      </c>
      <c r="P20" s="2345">
        <v>37</v>
      </c>
    </row>
    <row r="21" spans="1:16" s="2340" customFormat="1">
      <c r="A21" s="2340" t="s">
        <v>1842</v>
      </c>
      <c r="D21" s="2327"/>
      <c r="E21" s="2346" t="s">
        <v>3221</v>
      </c>
      <c r="F21" s="2347" t="s">
        <v>858</v>
      </c>
      <c r="G21" s="2348">
        <v>0.55000000000000004</v>
      </c>
      <c r="H21" s="2348">
        <v>0.55000000000000004</v>
      </c>
      <c r="I21" s="2309"/>
      <c r="J21" s="2309"/>
      <c r="K21" s="2335"/>
      <c r="M21" s="2343">
        <v>4</v>
      </c>
      <c r="N21" s="2341" t="s">
        <v>5129</v>
      </c>
      <c r="O21" s="2344" t="s">
        <v>5123</v>
      </c>
      <c r="P21" s="2345">
        <v>6</v>
      </c>
    </row>
    <row r="22" spans="1:16" s="2340" customFormat="1">
      <c r="A22" s="2340" t="s">
        <v>219</v>
      </c>
      <c r="C22" s="2340" t="str">
        <f>VLOOKUP(E22,DG!C:J,8,0)</f>
        <v>M12</v>
      </c>
      <c r="D22" s="2327">
        <v>3</v>
      </c>
      <c r="E22" s="2449" t="s">
        <v>2360</v>
      </c>
      <c r="F22" s="2327" t="s">
        <v>2336</v>
      </c>
      <c r="G22" s="2348">
        <v>24</v>
      </c>
      <c r="H22" s="2348">
        <v>24</v>
      </c>
      <c r="I22" s="2309"/>
      <c r="J22" s="2309"/>
      <c r="K22" s="2335"/>
      <c r="M22" s="2337" t="s">
        <v>1914</v>
      </c>
      <c r="N22" s="2338" t="s">
        <v>5130</v>
      </c>
      <c r="O22" s="2344" t="s">
        <v>5131</v>
      </c>
      <c r="P22" s="2349">
        <v>1</v>
      </c>
    </row>
    <row r="23" spans="1:16" s="2336" customFormat="1">
      <c r="A23" s="2340" t="e">
        <v>#N/A</v>
      </c>
      <c r="B23" s="2340"/>
      <c r="D23" s="2327"/>
      <c r="E23" s="2346" t="s">
        <v>4929</v>
      </c>
      <c r="F23" s="2347" t="s">
        <v>858</v>
      </c>
      <c r="G23" s="2348">
        <v>8</v>
      </c>
      <c r="H23" s="2348">
        <v>8</v>
      </c>
      <c r="I23" s="2309"/>
      <c r="J23" s="2309"/>
      <c r="K23" s="2335"/>
      <c r="N23" s="2350"/>
    </row>
    <row r="24" spans="1:16" s="2336" customFormat="1">
      <c r="A24" s="2340" t="e">
        <v>#N/A</v>
      </c>
      <c r="B24" s="2340"/>
      <c r="D24" s="2327"/>
      <c r="E24" s="2346" t="s">
        <v>4930</v>
      </c>
      <c r="F24" s="2347" t="s">
        <v>858</v>
      </c>
      <c r="G24" s="2348">
        <v>0.18</v>
      </c>
      <c r="H24" s="2348">
        <v>0.18</v>
      </c>
      <c r="I24" s="2309"/>
      <c r="J24" s="2309"/>
      <c r="K24" s="2335"/>
      <c r="N24" s="2350"/>
    </row>
    <row r="25" spans="1:16" s="2340" customFormat="1">
      <c r="A25" s="2340" t="s">
        <v>2313</v>
      </c>
      <c r="C25" s="2340" t="str">
        <f>VLOOKUP(E25,DG!C:J,8,0)</f>
        <v>M12BT ĐƠN</v>
      </c>
      <c r="D25" s="2327">
        <v>4</v>
      </c>
      <c r="E25" s="2449" t="s">
        <v>2372</v>
      </c>
      <c r="F25" s="2327" t="s">
        <v>2336</v>
      </c>
      <c r="G25" s="2348">
        <v>1</v>
      </c>
      <c r="H25" s="2348">
        <v>1</v>
      </c>
      <c r="I25" s="2309"/>
      <c r="J25" s="2309"/>
      <c r="K25" s="2335"/>
      <c r="N25" s="2351"/>
    </row>
    <row r="26" spans="1:16" s="2336" customFormat="1">
      <c r="A26" s="2340" t="s">
        <v>753</v>
      </c>
      <c r="B26" s="2340"/>
      <c r="D26" s="2327"/>
      <c r="E26" s="2346" t="s">
        <v>4932</v>
      </c>
      <c r="F26" s="2347" t="s">
        <v>2256</v>
      </c>
      <c r="G26" s="2352">
        <v>180</v>
      </c>
      <c r="H26" s="2352">
        <v>180</v>
      </c>
      <c r="I26" s="2309"/>
      <c r="J26" s="2309"/>
      <c r="K26" s="2335"/>
      <c r="N26" s="2350"/>
    </row>
    <row r="27" spans="1:16" s="2336" customFormat="1">
      <c r="A27" s="2340" t="s">
        <v>4447</v>
      </c>
      <c r="B27" s="2340"/>
      <c r="D27" s="2327"/>
      <c r="E27" s="2346" t="s">
        <v>3025</v>
      </c>
      <c r="F27" s="2347" t="s">
        <v>858</v>
      </c>
      <c r="G27" s="2348">
        <v>0.33</v>
      </c>
      <c r="H27" s="2348">
        <v>0.33</v>
      </c>
      <c r="I27" s="2309"/>
      <c r="J27" s="2309"/>
      <c r="K27" s="2335"/>
      <c r="N27" s="2350"/>
    </row>
    <row r="28" spans="1:16" s="2336" customFormat="1">
      <c r="A28" s="2340" t="s">
        <v>755</v>
      </c>
      <c r="B28" s="2340"/>
      <c r="D28" s="2327"/>
      <c r="E28" s="2346" t="s">
        <v>3021</v>
      </c>
      <c r="F28" s="2347" t="s">
        <v>858</v>
      </c>
      <c r="G28" s="2348">
        <v>0.52</v>
      </c>
      <c r="H28" s="2348">
        <v>0.52</v>
      </c>
      <c r="I28" s="2309"/>
      <c r="J28" s="2309"/>
      <c r="K28" s="2335"/>
      <c r="N28" s="2350"/>
    </row>
    <row r="29" spans="1:16" s="2336" customFormat="1">
      <c r="A29" s="2340" t="e">
        <v>#N/A</v>
      </c>
      <c r="B29" s="2340"/>
      <c r="D29" s="2327"/>
      <c r="E29" s="2346" t="s">
        <v>4929</v>
      </c>
      <c r="F29" s="2347" t="s">
        <v>858</v>
      </c>
      <c r="G29" s="2348">
        <v>0.99</v>
      </c>
      <c r="H29" s="2348">
        <v>0.99</v>
      </c>
      <c r="I29" s="2309"/>
      <c r="J29" s="2309"/>
      <c r="K29" s="2335"/>
      <c r="N29" s="2350"/>
    </row>
    <row r="30" spans="1:16" s="2336" customFormat="1">
      <c r="A30" s="2340" t="e">
        <v>#N/A</v>
      </c>
      <c r="B30" s="2340"/>
      <c r="D30" s="2327"/>
      <c r="E30" s="2346" t="s">
        <v>4933</v>
      </c>
      <c r="F30" s="2347" t="s">
        <v>858</v>
      </c>
      <c r="G30" s="2348">
        <v>0.82</v>
      </c>
      <c r="H30" s="2348">
        <v>0.82</v>
      </c>
      <c r="I30" s="2309"/>
      <c r="J30" s="2309"/>
      <c r="K30" s="2335"/>
      <c r="N30" s="2350"/>
    </row>
    <row r="31" spans="1:16" s="2336" customFormat="1">
      <c r="A31" s="2340" t="s">
        <v>2314</v>
      </c>
      <c r="B31" s="2340"/>
      <c r="C31" s="2340" t="str">
        <f>VLOOKUP(E31,DG!C:J,8,0)</f>
        <v>M12BT ĐÔI</v>
      </c>
      <c r="D31" s="2327">
        <v>5</v>
      </c>
      <c r="E31" s="2449" t="s">
        <v>2373</v>
      </c>
      <c r="F31" s="2327" t="s">
        <v>2336</v>
      </c>
      <c r="G31" s="2348">
        <v>7</v>
      </c>
      <c r="H31" s="2348">
        <v>7</v>
      </c>
      <c r="I31" s="2309"/>
      <c r="J31" s="2309"/>
      <c r="K31" s="2335"/>
      <c r="N31" s="2350"/>
    </row>
    <row r="32" spans="1:16" s="2336" customFormat="1">
      <c r="A32" s="2340" t="s">
        <v>753</v>
      </c>
      <c r="B32" s="2340"/>
      <c r="D32" s="2327"/>
      <c r="E32" s="2346" t="s">
        <v>4932</v>
      </c>
      <c r="F32" s="2347" t="s">
        <v>2256</v>
      </c>
      <c r="G32" s="2313">
        <v>1701</v>
      </c>
      <c r="H32" s="2313">
        <v>1701</v>
      </c>
      <c r="I32" s="2309"/>
      <c r="J32" s="2309"/>
      <c r="K32" s="2335"/>
      <c r="N32" s="2350"/>
    </row>
    <row r="33" spans="1:14" s="2336" customFormat="1">
      <c r="A33" s="2340" t="s">
        <v>4447</v>
      </c>
      <c r="B33" s="2340"/>
      <c r="D33" s="2327"/>
      <c r="E33" s="2346" t="s">
        <v>3025</v>
      </c>
      <c r="F33" s="2347" t="s">
        <v>858</v>
      </c>
      <c r="G33" s="2314">
        <v>2.9750000000000001</v>
      </c>
      <c r="H33" s="2314">
        <v>2.9750000000000001</v>
      </c>
      <c r="I33" s="2309"/>
      <c r="J33" s="2309"/>
      <c r="K33" s="2335"/>
      <c r="N33" s="2350"/>
    </row>
    <row r="34" spans="1:14" s="2336" customFormat="1">
      <c r="A34" s="2340" t="s">
        <v>755</v>
      </c>
      <c r="B34" s="2340"/>
      <c r="D34" s="2327"/>
      <c r="E34" s="2346" t="s">
        <v>3021</v>
      </c>
      <c r="F34" s="2347" t="s">
        <v>858</v>
      </c>
      <c r="G34" s="2315">
        <v>5.39</v>
      </c>
      <c r="H34" s="2315">
        <v>5.39</v>
      </c>
      <c r="I34" s="2309"/>
      <c r="J34" s="2309"/>
      <c r="K34" s="2335"/>
      <c r="N34" s="2350"/>
    </row>
    <row r="35" spans="1:14" s="2336" customFormat="1">
      <c r="A35" s="2340" t="e">
        <v>#N/A</v>
      </c>
      <c r="B35" s="2340"/>
      <c r="D35" s="2353"/>
      <c r="E35" s="2354" t="s">
        <v>4929</v>
      </c>
      <c r="F35" s="2355" t="s">
        <v>858</v>
      </c>
      <c r="G35" s="2315">
        <v>11.58</v>
      </c>
      <c r="H35" s="2315">
        <v>11.58</v>
      </c>
      <c r="I35" s="2309"/>
      <c r="J35" s="2309"/>
      <c r="K35" s="2335"/>
      <c r="N35" s="2350"/>
    </row>
    <row r="36" spans="1:14" s="2336" customFormat="1">
      <c r="A36" s="2340" t="e">
        <v>#N/A</v>
      </c>
      <c r="B36" s="2340"/>
      <c r="D36" s="2353"/>
      <c r="E36" s="2354" t="s">
        <v>4933</v>
      </c>
      <c r="F36" s="2355" t="s">
        <v>858</v>
      </c>
      <c r="G36" s="2348">
        <v>6.8040000000000003</v>
      </c>
      <c r="H36" s="2348">
        <v>6.8040000000000003</v>
      </c>
      <c r="I36" s="2309"/>
      <c r="J36" s="2309"/>
      <c r="K36" s="2335"/>
      <c r="N36" s="2350"/>
    </row>
    <row r="37" spans="1:14" s="2336" customFormat="1">
      <c r="A37" s="2340" t="e">
        <v>#N/A</v>
      </c>
      <c r="B37" s="2340"/>
      <c r="C37" s="2340" t="s">
        <v>2150</v>
      </c>
      <c r="D37" s="2327">
        <v>6</v>
      </c>
      <c r="E37" s="2449" t="s">
        <v>4934</v>
      </c>
      <c r="F37" s="2327" t="s">
        <v>2394</v>
      </c>
      <c r="G37" s="2352">
        <v>1</v>
      </c>
      <c r="H37" s="2352">
        <v>1</v>
      </c>
      <c r="I37" s="2309"/>
      <c r="J37" s="2309"/>
      <c r="K37" s="2335"/>
      <c r="N37" s="2350"/>
    </row>
    <row r="38" spans="1:14" s="2336" customFormat="1">
      <c r="A38" s="2340" t="s">
        <v>1035</v>
      </c>
      <c r="B38" s="2340"/>
      <c r="D38" s="2327"/>
      <c r="E38" s="2346" t="s">
        <v>2711</v>
      </c>
      <c r="F38" s="2347" t="s">
        <v>2256</v>
      </c>
      <c r="G38" s="2348">
        <v>2.2400000000000002</v>
      </c>
      <c r="H38" s="2348">
        <v>2.2400000000000002</v>
      </c>
      <c r="I38" s="2309"/>
      <c r="J38" s="2309"/>
      <c r="K38" s="2335"/>
      <c r="N38" s="2350"/>
    </row>
    <row r="39" spans="1:14" s="2336" customFormat="1">
      <c r="A39" s="2340" t="s">
        <v>1513</v>
      </c>
      <c r="B39" s="2340"/>
      <c r="D39" s="2327"/>
      <c r="E39" s="2346" t="s">
        <v>4936</v>
      </c>
      <c r="F39" s="2347" t="s">
        <v>2448</v>
      </c>
      <c r="G39" s="2348">
        <v>1</v>
      </c>
      <c r="H39" s="2348">
        <v>1</v>
      </c>
      <c r="I39" s="2309"/>
      <c r="J39" s="2309"/>
      <c r="K39" s="2335"/>
      <c r="N39" s="2350"/>
    </row>
    <row r="40" spans="1:14" s="2336" customFormat="1">
      <c r="A40" s="2340" t="s">
        <v>1483</v>
      </c>
      <c r="B40" s="2340"/>
      <c r="D40" s="2327"/>
      <c r="E40" s="2346" t="s">
        <v>2899</v>
      </c>
      <c r="F40" s="2347" t="s">
        <v>2566</v>
      </c>
      <c r="G40" s="2348">
        <v>2</v>
      </c>
      <c r="H40" s="2348">
        <v>2</v>
      </c>
      <c r="I40" s="2309"/>
      <c r="J40" s="2309"/>
      <c r="K40" s="2335"/>
      <c r="N40" s="2350"/>
    </row>
    <row r="41" spans="1:14" s="2336" customFormat="1">
      <c r="A41" s="2340" t="s">
        <v>1522</v>
      </c>
      <c r="B41" s="2340"/>
      <c r="D41" s="2327"/>
      <c r="E41" s="2346" t="s">
        <v>3174</v>
      </c>
      <c r="F41" s="2347" t="s">
        <v>2256</v>
      </c>
      <c r="G41" s="2348">
        <v>2.2400000000000002</v>
      </c>
      <c r="H41" s="2348">
        <v>2.2400000000000002</v>
      </c>
      <c r="I41" s="2309"/>
      <c r="J41" s="2309"/>
      <c r="K41" s="2335"/>
      <c r="N41" s="2350"/>
    </row>
    <row r="42" spans="1:14" s="2336" customFormat="1">
      <c r="A42" s="2340" t="e">
        <v>#N/A</v>
      </c>
      <c r="B42" s="2340"/>
      <c r="D42" s="2327"/>
      <c r="E42" s="2346" t="s">
        <v>4937</v>
      </c>
      <c r="F42" s="2347" t="s">
        <v>2286</v>
      </c>
      <c r="G42" s="2348">
        <v>1</v>
      </c>
      <c r="H42" s="2348">
        <v>1</v>
      </c>
      <c r="I42" s="2309"/>
      <c r="J42" s="2309"/>
      <c r="K42" s="2335"/>
      <c r="N42" s="2350"/>
    </row>
    <row r="43" spans="1:14" s="2336" customFormat="1">
      <c r="A43" s="2340" t="s">
        <v>1642</v>
      </c>
      <c r="B43" s="2340"/>
      <c r="C43" s="2340" t="str">
        <f>VLOOKUP(E43,DG!C:J,8,0)</f>
        <v>TDTT12</v>
      </c>
      <c r="D43" s="2327">
        <v>7</v>
      </c>
      <c r="E43" s="2449" t="s">
        <v>2400</v>
      </c>
      <c r="F43" s="2327" t="s">
        <v>2394</v>
      </c>
      <c r="G43" s="2348">
        <v>11</v>
      </c>
      <c r="H43" s="2348">
        <v>11</v>
      </c>
      <c r="I43" s="2309"/>
      <c r="J43" s="2309"/>
      <c r="K43" s="2335"/>
      <c r="N43" s="2350"/>
    </row>
    <row r="44" spans="1:14" s="2336" customFormat="1">
      <c r="A44" s="2340" t="s">
        <v>1035</v>
      </c>
      <c r="B44" s="2340"/>
      <c r="D44" s="2327"/>
      <c r="E44" s="2346" t="s">
        <v>2711</v>
      </c>
      <c r="F44" s="2347" t="s">
        <v>2256</v>
      </c>
      <c r="G44" s="2348">
        <v>24.64</v>
      </c>
      <c r="H44" s="2348">
        <v>24.64</v>
      </c>
      <c r="I44" s="2309"/>
      <c r="J44" s="2309"/>
      <c r="K44" s="2335"/>
      <c r="N44" s="2350"/>
    </row>
    <row r="45" spans="1:14" s="2336" customFormat="1">
      <c r="A45" s="2340" t="s">
        <v>1513</v>
      </c>
      <c r="B45" s="2340"/>
      <c r="D45" s="2327"/>
      <c r="E45" s="2346" t="s">
        <v>4936</v>
      </c>
      <c r="F45" s="2347" t="s">
        <v>2448</v>
      </c>
      <c r="G45" s="2348">
        <v>11</v>
      </c>
      <c r="H45" s="2348">
        <v>11</v>
      </c>
      <c r="I45" s="2309"/>
      <c r="J45" s="2309"/>
      <c r="K45" s="2335"/>
      <c r="N45" s="2350"/>
    </row>
    <row r="46" spans="1:14" s="2336" customFormat="1">
      <c r="A46" s="2340" t="s">
        <v>1584</v>
      </c>
      <c r="B46" s="2340"/>
      <c r="D46" s="2327"/>
      <c r="E46" s="2346" t="s">
        <v>2892</v>
      </c>
      <c r="F46" s="2347" t="s">
        <v>2566</v>
      </c>
      <c r="G46" s="2348">
        <v>22</v>
      </c>
      <c r="H46" s="2348">
        <v>22</v>
      </c>
      <c r="I46" s="2309"/>
      <c r="J46" s="2309"/>
      <c r="K46" s="2335"/>
      <c r="N46" s="2350"/>
    </row>
    <row r="47" spans="1:14" s="2336" customFormat="1">
      <c r="A47" s="2340" t="s">
        <v>1522</v>
      </c>
      <c r="B47" s="2340"/>
      <c r="D47" s="2327"/>
      <c r="E47" s="2346" t="s">
        <v>3174</v>
      </c>
      <c r="F47" s="2347" t="s">
        <v>2256</v>
      </c>
      <c r="G47" s="2348">
        <v>2.2400000000000002</v>
      </c>
      <c r="H47" s="2348">
        <v>2.2400000000000002</v>
      </c>
      <c r="I47" s="2309"/>
      <c r="J47" s="2309"/>
      <c r="K47" s="2335"/>
      <c r="N47" s="2350"/>
    </row>
    <row r="48" spans="1:14" s="2336" customFormat="1">
      <c r="A48" s="2340" t="e">
        <v>#N/A</v>
      </c>
      <c r="B48" s="2340"/>
      <c r="D48" s="2327"/>
      <c r="E48" s="2346" t="s">
        <v>4937</v>
      </c>
      <c r="F48" s="2347" t="s">
        <v>2286</v>
      </c>
      <c r="G48" s="2352">
        <v>1</v>
      </c>
      <c r="H48" s="2352">
        <v>1</v>
      </c>
      <c r="I48" s="2309"/>
      <c r="J48" s="2309"/>
      <c r="K48" s="2335"/>
      <c r="N48" s="2350"/>
    </row>
    <row r="49" spans="1:14" s="2336" customFormat="1">
      <c r="A49" s="2340" t="e">
        <v>#N/A</v>
      </c>
      <c r="B49" s="2340"/>
      <c r="C49" s="2340" t="e">
        <f>VLOOKUP(E49,DG!C:J,8,0)</f>
        <v>#N/A</v>
      </c>
      <c r="D49" s="2327">
        <v>8</v>
      </c>
      <c r="E49" s="2449" t="s">
        <v>4938</v>
      </c>
      <c r="F49" s="2347" t="s">
        <v>2394</v>
      </c>
      <c r="G49" s="2348">
        <v>0</v>
      </c>
      <c r="H49" s="2348">
        <v>0</v>
      </c>
      <c r="I49" s="2309"/>
      <c r="J49" s="2309"/>
      <c r="K49" s="2335"/>
      <c r="N49" s="2350"/>
    </row>
    <row r="50" spans="1:14" s="2336" customFormat="1">
      <c r="A50" s="2340" t="s">
        <v>796</v>
      </c>
      <c r="B50" s="2340"/>
      <c r="D50" s="2327"/>
      <c r="E50" s="2346" t="s">
        <v>3090</v>
      </c>
      <c r="F50" s="2347" t="s">
        <v>858</v>
      </c>
      <c r="G50" s="2348">
        <v>0.33</v>
      </c>
      <c r="H50" s="2348">
        <v>0.33</v>
      </c>
      <c r="I50" s="2309"/>
      <c r="J50" s="2309"/>
      <c r="K50" s="2335"/>
      <c r="N50" s="2350"/>
    </row>
    <row r="51" spans="1:14" s="2336" customFormat="1">
      <c r="A51" s="2340" t="e">
        <v>#N/A</v>
      </c>
      <c r="B51" s="2340"/>
      <c r="D51" s="2327"/>
      <c r="E51" s="2346" t="s">
        <v>4939</v>
      </c>
      <c r="F51" s="2347" t="s">
        <v>858</v>
      </c>
      <c r="G51" s="2348">
        <v>0.3</v>
      </c>
      <c r="H51" s="2348">
        <v>0.3</v>
      </c>
      <c r="I51" s="2309"/>
      <c r="J51" s="2309"/>
      <c r="K51" s="2335"/>
      <c r="N51" s="2350"/>
    </row>
    <row r="52" spans="1:14" s="2336" customFormat="1">
      <c r="A52" s="2340" t="e">
        <v>#N/A</v>
      </c>
      <c r="B52" s="2340"/>
      <c r="C52" s="2340" t="e">
        <f>VLOOKUP(E52,DG!C:J,8,0)</f>
        <v>#N/A</v>
      </c>
      <c r="D52" s="2327" t="s">
        <v>1620</v>
      </c>
      <c r="E52" s="2449" t="s">
        <v>4940</v>
      </c>
      <c r="F52" s="2347"/>
      <c r="G52" s="2348"/>
      <c r="H52" s="2348"/>
      <c r="I52" s="2309"/>
      <c r="J52" s="2309"/>
      <c r="K52" s="2335"/>
      <c r="N52" s="2350"/>
    </row>
    <row r="53" spans="1:14" s="2336" customFormat="1">
      <c r="A53" s="2340" t="e">
        <v>#N/A</v>
      </c>
      <c r="B53" s="2340"/>
      <c r="C53" s="2340" t="s">
        <v>876</v>
      </c>
      <c r="D53" s="2327">
        <v>9</v>
      </c>
      <c r="E53" s="2449" t="s">
        <v>4941</v>
      </c>
      <c r="F53" s="2327" t="s">
        <v>2285</v>
      </c>
      <c r="G53" s="2348">
        <v>13</v>
      </c>
      <c r="H53" s="2348">
        <v>13</v>
      </c>
      <c r="I53" s="2309"/>
      <c r="J53" s="2309"/>
      <c r="K53" s="2335"/>
      <c r="N53" s="2350"/>
    </row>
    <row r="54" spans="1:14" s="2336" customFormat="1">
      <c r="A54" s="2340" t="s">
        <v>876</v>
      </c>
      <c r="B54" s="2340"/>
      <c r="D54" s="2327"/>
      <c r="E54" s="2346" t="s">
        <v>3007</v>
      </c>
      <c r="F54" s="2347" t="s">
        <v>2842</v>
      </c>
      <c r="G54" s="2348">
        <v>13</v>
      </c>
      <c r="H54" s="2348">
        <v>13</v>
      </c>
      <c r="I54" s="2309"/>
      <c r="J54" s="2309"/>
      <c r="K54" s="2335"/>
      <c r="N54" s="2350"/>
    </row>
    <row r="55" spans="1:14" s="2336" customFormat="1">
      <c r="A55" s="2340" t="s">
        <v>1820</v>
      </c>
      <c r="B55" s="2340"/>
      <c r="D55" s="2327"/>
      <c r="E55" s="2346" t="s">
        <v>2841</v>
      </c>
      <c r="F55" s="2347" t="s">
        <v>2842</v>
      </c>
      <c r="G55" s="2348">
        <v>13</v>
      </c>
      <c r="H55" s="2348">
        <v>13</v>
      </c>
      <c r="I55" s="2309"/>
      <c r="J55" s="2309"/>
      <c r="K55" s="2335"/>
      <c r="N55" s="2350"/>
    </row>
    <row r="56" spans="1:14" s="2336" customFormat="1">
      <c r="A56" s="2340" t="s">
        <v>1604</v>
      </c>
      <c r="B56" s="2340"/>
      <c r="D56" s="2327"/>
      <c r="E56" s="2356" t="s">
        <v>3184</v>
      </c>
      <c r="F56" s="2357" t="s">
        <v>2842</v>
      </c>
      <c r="G56" s="2348">
        <v>13</v>
      </c>
      <c r="H56" s="2348">
        <v>13</v>
      </c>
      <c r="I56" s="2309"/>
      <c r="J56" s="2309"/>
      <c r="K56" s="2335"/>
      <c r="N56" s="2350"/>
    </row>
    <row r="57" spans="1:14" s="2336" customFormat="1">
      <c r="A57" s="2340" t="e">
        <v>#N/A</v>
      </c>
      <c r="B57" s="2340"/>
      <c r="C57" s="2340" t="s">
        <v>5173</v>
      </c>
      <c r="D57" s="2327">
        <v>10</v>
      </c>
      <c r="E57" s="2449" t="s">
        <v>4942</v>
      </c>
      <c r="F57" s="2327" t="s">
        <v>2285</v>
      </c>
      <c r="G57" s="2348">
        <v>23</v>
      </c>
      <c r="H57" s="2348">
        <v>23</v>
      </c>
      <c r="I57" s="2309"/>
      <c r="J57" s="2309"/>
      <c r="K57" s="2335"/>
      <c r="N57" s="2350"/>
    </row>
    <row r="58" spans="1:14" s="2336" customFormat="1">
      <c r="A58" s="2340" t="s">
        <v>5173</v>
      </c>
      <c r="B58" s="2340"/>
      <c r="D58" s="2327"/>
      <c r="E58" s="2354" t="s">
        <v>4689</v>
      </c>
      <c r="F58" s="2355" t="s">
        <v>2842</v>
      </c>
      <c r="G58" s="2348">
        <v>23</v>
      </c>
      <c r="H58" s="2348">
        <v>23</v>
      </c>
      <c r="I58" s="2309"/>
      <c r="J58" s="2309"/>
      <c r="K58" s="2335"/>
      <c r="N58" s="2350"/>
    </row>
    <row r="59" spans="1:14" s="2336" customFormat="1">
      <c r="A59" s="2340" t="s">
        <v>1820</v>
      </c>
      <c r="B59" s="2340"/>
      <c r="D59" s="2327"/>
      <c r="E59" s="2354" t="s">
        <v>2841</v>
      </c>
      <c r="F59" s="2355" t="s">
        <v>2842</v>
      </c>
      <c r="G59" s="2348">
        <v>23</v>
      </c>
      <c r="H59" s="2348">
        <v>23</v>
      </c>
      <c r="I59" s="2309"/>
      <c r="J59" s="2309"/>
      <c r="K59" s="2335"/>
      <c r="N59" s="2350"/>
    </row>
    <row r="60" spans="1:14" s="2336" customFormat="1">
      <c r="A60" s="2340" t="s">
        <v>2177</v>
      </c>
      <c r="B60" s="2340"/>
      <c r="D60" s="2327"/>
      <c r="E60" s="2354" t="s">
        <v>3187</v>
      </c>
      <c r="F60" s="2355" t="s">
        <v>2842</v>
      </c>
      <c r="G60" s="2348">
        <v>23</v>
      </c>
      <c r="H60" s="2348">
        <v>23</v>
      </c>
      <c r="I60" s="2309"/>
      <c r="J60" s="2309"/>
      <c r="K60" s="2335"/>
      <c r="N60" s="2350"/>
    </row>
    <row r="61" spans="1:14" s="2336" customFormat="1">
      <c r="A61" s="2340" t="e">
        <v>#N/A</v>
      </c>
      <c r="B61" s="2340"/>
      <c r="C61" s="2340" t="e">
        <f>VLOOKUP(E61,DG!C:J,8,0)</f>
        <v>#N/A</v>
      </c>
      <c r="D61" s="2327" t="s">
        <v>1914</v>
      </c>
      <c r="E61" s="2449" t="s">
        <v>4943</v>
      </c>
      <c r="F61" s="2347"/>
      <c r="G61" s="2313"/>
      <c r="H61" s="2313"/>
      <c r="I61" s="2309"/>
      <c r="J61" s="2309"/>
      <c r="K61" s="2335"/>
      <c r="N61" s="2350"/>
    </row>
    <row r="62" spans="1:14" s="2336" customFormat="1">
      <c r="A62" s="2340" t="s">
        <v>2303</v>
      </c>
      <c r="B62" s="2340"/>
      <c r="C62" s="2340" t="str">
        <f>VLOOKUP(E62,DG!C:J,8,0)</f>
        <v>X-22K-Đ</v>
      </c>
      <c r="D62" s="2327">
        <v>11</v>
      </c>
      <c r="E62" s="2449" t="s">
        <v>4356</v>
      </c>
      <c r="F62" s="2358"/>
      <c r="G62" s="2313">
        <v>1</v>
      </c>
      <c r="H62" s="2313">
        <v>1</v>
      </c>
      <c r="I62" s="2309"/>
      <c r="J62" s="2309"/>
      <c r="K62" s="2335"/>
      <c r="N62" s="2350"/>
    </row>
    <row r="63" spans="1:14" s="2336" customFormat="1">
      <c r="A63" s="2340" t="s">
        <v>4871</v>
      </c>
      <c r="B63" s="2340"/>
      <c r="D63" s="2327"/>
      <c r="E63" s="2346" t="s">
        <v>4944</v>
      </c>
      <c r="F63" s="2347" t="s">
        <v>2566</v>
      </c>
      <c r="G63" s="2313">
        <v>2</v>
      </c>
      <c r="H63" s="2313">
        <v>2</v>
      </c>
      <c r="I63" s="2309"/>
      <c r="J63" s="2309"/>
      <c r="K63" s="2335"/>
      <c r="N63" s="2350"/>
    </row>
    <row r="64" spans="1:14" s="2336" customFormat="1">
      <c r="A64" s="2340" t="s">
        <v>5207</v>
      </c>
      <c r="B64" s="2340"/>
      <c r="D64" s="2327"/>
      <c r="E64" s="2346" t="s">
        <v>4945</v>
      </c>
      <c r="F64" s="2347" t="s">
        <v>2566</v>
      </c>
      <c r="G64" s="2313">
        <v>4</v>
      </c>
      <c r="H64" s="2313">
        <v>4</v>
      </c>
      <c r="I64" s="2309"/>
      <c r="J64" s="2309"/>
      <c r="K64" s="2335"/>
      <c r="N64" s="2350"/>
    </row>
    <row r="65" spans="1:14" s="2336" customFormat="1">
      <c r="A65" s="2340" t="s">
        <v>1615</v>
      </c>
      <c r="B65" s="2340"/>
      <c r="D65" s="2327"/>
      <c r="E65" s="2346" t="s">
        <v>2660</v>
      </c>
      <c r="F65" s="2347" t="s">
        <v>2448</v>
      </c>
      <c r="G65" s="2313">
        <v>2</v>
      </c>
      <c r="H65" s="2313">
        <v>2</v>
      </c>
      <c r="I65" s="2309"/>
      <c r="J65" s="2309"/>
      <c r="K65" s="2335"/>
      <c r="N65" s="2350"/>
    </row>
    <row r="66" spans="1:14" s="2336" customFormat="1">
      <c r="A66" s="2340" t="s">
        <v>1790</v>
      </c>
      <c r="B66" s="2340"/>
      <c r="D66" s="2327"/>
      <c r="E66" s="2346" t="s">
        <v>2671</v>
      </c>
      <c r="F66" s="2347" t="s">
        <v>2448</v>
      </c>
      <c r="G66" s="2313">
        <v>4</v>
      </c>
      <c r="H66" s="2313">
        <v>4</v>
      </c>
      <c r="I66" s="2309"/>
      <c r="J66" s="2309"/>
      <c r="K66" s="2335"/>
      <c r="N66" s="2350"/>
    </row>
    <row r="67" spans="1:14" s="2336" customFormat="1">
      <c r="A67" s="2340" t="s">
        <v>1791</v>
      </c>
      <c r="B67" s="2340"/>
      <c r="D67" s="2327"/>
      <c r="E67" s="2346" t="s">
        <v>2648</v>
      </c>
      <c r="F67" s="2347" t="s">
        <v>2448</v>
      </c>
      <c r="G67" s="2313">
        <v>4</v>
      </c>
      <c r="H67" s="2313">
        <v>4</v>
      </c>
      <c r="I67" s="2309"/>
      <c r="J67" s="2309"/>
      <c r="K67" s="2335"/>
      <c r="N67" s="2350"/>
    </row>
    <row r="68" spans="1:14" s="2336" customFormat="1">
      <c r="A68" s="2340" t="e">
        <v>#N/A</v>
      </c>
      <c r="B68" s="2340"/>
      <c r="D68" s="2359"/>
      <c r="E68" s="2346" t="s">
        <v>4946</v>
      </c>
      <c r="F68" s="2347" t="s">
        <v>2448</v>
      </c>
      <c r="G68" s="2313">
        <v>1</v>
      </c>
      <c r="H68" s="2313">
        <v>1</v>
      </c>
      <c r="I68" s="2309"/>
      <c r="J68" s="2309"/>
      <c r="K68" s="2335"/>
      <c r="N68" s="2350"/>
    </row>
    <row r="69" spans="1:14" s="2336" customFormat="1">
      <c r="A69" s="2340" t="e">
        <v>#N/A</v>
      </c>
      <c r="B69" s="2340"/>
      <c r="C69" s="2340" t="s">
        <v>533</v>
      </c>
      <c r="D69" s="2327">
        <v>12</v>
      </c>
      <c r="E69" s="2449" t="s">
        <v>4947</v>
      </c>
      <c r="F69" s="2327" t="s">
        <v>2394</v>
      </c>
      <c r="G69" s="2313">
        <v>1</v>
      </c>
      <c r="H69" s="2313">
        <v>1</v>
      </c>
      <c r="I69" s="2309"/>
      <c r="J69" s="2309"/>
      <c r="K69" s="2335"/>
      <c r="N69" s="2350"/>
    </row>
    <row r="70" spans="1:14" s="2336" customFormat="1">
      <c r="A70" s="2340" t="s">
        <v>4871</v>
      </c>
      <c r="B70" s="2340"/>
      <c r="D70" s="2327"/>
      <c r="E70" s="2346" t="s">
        <v>4944</v>
      </c>
      <c r="F70" s="2347" t="s">
        <v>2566</v>
      </c>
      <c r="G70" s="2313">
        <v>2</v>
      </c>
      <c r="H70" s="2313">
        <v>2</v>
      </c>
      <c r="I70" s="2309"/>
      <c r="J70" s="2309"/>
      <c r="K70" s="2335"/>
      <c r="N70" s="2350"/>
    </row>
    <row r="71" spans="1:14" s="2336" customFormat="1">
      <c r="A71" s="2340" t="s">
        <v>5207</v>
      </c>
      <c r="B71" s="2340"/>
      <c r="D71" s="2327"/>
      <c r="E71" s="2346" t="s">
        <v>4945</v>
      </c>
      <c r="F71" s="2347" t="s">
        <v>2566</v>
      </c>
      <c r="G71" s="2313">
        <v>4</v>
      </c>
      <c r="H71" s="2313">
        <v>4</v>
      </c>
      <c r="I71" s="2309"/>
      <c r="J71" s="2309"/>
      <c r="K71" s="2335"/>
      <c r="N71" s="2350"/>
    </row>
    <row r="72" spans="1:14" s="2336" customFormat="1">
      <c r="A72" s="2340" t="s">
        <v>1544</v>
      </c>
      <c r="B72" s="2340"/>
      <c r="D72" s="2327"/>
      <c r="E72" s="2346" t="s">
        <v>2665</v>
      </c>
      <c r="F72" s="2347" t="s">
        <v>2448</v>
      </c>
      <c r="G72" s="2313">
        <v>2</v>
      </c>
      <c r="H72" s="2313">
        <v>2</v>
      </c>
      <c r="I72" s="2309"/>
      <c r="J72" s="2309"/>
      <c r="K72" s="2335"/>
      <c r="N72" s="2350"/>
    </row>
    <row r="73" spans="1:14" s="2336" customFormat="1">
      <c r="A73" s="2340" t="s">
        <v>1386</v>
      </c>
      <c r="B73" s="2340"/>
      <c r="D73" s="2327"/>
      <c r="E73" s="2346" t="s">
        <v>2675</v>
      </c>
      <c r="F73" s="2347" t="s">
        <v>2448</v>
      </c>
      <c r="G73" s="2313">
        <v>4</v>
      </c>
      <c r="H73" s="2313">
        <v>4</v>
      </c>
      <c r="I73" s="2309"/>
      <c r="J73" s="2309"/>
      <c r="K73" s="2335"/>
      <c r="N73" s="2350"/>
    </row>
    <row r="74" spans="1:14" s="2336" customFormat="1">
      <c r="A74" s="2340" t="s">
        <v>1791</v>
      </c>
      <c r="B74" s="2340"/>
      <c r="D74" s="2327"/>
      <c r="E74" s="2346" t="s">
        <v>2648</v>
      </c>
      <c r="F74" s="2347" t="s">
        <v>2448</v>
      </c>
      <c r="G74" s="2348">
        <v>4</v>
      </c>
      <c r="H74" s="2348">
        <v>4</v>
      </c>
      <c r="I74" s="2309"/>
      <c r="J74" s="2309"/>
      <c r="K74" s="2335"/>
      <c r="N74" s="2350"/>
    </row>
    <row r="75" spans="1:14" s="2336" customFormat="1">
      <c r="A75" s="2340" t="e">
        <v>#N/A</v>
      </c>
      <c r="B75" s="2340"/>
      <c r="D75" s="2359"/>
      <c r="E75" s="2346" t="s">
        <v>4946</v>
      </c>
      <c r="F75" s="2347" t="s">
        <v>2448</v>
      </c>
      <c r="G75" s="2313">
        <v>1</v>
      </c>
      <c r="H75" s="2313">
        <v>1</v>
      </c>
      <c r="I75" s="2309"/>
      <c r="J75" s="2309"/>
      <c r="K75" s="2335"/>
      <c r="N75" s="2350"/>
    </row>
    <row r="76" spans="1:14" s="2336" customFormat="1">
      <c r="A76" s="2340" t="s">
        <v>2300</v>
      </c>
      <c r="B76" s="2340"/>
      <c r="C76" s="2340" t="str">
        <f>VLOOKUP(E76,DG!C:J,8,0)</f>
        <v>X-21ĐL</v>
      </c>
      <c r="D76" s="2327">
        <v>13</v>
      </c>
      <c r="E76" s="2449" t="s">
        <v>2439</v>
      </c>
      <c r="F76" s="2327" t="s">
        <v>2394</v>
      </c>
      <c r="G76" s="2313">
        <v>28</v>
      </c>
      <c r="H76" s="2313">
        <v>28</v>
      </c>
      <c r="I76" s="2309"/>
      <c r="J76" s="2309"/>
      <c r="K76" s="2335"/>
      <c r="N76" s="2350"/>
    </row>
    <row r="77" spans="1:14" s="2336" customFormat="1">
      <c r="A77" s="2340" t="s">
        <v>4874</v>
      </c>
      <c r="B77" s="2340"/>
      <c r="D77" s="2327"/>
      <c r="E77" s="2346" t="s">
        <v>4948</v>
      </c>
      <c r="F77" s="2347" t="s">
        <v>2566</v>
      </c>
      <c r="G77" s="2313">
        <v>28</v>
      </c>
      <c r="H77" s="2313">
        <v>28</v>
      </c>
      <c r="I77" s="2309"/>
      <c r="J77" s="2309"/>
      <c r="K77" s="2335"/>
      <c r="N77" s="2350"/>
    </row>
    <row r="78" spans="1:14" s="2336" customFormat="1">
      <c r="A78" s="2340" t="s">
        <v>5208</v>
      </c>
      <c r="B78" s="2340"/>
      <c r="D78" s="2327"/>
      <c r="E78" s="2346" t="s">
        <v>4949</v>
      </c>
      <c r="F78" s="2347" t="s">
        <v>2566</v>
      </c>
      <c r="G78" s="2313">
        <v>28</v>
      </c>
      <c r="H78" s="2313">
        <v>28</v>
      </c>
      <c r="I78" s="2309"/>
      <c r="J78" s="2309"/>
      <c r="K78" s="2335"/>
      <c r="N78" s="2350"/>
    </row>
    <row r="79" spans="1:14" s="2336" customFormat="1">
      <c r="A79" s="2340" t="s">
        <v>2114</v>
      </c>
      <c r="B79" s="2340"/>
      <c r="D79" s="2353"/>
      <c r="E79" s="2356" t="s">
        <v>4950</v>
      </c>
      <c r="F79" s="2357" t="s">
        <v>2256</v>
      </c>
      <c r="G79" s="2316">
        <v>1</v>
      </c>
      <c r="H79" s="2316">
        <v>1</v>
      </c>
      <c r="I79" s="2309"/>
      <c r="J79" s="2309"/>
      <c r="K79" s="2335"/>
      <c r="N79" s="2350"/>
    </row>
    <row r="80" spans="1:14" s="2336" customFormat="1">
      <c r="A80" s="2340" t="s">
        <v>1615</v>
      </c>
      <c r="B80" s="2340"/>
      <c r="D80" s="2327"/>
      <c r="E80" s="2346" t="s">
        <v>2660</v>
      </c>
      <c r="F80" s="2347" t="s">
        <v>2448</v>
      </c>
      <c r="G80" s="2313">
        <v>56</v>
      </c>
      <c r="H80" s="2313">
        <v>56</v>
      </c>
      <c r="I80" s="2309"/>
      <c r="J80" s="2309"/>
      <c r="K80" s="2335"/>
      <c r="N80" s="2350"/>
    </row>
    <row r="81" spans="1:14" s="2336" customFormat="1">
      <c r="A81" s="2340" t="s">
        <v>1791</v>
      </c>
      <c r="B81" s="2340"/>
      <c r="D81" s="2327"/>
      <c r="E81" s="2346" t="s">
        <v>2648</v>
      </c>
      <c r="F81" s="2347" t="s">
        <v>2448</v>
      </c>
      <c r="G81" s="2313">
        <v>28</v>
      </c>
      <c r="H81" s="2313">
        <v>28</v>
      </c>
      <c r="I81" s="2309"/>
      <c r="J81" s="2309"/>
      <c r="K81" s="2335"/>
      <c r="N81" s="2350"/>
    </row>
    <row r="82" spans="1:14" s="2336" customFormat="1">
      <c r="A82" s="2340" t="e">
        <v>#N/A</v>
      </c>
      <c r="B82" s="2340"/>
      <c r="D82" s="2359"/>
      <c r="E82" s="2346" t="s">
        <v>4951</v>
      </c>
      <c r="F82" s="2347" t="s">
        <v>2448</v>
      </c>
      <c r="G82" s="2313">
        <v>1</v>
      </c>
      <c r="H82" s="2313">
        <v>1</v>
      </c>
      <c r="I82" s="2309"/>
      <c r="J82" s="2309"/>
      <c r="K82" s="2335"/>
      <c r="N82" s="2350"/>
    </row>
    <row r="83" spans="1:14" s="2336" customFormat="1">
      <c r="A83" s="2340" t="s">
        <v>895</v>
      </c>
      <c r="B83" s="2340"/>
      <c r="C83" s="2340" t="str">
        <f>VLOOKUP(E83,DG!C:J,8,0)</f>
        <v>X-21KL</v>
      </c>
      <c r="D83" s="2327">
        <v>14</v>
      </c>
      <c r="E83" s="2449" t="s">
        <v>2440</v>
      </c>
      <c r="F83" s="2327" t="s">
        <v>2394</v>
      </c>
      <c r="G83" s="2348">
        <v>1</v>
      </c>
      <c r="H83" s="2348">
        <v>1</v>
      </c>
      <c r="I83" s="2309"/>
      <c r="J83" s="2309"/>
      <c r="K83" s="2335"/>
      <c r="N83" s="2350"/>
    </row>
    <row r="84" spans="1:14" s="2336" customFormat="1">
      <c r="A84" s="2340" t="s">
        <v>4874</v>
      </c>
      <c r="B84" s="2340"/>
      <c r="D84" s="2327"/>
      <c r="E84" s="2346" t="s">
        <v>4948</v>
      </c>
      <c r="F84" s="2347" t="s">
        <v>2566</v>
      </c>
      <c r="G84" s="2348">
        <v>2</v>
      </c>
      <c r="H84" s="2348">
        <v>2</v>
      </c>
      <c r="I84" s="2309"/>
      <c r="J84" s="2309"/>
      <c r="K84" s="2335"/>
      <c r="N84" s="2350"/>
    </row>
    <row r="85" spans="1:14" s="2336" customFormat="1">
      <c r="A85" s="2340" t="s">
        <v>5208</v>
      </c>
      <c r="B85" s="2340"/>
      <c r="D85" s="2327"/>
      <c r="E85" s="2346" t="s">
        <v>4949</v>
      </c>
      <c r="F85" s="2347" t="s">
        <v>2566</v>
      </c>
      <c r="G85" s="2348">
        <v>2</v>
      </c>
      <c r="H85" s="2348">
        <v>2</v>
      </c>
      <c r="I85" s="2309"/>
      <c r="J85" s="2309"/>
      <c r="K85" s="2335"/>
      <c r="N85" s="2350"/>
    </row>
    <row r="86" spans="1:14" s="2336" customFormat="1">
      <c r="A86" s="2340" t="s">
        <v>1790</v>
      </c>
      <c r="B86" s="2340"/>
      <c r="D86" s="2327"/>
      <c r="E86" s="2346" t="s">
        <v>2671</v>
      </c>
      <c r="F86" s="2347" t="s">
        <v>2448</v>
      </c>
      <c r="G86" s="2348">
        <v>3</v>
      </c>
      <c r="H86" s="2348">
        <v>3</v>
      </c>
      <c r="I86" s="2309"/>
      <c r="J86" s="2309"/>
      <c r="K86" s="2335"/>
      <c r="N86" s="2350"/>
    </row>
    <row r="87" spans="1:14" s="2336" customFormat="1">
      <c r="A87" s="2340" t="s">
        <v>1615</v>
      </c>
      <c r="B87" s="2340"/>
      <c r="D87" s="2327"/>
      <c r="E87" s="2346" t="s">
        <v>2660</v>
      </c>
      <c r="F87" s="2347" t="s">
        <v>2448</v>
      </c>
      <c r="G87" s="2348">
        <v>2</v>
      </c>
      <c r="H87" s="2348">
        <v>2</v>
      </c>
      <c r="I87" s="2309"/>
      <c r="J87" s="2309"/>
      <c r="K87" s="2335"/>
      <c r="N87" s="2350"/>
    </row>
    <row r="88" spans="1:14" s="2336" customFormat="1">
      <c r="A88" s="2340" t="s">
        <v>1791</v>
      </c>
      <c r="B88" s="2340"/>
      <c r="D88" s="2327"/>
      <c r="E88" s="2346" t="s">
        <v>2648</v>
      </c>
      <c r="F88" s="2347" t="s">
        <v>2448</v>
      </c>
      <c r="G88" s="2348">
        <v>2</v>
      </c>
      <c r="H88" s="2348">
        <v>2</v>
      </c>
      <c r="I88" s="2309"/>
      <c r="J88" s="2309"/>
      <c r="K88" s="2335"/>
      <c r="N88" s="2350"/>
    </row>
    <row r="89" spans="1:14" s="2336" customFormat="1">
      <c r="A89" s="2340" t="e">
        <v>#N/A</v>
      </c>
      <c r="B89" s="2340"/>
      <c r="D89" s="2359"/>
      <c r="E89" s="2346" t="s">
        <v>4952</v>
      </c>
      <c r="F89" s="2347" t="s">
        <v>2448</v>
      </c>
      <c r="G89" s="2348">
        <v>1</v>
      </c>
      <c r="H89" s="2348">
        <v>1</v>
      </c>
      <c r="I89" s="2309"/>
      <c r="J89" s="2309"/>
      <c r="K89" s="2335"/>
      <c r="N89" s="2350"/>
    </row>
    <row r="90" spans="1:14" s="2336" customFormat="1">
      <c r="A90" s="2340" t="e">
        <v>#N/A</v>
      </c>
      <c r="B90" s="2340"/>
      <c r="C90" s="2340" t="s">
        <v>4752</v>
      </c>
      <c r="D90" s="2327">
        <v>15</v>
      </c>
      <c r="E90" s="2449" t="s">
        <v>4953</v>
      </c>
      <c r="F90" s="2327" t="s">
        <v>2394</v>
      </c>
      <c r="G90" s="2313">
        <v>1</v>
      </c>
      <c r="H90" s="2313">
        <v>1</v>
      </c>
      <c r="I90" s="2309"/>
      <c r="J90" s="2309"/>
      <c r="K90" s="2335"/>
      <c r="N90" s="2350"/>
    </row>
    <row r="91" spans="1:14" s="2336" customFormat="1">
      <c r="A91" s="2340" t="s">
        <v>4577</v>
      </c>
      <c r="B91" s="2340"/>
      <c r="D91" s="2327"/>
      <c r="E91" s="2346" t="s">
        <v>4954</v>
      </c>
      <c r="F91" s="2347" t="s">
        <v>2601</v>
      </c>
      <c r="G91" s="2317">
        <v>1</v>
      </c>
      <c r="H91" s="2317">
        <v>1</v>
      </c>
      <c r="I91" s="2309"/>
      <c r="J91" s="2309"/>
      <c r="K91" s="2335"/>
      <c r="N91" s="2350"/>
    </row>
    <row r="92" spans="1:14" s="2336" customFormat="1">
      <c r="A92" s="2340" t="s">
        <v>4777</v>
      </c>
      <c r="B92" s="2340"/>
      <c r="D92" s="2327"/>
      <c r="E92" s="2346" t="s">
        <v>4955</v>
      </c>
      <c r="F92" s="2347" t="s">
        <v>2601</v>
      </c>
      <c r="G92" s="2348">
        <v>1</v>
      </c>
      <c r="H92" s="2348">
        <v>1</v>
      </c>
      <c r="I92" s="2309"/>
      <c r="J92" s="2309"/>
      <c r="K92" s="2335"/>
      <c r="N92" s="2350"/>
    </row>
    <row r="93" spans="1:14" s="2336" customFormat="1">
      <c r="A93" s="2340" t="s">
        <v>1085</v>
      </c>
      <c r="B93" s="2340"/>
      <c r="D93" s="2327"/>
      <c r="E93" s="2346" t="s">
        <v>2663</v>
      </c>
      <c r="F93" s="2347" t="s">
        <v>2448</v>
      </c>
      <c r="G93" s="2348">
        <v>2</v>
      </c>
      <c r="H93" s="2348">
        <v>2</v>
      </c>
      <c r="I93" s="2309"/>
      <c r="J93" s="2309"/>
      <c r="K93" s="2335"/>
      <c r="N93" s="2350"/>
    </row>
    <row r="94" spans="1:14" s="2336" customFormat="1">
      <c r="A94" s="2340" t="s">
        <v>804</v>
      </c>
      <c r="B94" s="2340"/>
      <c r="D94" s="2327"/>
      <c r="E94" s="2346" t="s">
        <v>2651</v>
      </c>
      <c r="F94" s="2347" t="s">
        <v>2448</v>
      </c>
      <c r="G94" s="2348">
        <v>1</v>
      </c>
      <c r="H94" s="2348">
        <v>1</v>
      </c>
      <c r="I94" s="2309"/>
      <c r="J94" s="2309"/>
      <c r="K94" s="2335"/>
      <c r="N94" s="2350"/>
    </row>
    <row r="95" spans="1:14" s="2336" customFormat="1">
      <c r="A95" s="2340" t="e">
        <v>#N/A</v>
      </c>
      <c r="B95" s="2340"/>
      <c r="D95" s="2327"/>
      <c r="E95" s="2346" t="s">
        <v>4956</v>
      </c>
      <c r="F95" s="2347" t="s">
        <v>2448</v>
      </c>
      <c r="G95" s="2348">
        <v>1</v>
      </c>
      <c r="H95" s="2348">
        <v>1</v>
      </c>
      <c r="I95" s="2309"/>
      <c r="J95" s="2309"/>
      <c r="K95" s="2335"/>
      <c r="N95" s="2350"/>
    </row>
    <row r="96" spans="1:14" s="2336" customFormat="1">
      <c r="A96" s="2340" t="e">
        <v>#N/A</v>
      </c>
      <c r="B96" s="2340"/>
      <c r="C96" s="2340" t="e">
        <f>VLOOKUP(E96,DG!C:J,8,0)</f>
        <v>#N/A</v>
      </c>
      <c r="D96" s="2327" t="s">
        <v>1903</v>
      </c>
      <c r="E96" s="2449" t="s">
        <v>4957</v>
      </c>
      <c r="F96" s="2347"/>
      <c r="G96" s="2348"/>
      <c r="H96" s="2348"/>
      <c r="I96" s="2309"/>
      <c r="J96" s="2309"/>
      <c r="K96" s="2335"/>
      <c r="N96" s="2350"/>
    </row>
    <row r="97" spans="1:14" s="2336" customFormat="1">
      <c r="A97" s="2340" t="e">
        <v>#N/A</v>
      </c>
      <c r="B97" s="2340"/>
      <c r="C97" s="2340" t="e">
        <f>VLOOKUP(E97,DG!C:J,8,0)</f>
        <v>#N/A</v>
      </c>
      <c r="D97" s="2359">
        <v>16</v>
      </c>
      <c r="E97" s="2449" t="s">
        <v>4958</v>
      </c>
      <c r="F97" s="2327" t="s">
        <v>2309</v>
      </c>
      <c r="G97" s="2348">
        <v>1</v>
      </c>
      <c r="H97" s="2348">
        <v>1</v>
      </c>
      <c r="I97" s="2309"/>
      <c r="J97" s="2309"/>
      <c r="K97" s="2335"/>
      <c r="N97" s="2350"/>
    </row>
    <row r="98" spans="1:14" s="2336" customFormat="1">
      <c r="A98" s="2340" t="s">
        <v>360</v>
      </c>
      <c r="B98" s="2340"/>
      <c r="D98" s="2359"/>
      <c r="E98" s="2346" t="s">
        <v>4959</v>
      </c>
      <c r="F98" s="2347" t="s">
        <v>2541</v>
      </c>
      <c r="G98" s="2348">
        <v>3716</v>
      </c>
      <c r="H98" s="2348">
        <v>3716</v>
      </c>
      <c r="I98" s="2309"/>
      <c r="J98" s="2309"/>
      <c r="K98" s="2335"/>
      <c r="N98" s="2350"/>
    </row>
    <row r="99" spans="1:14" s="2336" customFormat="1">
      <c r="A99" s="2340" t="s">
        <v>699</v>
      </c>
      <c r="B99" s="2340"/>
      <c r="D99" s="2327"/>
      <c r="E99" s="2346" t="s">
        <v>4960</v>
      </c>
      <c r="F99" s="2347" t="s">
        <v>2541</v>
      </c>
      <c r="G99" s="2348">
        <v>12</v>
      </c>
      <c r="H99" s="2348">
        <v>12</v>
      </c>
      <c r="I99" s="2309"/>
      <c r="J99" s="2309"/>
      <c r="K99" s="2335"/>
      <c r="N99" s="2350"/>
    </row>
    <row r="100" spans="1:14" s="2336" customFormat="1">
      <c r="A100" s="2340" t="s">
        <v>3</v>
      </c>
      <c r="B100" s="2340"/>
      <c r="D100" s="2327"/>
      <c r="E100" s="2346" t="s">
        <v>3532</v>
      </c>
      <c r="F100" s="2347" t="s">
        <v>2541</v>
      </c>
      <c r="G100" s="2348">
        <v>490</v>
      </c>
      <c r="H100" s="2348">
        <v>490</v>
      </c>
      <c r="I100" s="2309"/>
      <c r="J100" s="2309"/>
      <c r="K100" s="2335"/>
      <c r="N100" s="2350"/>
    </row>
    <row r="101" spans="1:14" s="2336" customFormat="1">
      <c r="A101" s="2340" t="e">
        <v>#N/A</v>
      </c>
      <c r="B101" s="2340"/>
      <c r="C101" s="2340" t="s">
        <v>2508</v>
      </c>
      <c r="D101" s="2327">
        <v>17</v>
      </c>
      <c r="E101" s="2449" t="s">
        <v>2542</v>
      </c>
      <c r="F101" s="2327" t="s">
        <v>2448</v>
      </c>
      <c r="G101" s="2348">
        <v>27</v>
      </c>
      <c r="H101" s="2348">
        <v>27</v>
      </c>
      <c r="I101" s="2309"/>
      <c r="J101" s="2309"/>
      <c r="K101" s="2335"/>
      <c r="N101" s="2350"/>
    </row>
    <row r="102" spans="1:14" s="2336" customFormat="1">
      <c r="A102" s="2340" t="s">
        <v>1915</v>
      </c>
      <c r="B102" s="2340"/>
      <c r="D102" s="2327"/>
      <c r="E102" s="2346" t="s">
        <v>2951</v>
      </c>
      <c r="F102" s="2347" t="s">
        <v>2448</v>
      </c>
      <c r="G102" s="2348">
        <v>27</v>
      </c>
      <c r="H102" s="2348">
        <v>27</v>
      </c>
      <c r="I102" s="2309"/>
      <c r="J102" s="2309"/>
      <c r="K102" s="2335"/>
      <c r="N102" s="2350"/>
    </row>
    <row r="103" spans="1:14" s="2336" customFormat="1">
      <c r="A103" s="2340" t="s">
        <v>1615</v>
      </c>
      <c r="B103" s="2340"/>
      <c r="D103" s="2327"/>
      <c r="E103" s="2346" t="s">
        <v>2660</v>
      </c>
      <c r="F103" s="2347" t="s">
        <v>2448</v>
      </c>
      <c r="G103" s="2348">
        <v>27</v>
      </c>
      <c r="H103" s="2348">
        <v>27</v>
      </c>
      <c r="I103" s="2309"/>
      <c r="J103" s="2309"/>
      <c r="K103" s="2335"/>
      <c r="N103" s="2350"/>
    </row>
    <row r="104" spans="1:14" s="2336" customFormat="1">
      <c r="A104" s="2340" t="s">
        <v>2513</v>
      </c>
      <c r="B104" s="2340"/>
      <c r="C104" s="2340" t="str">
        <f>VLOOKUP(E104,DG!C:J,8,0)</f>
        <v>SĐU</v>
      </c>
      <c r="D104" s="2327">
        <v>18</v>
      </c>
      <c r="E104" s="2449" t="s">
        <v>2514</v>
      </c>
      <c r="F104" s="2327" t="s">
        <v>2448</v>
      </c>
      <c r="G104" s="2348">
        <v>89</v>
      </c>
      <c r="H104" s="2348">
        <v>89</v>
      </c>
      <c r="I104" s="2309"/>
      <c r="J104" s="2309"/>
      <c r="K104" s="2335"/>
      <c r="N104" s="2350"/>
    </row>
    <row r="105" spans="1:14" s="2336" customFormat="1">
      <c r="A105" s="2340" t="s">
        <v>5177</v>
      </c>
      <c r="B105" s="2340"/>
      <c r="D105" s="2327"/>
      <c r="E105" s="2346" t="s">
        <v>4961</v>
      </c>
      <c r="F105" s="2347" t="s">
        <v>2566</v>
      </c>
      <c r="G105" s="2348">
        <v>89</v>
      </c>
      <c r="H105" s="2348">
        <v>89</v>
      </c>
      <c r="I105" s="2309"/>
      <c r="J105" s="2309"/>
      <c r="K105" s="2335"/>
      <c r="N105" s="2350"/>
    </row>
    <row r="106" spans="1:14" s="2336" customFormat="1">
      <c r="A106" s="2340" t="s">
        <v>5178</v>
      </c>
      <c r="B106" s="2340"/>
      <c r="D106" s="2327"/>
      <c r="E106" s="2346" t="s">
        <v>4962</v>
      </c>
      <c r="F106" s="2347" t="s">
        <v>2566</v>
      </c>
      <c r="G106" s="2348">
        <v>89</v>
      </c>
      <c r="H106" s="2348">
        <v>89</v>
      </c>
      <c r="I106" s="2309"/>
      <c r="J106" s="2309"/>
      <c r="K106" s="2335"/>
      <c r="N106" s="2350"/>
    </row>
    <row r="107" spans="1:14" s="2336" customFormat="1">
      <c r="A107" s="2340" t="s">
        <v>2524</v>
      </c>
      <c r="B107" s="2340"/>
      <c r="C107" s="2340" t="str">
        <f>VLOOKUP(E107,DG!C:J,8,0)</f>
        <v>CĐT ply-X</v>
      </c>
      <c r="D107" s="2327">
        <v>19</v>
      </c>
      <c r="E107" s="2449" t="s">
        <v>2525</v>
      </c>
      <c r="F107" s="2327" t="s">
        <v>2521</v>
      </c>
      <c r="G107" s="2348">
        <v>26</v>
      </c>
      <c r="H107" s="2348">
        <v>26</v>
      </c>
      <c r="I107" s="2309"/>
      <c r="J107" s="2309"/>
      <c r="K107" s="2335"/>
      <c r="N107" s="2350"/>
    </row>
    <row r="108" spans="1:14" s="2336" customFormat="1">
      <c r="A108" s="2340" t="s">
        <v>1031</v>
      </c>
      <c r="B108" s="2340"/>
      <c r="D108" s="2327"/>
      <c r="E108" s="2346" t="s">
        <v>2964</v>
      </c>
      <c r="F108" s="2347" t="s">
        <v>2521</v>
      </c>
      <c r="G108" s="2348">
        <v>26</v>
      </c>
      <c r="H108" s="2348">
        <v>26</v>
      </c>
      <c r="I108" s="2309"/>
      <c r="J108" s="2309"/>
      <c r="K108" s="2335"/>
      <c r="N108" s="2350"/>
    </row>
    <row r="109" spans="1:14" s="2336" customFormat="1">
      <c r="A109" s="2340" t="s">
        <v>1491</v>
      </c>
      <c r="B109" s="2340"/>
      <c r="D109" s="2327"/>
      <c r="E109" s="2346" t="s">
        <v>2932</v>
      </c>
      <c r="F109" s="2347" t="s">
        <v>2566</v>
      </c>
      <c r="G109" s="2348">
        <v>52</v>
      </c>
      <c r="H109" s="2348">
        <v>52</v>
      </c>
      <c r="I109" s="2309"/>
      <c r="J109" s="2309"/>
      <c r="K109" s="2335"/>
      <c r="N109" s="2350"/>
    </row>
    <row r="110" spans="1:14" s="2336" customFormat="1">
      <c r="A110" s="2340" t="s">
        <v>544</v>
      </c>
      <c r="B110" s="2340"/>
      <c r="D110" s="2327"/>
      <c r="E110" s="2346" t="s">
        <v>4964</v>
      </c>
      <c r="F110" s="2347" t="s">
        <v>2448</v>
      </c>
      <c r="G110" s="2348">
        <v>26</v>
      </c>
      <c r="H110" s="2348">
        <v>26</v>
      </c>
      <c r="I110" s="2309"/>
      <c r="J110" s="2309"/>
      <c r="K110" s="2335"/>
      <c r="N110" s="2350"/>
    </row>
    <row r="111" spans="1:14" s="2336" customFormat="1">
      <c r="A111" s="2340" t="s">
        <v>4758</v>
      </c>
      <c r="B111" s="2340"/>
      <c r="D111" s="2327"/>
      <c r="E111" s="2346" t="s">
        <v>4965</v>
      </c>
      <c r="F111" s="2347" t="s">
        <v>4966</v>
      </c>
      <c r="G111" s="2348">
        <v>90</v>
      </c>
      <c r="H111" s="2348">
        <v>90</v>
      </c>
      <c r="I111" s="2309"/>
      <c r="J111" s="2309"/>
      <c r="K111" s="2335"/>
      <c r="N111" s="2350"/>
    </row>
    <row r="112" spans="1:14" s="2336" customFormat="1">
      <c r="A112" s="2340" t="s">
        <v>4757</v>
      </c>
      <c r="B112" s="2340"/>
      <c r="D112" s="2327"/>
      <c r="E112" s="2346" t="s">
        <v>4967</v>
      </c>
      <c r="F112" s="2347" t="s">
        <v>4966</v>
      </c>
      <c r="G112" s="2348">
        <v>6</v>
      </c>
      <c r="H112" s="2348">
        <v>6</v>
      </c>
      <c r="I112" s="2309"/>
      <c r="J112" s="2309"/>
      <c r="K112" s="2335"/>
      <c r="N112" s="2350"/>
    </row>
    <row r="113" spans="1:14" s="2336" customFormat="1">
      <c r="A113" s="2340" t="s">
        <v>1584</v>
      </c>
      <c r="B113" s="2340"/>
      <c r="D113" s="2327"/>
      <c r="E113" s="2346" t="s">
        <v>2892</v>
      </c>
      <c r="F113" s="2347" t="s">
        <v>2566</v>
      </c>
      <c r="G113" s="2348">
        <v>10</v>
      </c>
      <c r="H113" s="2348">
        <v>10</v>
      </c>
      <c r="I113" s="2309"/>
      <c r="J113" s="2309"/>
      <c r="K113" s="2335"/>
      <c r="N113" s="2350"/>
    </row>
    <row r="114" spans="1:14" s="2336" customFormat="1">
      <c r="A114" s="2340" t="s">
        <v>4350</v>
      </c>
      <c r="B114" s="2340"/>
      <c r="D114" s="2327"/>
      <c r="E114" s="2346" t="s">
        <v>4968</v>
      </c>
      <c r="F114" s="2347" t="s">
        <v>2566</v>
      </c>
      <c r="G114" s="2348">
        <v>150</v>
      </c>
      <c r="H114" s="2348">
        <v>150</v>
      </c>
      <c r="I114" s="2309"/>
      <c r="J114" s="2309"/>
      <c r="K114" s="2335"/>
      <c r="N114" s="2350"/>
    </row>
    <row r="115" spans="1:14" s="2336" customFormat="1">
      <c r="A115" s="2340" t="s">
        <v>4717</v>
      </c>
      <c r="B115" s="2340"/>
      <c r="D115" s="2327"/>
      <c r="E115" s="2346" t="s">
        <v>5179</v>
      </c>
      <c r="F115" s="2347" t="s">
        <v>2541</v>
      </c>
      <c r="G115" s="2348">
        <v>3</v>
      </c>
      <c r="H115" s="2348">
        <v>3</v>
      </c>
      <c r="I115" s="2309"/>
      <c r="J115" s="2309"/>
      <c r="K115" s="2335"/>
      <c r="N115" s="2350"/>
    </row>
    <row r="116" spans="1:14" s="2336" customFormat="1">
      <c r="A116" s="2340" t="s">
        <v>1484</v>
      </c>
      <c r="B116" s="2340"/>
      <c r="D116" s="2327"/>
      <c r="E116" s="2346" t="s">
        <v>3815</v>
      </c>
      <c r="F116" s="2347" t="s">
        <v>2566</v>
      </c>
      <c r="G116" s="2348">
        <v>10</v>
      </c>
      <c r="H116" s="2348">
        <v>10</v>
      </c>
      <c r="I116" s="2309"/>
      <c r="J116" s="2309"/>
      <c r="K116" s="2335"/>
      <c r="N116" s="2350"/>
    </row>
    <row r="117" spans="1:14" s="2336" customFormat="1">
      <c r="A117" s="2340" t="s">
        <v>1482</v>
      </c>
      <c r="B117" s="2340"/>
      <c r="D117" s="2327"/>
      <c r="E117" s="2346" t="s">
        <v>4365</v>
      </c>
      <c r="F117" s="2347" t="s">
        <v>2566</v>
      </c>
      <c r="G117" s="2348">
        <v>10</v>
      </c>
      <c r="H117" s="2348">
        <v>10</v>
      </c>
      <c r="I117" s="2309"/>
      <c r="J117" s="2309"/>
      <c r="K117" s="2335"/>
      <c r="N117" s="2350"/>
    </row>
    <row r="118" spans="1:14" s="2336" customFormat="1">
      <c r="A118" s="2340" t="s">
        <v>4718</v>
      </c>
      <c r="B118" s="2340"/>
      <c r="D118" s="2327"/>
      <c r="E118" s="2346" t="s">
        <v>4970</v>
      </c>
      <c r="F118" s="2347" t="s">
        <v>2566</v>
      </c>
      <c r="G118" s="2348">
        <v>13</v>
      </c>
      <c r="H118" s="2348">
        <v>13</v>
      </c>
      <c r="I118" s="2309"/>
      <c r="J118" s="2309"/>
      <c r="K118" s="2335"/>
      <c r="N118" s="2350"/>
    </row>
    <row r="119" spans="1:14" s="2336" customFormat="1">
      <c r="A119" s="2340" t="s">
        <v>236</v>
      </c>
      <c r="B119" s="2340"/>
      <c r="D119" s="2327"/>
      <c r="E119" s="2346" t="s">
        <v>2901</v>
      </c>
      <c r="F119" s="2347" t="s">
        <v>2566</v>
      </c>
      <c r="G119" s="2348">
        <v>3</v>
      </c>
      <c r="H119" s="2348">
        <v>3</v>
      </c>
      <c r="I119" s="2309"/>
      <c r="J119" s="2309"/>
      <c r="K119" s="2335"/>
      <c r="N119" s="2350"/>
    </row>
    <row r="120" spans="1:14" s="2336" customFormat="1">
      <c r="A120" s="2340" t="s">
        <v>1051</v>
      </c>
      <c r="B120" s="2340"/>
      <c r="D120" s="2327"/>
      <c r="E120" s="2346" t="s">
        <v>2902</v>
      </c>
      <c r="F120" s="2347" t="s">
        <v>2566</v>
      </c>
      <c r="G120" s="2348">
        <v>3</v>
      </c>
      <c r="H120" s="2348">
        <v>3</v>
      </c>
      <c r="I120" s="2309"/>
      <c r="J120" s="2309"/>
      <c r="K120" s="2335"/>
      <c r="N120" s="2350"/>
    </row>
    <row r="121" spans="1:14" s="2336" customFormat="1">
      <c r="A121" s="2340" t="s">
        <v>1492</v>
      </c>
      <c r="B121" s="2340"/>
      <c r="D121" s="2327"/>
      <c r="E121" s="2346" t="s">
        <v>2943</v>
      </c>
      <c r="F121" s="2347" t="s">
        <v>2566</v>
      </c>
      <c r="G121" s="2348">
        <v>1</v>
      </c>
      <c r="H121" s="2348">
        <v>1</v>
      </c>
      <c r="I121" s="2309"/>
      <c r="J121" s="2309"/>
      <c r="K121" s="2335"/>
      <c r="N121" s="2350"/>
    </row>
    <row r="122" spans="1:14" s="2336" customFormat="1">
      <c r="A122" s="2340" t="s">
        <v>432</v>
      </c>
      <c r="B122" s="2340"/>
      <c r="D122" s="2327"/>
      <c r="E122" s="2346" t="s">
        <v>2945</v>
      </c>
      <c r="F122" s="2360" t="s">
        <v>2566</v>
      </c>
      <c r="G122" s="2348">
        <v>12</v>
      </c>
      <c r="H122" s="2348">
        <v>12</v>
      </c>
      <c r="I122" s="2309"/>
      <c r="J122" s="2309"/>
      <c r="K122" s="2335"/>
      <c r="N122" s="2350"/>
    </row>
    <row r="123" spans="1:14" s="2336" customFormat="1" ht="27.6">
      <c r="A123" s="2340" t="s">
        <v>5180</v>
      </c>
      <c r="B123" s="2340"/>
      <c r="D123" s="2327"/>
      <c r="E123" s="2346" t="s">
        <v>4971</v>
      </c>
      <c r="F123" s="2347" t="s">
        <v>2448</v>
      </c>
      <c r="G123" s="2348">
        <v>6</v>
      </c>
      <c r="H123" s="2348">
        <v>6</v>
      </c>
      <c r="I123" s="2309"/>
      <c r="J123" s="2309"/>
      <c r="K123" s="2335"/>
      <c r="N123" s="2350"/>
    </row>
    <row r="124" spans="1:14" s="2336" customFormat="1" ht="27.6">
      <c r="A124" s="2340" t="s">
        <v>5181</v>
      </c>
      <c r="B124" s="2340"/>
      <c r="D124" s="2327"/>
      <c r="E124" s="2346" t="s">
        <v>4972</v>
      </c>
      <c r="F124" s="2347" t="s">
        <v>2448</v>
      </c>
      <c r="G124" s="2348">
        <v>6</v>
      </c>
      <c r="H124" s="2348">
        <v>6</v>
      </c>
      <c r="I124" s="2309"/>
      <c r="J124" s="2309"/>
      <c r="K124" s="2335"/>
      <c r="N124" s="2350"/>
    </row>
    <row r="125" spans="1:14" s="2336" customFormat="1" ht="27.6">
      <c r="A125" s="2340" t="s">
        <v>5182</v>
      </c>
      <c r="B125" s="2340"/>
      <c r="D125" s="2327"/>
      <c r="E125" s="2346" t="s">
        <v>4973</v>
      </c>
      <c r="F125" s="2347" t="s">
        <v>2448</v>
      </c>
      <c r="G125" s="2348">
        <v>6</v>
      </c>
      <c r="H125" s="2348">
        <v>6</v>
      </c>
      <c r="I125" s="2309"/>
      <c r="J125" s="2309"/>
      <c r="K125" s="2335"/>
      <c r="N125" s="2350"/>
    </row>
    <row r="126" spans="1:14" s="2336" customFormat="1">
      <c r="A126" s="2340" t="s">
        <v>700</v>
      </c>
      <c r="B126" s="2340"/>
      <c r="D126" s="2327"/>
      <c r="E126" s="2346" t="s">
        <v>4974</v>
      </c>
      <c r="F126" s="2347" t="s">
        <v>2566</v>
      </c>
      <c r="G126" s="2348">
        <v>14</v>
      </c>
      <c r="H126" s="2348">
        <v>14</v>
      </c>
      <c r="I126" s="2309"/>
      <c r="J126" s="2309"/>
      <c r="K126" s="2335"/>
      <c r="N126" s="2350"/>
    </row>
    <row r="127" spans="1:14" s="2336" customFormat="1" ht="27.6">
      <c r="A127" s="2340" t="e">
        <v>#N/A</v>
      </c>
      <c r="B127" s="2340"/>
      <c r="D127" s="2327"/>
      <c r="E127" s="2346" t="s">
        <v>4975</v>
      </c>
      <c r="F127" s="2347" t="s">
        <v>2044</v>
      </c>
      <c r="G127" s="2348">
        <v>3.6440000000000001</v>
      </c>
      <c r="H127" s="2348">
        <v>3.6440000000000001</v>
      </c>
      <c r="I127" s="2309"/>
      <c r="J127" s="2309"/>
      <c r="K127" s="2335"/>
      <c r="N127" s="2350"/>
    </row>
    <row r="128" spans="1:14" s="2336" customFormat="1">
      <c r="A128" s="2340" t="s">
        <v>347</v>
      </c>
      <c r="B128" s="2340"/>
      <c r="D128" s="2327"/>
      <c r="E128" s="2346" t="s">
        <v>3294</v>
      </c>
      <c r="F128" s="2347" t="s">
        <v>2448</v>
      </c>
      <c r="G128" s="2348">
        <v>89</v>
      </c>
      <c r="H128" s="2348">
        <v>89</v>
      </c>
      <c r="I128" s="2309"/>
      <c r="J128" s="2309"/>
      <c r="K128" s="2335"/>
      <c r="N128" s="2350"/>
    </row>
    <row r="129" spans="1:14" s="2336" customFormat="1">
      <c r="A129" s="2340" t="s">
        <v>1512</v>
      </c>
      <c r="B129" s="2340"/>
      <c r="D129" s="2327"/>
      <c r="E129" s="2346" t="s">
        <v>3299</v>
      </c>
      <c r="F129" s="2347" t="s">
        <v>2521</v>
      </c>
      <c r="G129" s="2348">
        <v>26</v>
      </c>
      <c r="H129" s="2348">
        <v>26</v>
      </c>
      <c r="I129" s="2309"/>
      <c r="J129" s="2309"/>
      <c r="K129" s="2335"/>
      <c r="N129" s="2350"/>
    </row>
    <row r="130" spans="1:14" s="2336" customFormat="1">
      <c r="A130" s="2340" t="s">
        <v>351</v>
      </c>
      <c r="B130" s="2340"/>
      <c r="D130" s="2327"/>
      <c r="E130" s="2346" t="s">
        <v>3301</v>
      </c>
      <c r="F130" s="2347" t="s">
        <v>2448</v>
      </c>
      <c r="G130" s="2348">
        <v>27</v>
      </c>
      <c r="H130" s="2348">
        <v>27</v>
      </c>
      <c r="I130" s="2309"/>
      <c r="J130" s="2309"/>
      <c r="K130" s="2335"/>
      <c r="N130" s="2350"/>
    </row>
    <row r="131" spans="1:14" s="2336" customFormat="1" ht="27.6">
      <c r="A131" s="2340" t="e">
        <v>#N/A</v>
      </c>
      <c r="B131" s="2340"/>
      <c r="C131" s="2340" t="e">
        <f>VLOOKUP(E131,DG!C:J,8,0)</f>
        <v>#N/A</v>
      </c>
      <c r="D131" s="2327">
        <v>20</v>
      </c>
      <c r="E131" s="2339" t="s">
        <v>4976</v>
      </c>
      <c r="F131" s="2347"/>
      <c r="G131" s="2348">
        <v>0</v>
      </c>
      <c r="H131" s="2348">
        <v>0</v>
      </c>
      <c r="I131" s="2309"/>
      <c r="J131" s="2309"/>
      <c r="K131" s="2335"/>
      <c r="N131" s="2350"/>
    </row>
    <row r="132" spans="1:14" s="2336" customFormat="1">
      <c r="A132" s="2340" t="s">
        <v>1153</v>
      </c>
      <c r="B132" s="2340"/>
      <c r="C132" s="2340" t="str">
        <f>VLOOKUP(E132,DG!C:J,8,0)</f>
        <v>ABC4x95</v>
      </c>
      <c r="D132" s="2327"/>
      <c r="E132" s="2346" t="s">
        <v>4515</v>
      </c>
      <c r="F132" s="2347" t="s">
        <v>2541</v>
      </c>
      <c r="G132" s="2348">
        <v>449</v>
      </c>
      <c r="H132" s="2348">
        <v>449</v>
      </c>
      <c r="I132" s="2309"/>
      <c r="J132" s="2309"/>
      <c r="K132" s="2335"/>
      <c r="N132" s="2350"/>
    </row>
    <row r="133" spans="1:14" s="2336" customFormat="1">
      <c r="A133" s="2340" t="s">
        <v>5174</v>
      </c>
      <c r="B133" s="2340"/>
      <c r="C133" s="2340" t="s">
        <v>5174</v>
      </c>
      <c r="D133" s="2327"/>
      <c r="E133" s="2346" t="s">
        <v>4977</v>
      </c>
      <c r="F133" s="2347" t="s">
        <v>2541</v>
      </c>
      <c r="G133" s="2348">
        <v>61</v>
      </c>
      <c r="H133" s="2348">
        <v>61</v>
      </c>
      <c r="I133" s="2309"/>
      <c r="J133" s="2309"/>
      <c r="K133" s="2335"/>
      <c r="N133" s="2350"/>
    </row>
    <row r="134" spans="1:14" s="2336" customFormat="1">
      <c r="A134" s="2340" t="s">
        <v>1614</v>
      </c>
      <c r="B134" s="2340"/>
      <c r="C134" s="2340" t="str">
        <f>VLOOKUP(E134,DG!C:J,8,0)</f>
        <v>B16250</v>
      </c>
      <c r="D134" s="2327"/>
      <c r="E134" s="2346" t="s">
        <v>2656</v>
      </c>
      <c r="F134" s="2347" t="s">
        <v>2448</v>
      </c>
      <c r="G134" s="2348">
        <v>11</v>
      </c>
      <c r="H134" s="2348">
        <v>11</v>
      </c>
      <c r="I134" s="2309"/>
      <c r="J134" s="2309"/>
      <c r="K134" s="2335"/>
      <c r="N134" s="2350"/>
    </row>
    <row r="135" spans="1:14" s="2336" customFormat="1">
      <c r="A135" s="2340" t="s">
        <v>854</v>
      </c>
      <c r="B135" s="2340"/>
      <c r="C135" s="2340" t="str">
        <f>VLOOKUP(E135,DG!C:J,8,0)</f>
        <v>BMOC16300</v>
      </c>
      <c r="D135" s="2327"/>
      <c r="E135" s="2346" t="s">
        <v>2697</v>
      </c>
      <c r="F135" s="2347" t="s">
        <v>2448</v>
      </c>
      <c r="G135" s="2348">
        <v>11</v>
      </c>
      <c r="H135" s="2348">
        <v>11</v>
      </c>
      <c r="I135" s="2309"/>
      <c r="J135" s="2309"/>
      <c r="K135" s="2335"/>
      <c r="N135" s="2350"/>
    </row>
    <row r="136" spans="1:14" s="2336" customFormat="1">
      <c r="A136" s="2340" t="s">
        <v>4350</v>
      </c>
      <c r="B136" s="2340"/>
      <c r="C136" s="2340" t="str">
        <f>VLOOKUP(E136,DG!C:J,8,0)</f>
        <v>GIP95-25</v>
      </c>
      <c r="D136" s="2327"/>
      <c r="E136" s="2346" t="s">
        <v>4968</v>
      </c>
      <c r="F136" s="2347" t="s">
        <v>2566</v>
      </c>
      <c r="G136" s="2348">
        <v>55</v>
      </c>
      <c r="H136" s="2348">
        <v>55</v>
      </c>
      <c r="I136" s="2309"/>
      <c r="J136" s="2309"/>
      <c r="K136" s="2335"/>
      <c r="N136" s="2350"/>
    </row>
    <row r="137" spans="1:14" s="2336" customFormat="1">
      <c r="A137" s="2340" t="s">
        <v>1158</v>
      </c>
      <c r="B137" s="2340"/>
      <c r="C137" s="2340" t="str">
        <f>VLOOKUP(E137,DG!C:J,8,0)</f>
        <v>HOP9C</v>
      </c>
      <c r="D137" s="2327"/>
      <c r="E137" s="2346" t="s">
        <v>4978</v>
      </c>
      <c r="F137" s="2347" t="s">
        <v>2566</v>
      </c>
      <c r="G137" s="2348">
        <v>11</v>
      </c>
      <c r="H137" s="2348">
        <v>11</v>
      </c>
      <c r="I137" s="2309"/>
      <c r="J137" s="2309"/>
      <c r="K137" s="2335"/>
      <c r="N137" s="2350"/>
    </row>
    <row r="138" spans="1:14" s="2336" customFormat="1">
      <c r="A138" s="2340" t="s">
        <v>1531</v>
      </c>
      <c r="B138" s="2340"/>
      <c r="C138" s="2340" t="str">
        <f>VLOOKUP(E138,DG!C:J,8,0)</f>
        <v>cv25</v>
      </c>
      <c r="D138" s="2327"/>
      <c r="E138" s="2346" t="s">
        <v>2801</v>
      </c>
      <c r="F138" s="2347" t="s">
        <v>2541</v>
      </c>
      <c r="G138" s="2348">
        <v>44</v>
      </c>
      <c r="H138" s="2348">
        <v>44</v>
      </c>
      <c r="I138" s="2309"/>
      <c r="J138" s="2309"/>
      <c r="K138" s="2335"/>
      <c r="N138" s="2350"/>
    </row>
    <row r="139" spans="1:14" s="2336" customFormat="1">
      <c r="A139" s="2340" t="s">
        <v>1161</v>
      </c>
      <c r="B139" s="2340"/>
      <c r="C139" s="2340" t="str">
        <f>VLOOKUP(E139,DG!C:J,8,0)</f>
        <v>KTREO95</v>
      </c>
      <c r="D139" s="2327"/>
      <c r="E139" s="2346" t="s">
        <v>4979</v>
      </c>
      <c r="F139" s="2347" t="s">
        <v>2566</v>
      </c>
      <c r="G139" s="2348">
        <v>9</v>
      </c>
      <c r="H139" s="2348">
        <v>9</v>
      </c>
      <c r="I139" s="2309"/>
      <c r="J139" s="2309"/>
      <c r="K139" s="2335"/>
      <c r="N139" s="2350"/>
    </row>
    <row r="140" spans="1:14" s="2336" customFormat="1">
      <c r="A140" s="2340" t="s">
        <v>1434</v>
      </c>
      <c r="B140" s="2340"/>
      <c r="C140" s="2340" t="str">
        <f>VLOOKUP(E140,DG!C:J,8,0)</f>
        <v>KNGUNG95</v>
      </c>
      <c r="D140" s="2327"/>
      <c r="E140" s="2346" t="s">
        <v>4811</v>
      </c>
      <c r="F140" s="2347" t="s">
        <v>2566</v>
      </c>
      <c r="G140" s="2348">
        <v>2</v>
      </c>
      <c r="H140" s="2348">
        <v>2</v>
      </c>
      <c r="I140" s="2309"/>
      <c r="J140" s="2309"/>
      <c r="K140" s="2335"/>
      <c r="N140" s="2350"/>
    </row>
    <row r="141" spans="1:14" s="2336" customFormat="1">
      <c r="A141" s="2340" t="s">
        <v>860</v>
      </c>
      <c r="B141" s="2340"/>
      <c r="C141" s="2340" t="str">
        <f>VLOOKUP(E141,DG!C:J,8,0)</f>
        <v>BIT95</v>
      </c>
      <c r="D141" s="2327"/>
      <c r="E141" s="2346" t="s">
        <v>2887</v>
      </c>
      <c r="F141" s="2347" t="s">
        <v>2566</v>
      </c>
      <c r="G141" s="2348">
        <v>8</v>
      </c>
      <c r="H141" s="2348">
        <v>8</v>
      </c>
      <c r="I141" s="2309"/>
      <c r="J141" s="2309"/>
      <c r="K141" s="2335"/>
      <c r="N141" s="2350"/>
    </row>
    <row r="142" spans="1:14" s="2336" customFormat="1">
      <c r="A142" s="2340" t="s">
        <v>4319</v>
      </c>
      <c r="B142" s="2340"/>
      <c r="C142" s="2340" t="str">
        <f>VLOOKUP(E142,DG!C:J,8,0)</f>
        <v>TDLLCD</v>
      </c>
      <c r="D142" s="2327"/>
      <c r="E142" s="2346" t="s">
        <v>4980</v>
      </c>
      <c r="F142" s="2347" t="s">
        <v>2448</v>
      </c>
      <c r="G142" s="2348">
        <v>1</v>
      </c>
      <c r="H142" s="2348">
        <v>1</v>
      </c>
      <c r="I142" s="2309"/>
      <c r="J142" s="2309"/>
      <c r="K142" s="2335"/>
      <c r="N142" s="2350"/>
    </row>
    <row r="143" spans="1:14" s="2336" customFormat="1" ht="14.4">
      <c r="A143" s="2340" t="e">
        <v>#N/A</v>
      </c>
      <c r="B143" s="2340"/>
      <c r="C143" s="2340" t="s">
        <v>4170</v>
      </c>
      <c r="D143" s="2327">
        <v>21</v>
      </c>
      <c r="E143" s="2361" t="s">
        <v>4981</v>
      </c>
      <c r="F143" s="2332" t="s">
        <v>2448</v>
      </c>
      <c r="G143" s="2362">
        <v>1</v>
      </c>
      <c r="H143" s="2362">
        <v>1</v>
      </c>
      <c r="I143" s="2309"/>
      <c r="J143" s="2309"/>
      <c r="K143" s="2335"/>
      <c r="N143" s="2350"/>
    </row>
    <row r="144" spans="1:14" s="2336" customFormat="1">
      <c r="A144" s="2340" t="s">
        <v>4170</v>
      </c>
      <c r="B144" s="2340"/>
      <c r="D144" s="2327"/>
      <c r="E144" s="2346" t="s">
        <v>4982</v>
      </c>
      <c r="F144" s="2347" t="s">
        <v>2566</v>
      </c>
      <c r="G144" s="2313">
        <v>1</v>
      </c>
      <c r="H144" s="2313">
        <v>1</v>
      </c>
      <c r="I144" s="2309"/>
      <c r="J144" s="2309"/>
      <c r="K144" s="2335"/>
      <c r="N144" s="2350"/>
    </row>
    <row r="145" spans="1:14" s="2336" customFormat="1">
      <c r="A145" s="2340" t="s">
        <v>1305</v>
      </c>
      <c r="B145" s="2340"/>
      <c r="D145" s="2327"/>
      <c r="E145" s="2346" t="s">
        <v>3485</v>
      </c>
      <c r="F145" s="2347" t="s">
        <v>2566</v>
      </c>
      <c r="G145" s="2363">
        <v>6</v>
      </c>
      <c r="H145" s="2363">
        <v>6</v>
      </c>
      <c r="I145" s="2309"/>
      <c r="J145" s="2309"/>
      <c r="K145" s="2335"/>
      <c r="N145" s="2350"/>
    </row>
    <row r="146" spans="1:14" s="2336" customFormat="1">
      <c r="A146" s="2340" t="s">
        <v>94</v>
      </c>
      <c r="B146" s="2340"/>
      <c r="D146" s="2327"/>
      <c r="E146" s="2346" t="s">
        <v>3518</v>
      </c>
      <c r="F146" s="2347" t="s">
        <v>2566</v>
      </c>
      <c r="G146" s="2363">
        <v>6</v>
      </c>
      <c r="H146" s="2363">
        <v>6</v>
      </c>
      <c r="I146" s="2309"/>
      <c r="J146" s="2309"/>
      <c r="K146" s="2335"/>
      <c r="N146" s="2350"/>
    </row>
    <row r="147" spans="1:14" s="2336" customFormat="1">
      <c r="A147" s="2340" t="s">
        <v>865</v>
      </c>
      <c r="B147" s="2340"/>
      <c r="D147" s="2327"/>
      <c r="E147" s="2346" t="s">
        <v>3239</v>
      </c>
      <c r="F147" s="2347" t="s">
        <v>2044</v>
      </c>
      <c r="G147" s="2348">
        <v>0.06</v>
      </c>
      <c r="H147" s="2348">
        <v>0.06</v>
      </c>
      <c r="I147" s="2309"/>
      <c r="J147" s="2309"/>
      <c r="K147" s="2335"/>
      <c r="N147" s="2350"/>
    </row>
    <row r="148" spans="1:14" s="2336" customFormat="1">
      <c r="A148" s="2340" t="e">
        <v>#N/A</v>
      </c>
      <c r="B148" s="2340"/>
      <c r="D148" s="2327"/>
      <c r="E148" s="2346" t="s">
        <v>4983</v>
      </c>
      <c r="F148" s="2347" t="s">
        <v>2044</v>
      </c>
      <c r="G148" s="2318">
        <v>0.44</v>
      </c>
      <c r="H148" s="2318">
        <v>0.44</v>
      </c>
      <c r="I148" s="2309"/>
      <c r="J148" s="2309"/>
      <c r="K148" s="2335"/>
      <c r="N148" s="2350"/>
    </row>
    <row r="149" spans="1:14" s="2336" customFormat="1">
      <c r="A149" s="2340" t="s">
        <v>1141</v>
      </c>
      <c r="B149" s="2340"/>
      <c r="C149" s="2340"/>
      <c r="D149" s="2327">
        <v>22</v>
      </c>
      <c r="E149" s="2339" t="s">
        <v>2580</v>
      </c>
      <c r="F149" s="2327"/>
      <c r="G149" s="2317"/>
      <c r="H149" s="2317"/>
      <c r="I149" s="2309"/>
      <c r="J149" s="2309"/>
      <c r="K149" s="2335"/>
      <c r="N149" s="2350"/>
    </row>
    <row r="150" spans="1:14" s="2336" customFormat="1">
      <c r="A150" s="2340" t="e">
        <v>#N/A</v>
      </c>
      <c r="B150" s="2340"/>
      <c r="D150" s="2327"/>
      <c r="E150" s="2346" t="s">
        <v>95</v>
      </c>
      <c r="F150" s="2347" t="s">
        <v>2566</v>
      </c>
      <c r="G150" s="2317">
        <v>1</v>
      </c>
      <c r="H150" s="2317">
        <v>1</v>
      </c>
      <c r="I150" s="2309"/>
      <c r="J150" s="2309"/>
      <c r="K150" s="2335"/>
      <c r="N150" s="2350"/>
    </row>
    <row r="151" spans="1:14" s="2336" customFormat="1">
      <c r="A151" s="2340" t="s">
        <v>1029</v>
      </c>
      <c r="B151" s="2340"/>
      <c r="D151" s="2327"/>
      <c r="E151" s="2346" t="s">
        <v>3447</v>
      </c>
      <c r="F151" s="2347" t="s">
        <v>2611</v>
      </c>
      <c r="G151" s="2364">
        <v>1</v>
      </c>
      <c r="H151" s="2364">
        <v>1</v>
      </c>
      <c r="I151" s="2309"/>
      <c r="J151" s="2309"/>
      <c r="K151" s="2335"/>
      <c r="N151" s="2350"/>
    </row>
    <row r="152" spans="1:14" s="2336" customFormat="1">
      <c r="A152" s="2340" t="e">
        <v>#N/A</v>
      </c>
      <c r="B152" s="2340"/>
      <c r="C152" s="2340" t="e">
        <f>VLOOKUP(E152,DG!C:J,8,0)</f>
        <v>#N/A</v>
      </c>
      <c r="D152" s="2365">
        <v>23</v>
      </c>
      <c r="E152" s="2339" t="s">
        <v>4984</v>
      </c>
      <c r="F152" s="2366"/>
      <c r="G152" s="2364"/>
      <c r="H152" s="2364"/>
      <c r="I152" s="2309"/>
      <c r="J152" s="2309"/>
      <c r="K152" s="2335"/>
      <c r="N152" s="2350"/>
    </row>
    <row r="153" spans="1:14" s="2336" customFormat="1">
      <c r="A153" s="2340" t="e">
        <v>#N/A</v>
      </c>
      <c r="B153" s="2340"/>
      <c r="D153" s="2365"/>
      <c r="E153" s="2346" t="s">
        <v>4985</v>
      </c>
      <c r="F153" s="2366" t="s">
        <v>2394</v>
      </c>
      <c r="G153" s="2367">
        <v>8</v>
      </c>
      <c r="H153" s="2367">
        <v>8</v>
      </c>
      <c r="I153" s="2309"/>
      <c r="J153" s="2309"/>
      <c r="K153" s="2335"/>
      <c r="N153" s="2350"/>
    </row>
    <row r="154" spans="1:14" s="2336" customFormat="1">
      <c r="A154" s="2340" t="e">
        <v>#N/A</v>
      </c>
      <c r="B154" s="2340"/>
      <c r="D154" s="2365"/>
      <c r="E154" s="2346" t="s">
        <v>4986</v>
      </c>
      <c r="F154" s="2366" t="s">
        <v>3323</v>
      </c>
      <c r="G154" s="2367">
        <v>2</v>
      </c>
      <c r="H154" s="2367">
        <v>2</v>
      </c>
      <c r="I154" s="2309"/>
      <c r="J154" s="2309"/>
      <c r="K154" s="2335"/>
      <c r="N154" s="2350"/>
    </row>
    <row r="155" spans="1:14" s="2336" customFormat="1">
      <c r="A155" s="2340" t="e">
        <v>#N/A</v>
      </c>
      <c r="B155" s="2340"/>
      <c r="D155" s="2365"/>
      <c r="E155" s="2346" t="s">
        <v>4137</v>
      </c>
      <c r="F155" s="2366" t="s">
        <v>2566</v>
      </c>
      <c r="G155" s="2367">
        <v>8</v>
      </c>
      <c r="H155" s="2367">
        <v>8</v>
      </c>
      <c r="I155" s="2309"/>
      <c r="J155" s="2309"/>
      <c r="K155" s="2335"/>
      <c r="N155" s="2350"/>
    </row>
    <row r="156" spans="1:14" s="2336" customFormat="1">
      <c r="A156" s="2340" t="e">
        <v>#N/A</v>
      </c>
      <c r="B156" s="2340"/>
      <c r="D156" s="2365"/>
      <c r="E156" s="2346" t="s">
        <v>4987</v>
      </c>
      <c r="F156" s="2366" t="s">
        <v>2566</v>
      </c>
      <c r="G156" s="2367">
        <v>8</v>
      </c>
      <c r="H156" s="2367">
        <v>8</v>
      </c>
      <c r="I156" s="2309"/>
      <c r="J156" s="2309"/>
      <c r="K156" s="2335"/>
      <c r="N156" s="2350"/>
    </row>
    <row r="157" spans="1:14" s="2336" customFormat="1">
      <c r="A157" s="2340" t="e">
        <v>#N/A</v>
      </c>
      <c r="B157" s="2340"/>
      <c r="D157" s="2365"/>
      <c r="E157" s="2346" t="s">
        <v>4988</v>
      </c>
      <c r="F157" s="2366" t="s">
        <v>3323</v>
      </c>
      <c r="G157" s="2367">
        <v>2</v>
      </c>
      <c r="H157" s="2367">
        <v>2</v>
      </c>
      <c r="I157" s="2309"/>
      <c r="J157" s="2309"/>
      <c r="K157" s="2335"/>
      <c r="N157" s="2350"/>
    </row>
    <row r="158" spans="1:14" s="2336" customFormat="1">
      <c r="A158" s="2340" t="e">
        <v>#N/A</v>
      </c>
      <c r="B158" s="2340"/>
      <c r="D158" s="2365"/>
      <c r="E158" s="2346" t="s">
        <v>4989</v>
      </c>
      <c r="F158" s="2366" t="s">
        <v>3323</v>
      </c>
      <c r="G158" s="2367">
        <v>1</v>
      </c>
      <c r="H158" s="2367">
        <v>1</v>
      </c>
      <c r="I158" s="2309"/>
      <c r="J158" s="2309"/>
      <c r="K158" s="2335"/>
      <c r="N158" s="2350"/>
    </row>
    <row r="159" spans="1:14" s="2336" customFormat="1">
      <c r="A159" s="2340" t="e">
        <v>#N/A</v>
      </c>
      <c r="B159" s="2340"/>
      <c r="D159" s="2365"/>
      <c r="E159" s="2346" t="s">
        <v>4990</v>
      </c>
      <c r="F159" s="2366" t="s">
        <v>2566</v>
      </c>
      <c r="G159" s="2368">
        <v>8</v>
      </c>
      <c r="H159" s="2368">
        <v>8</v>
      </c>
      <c r="I159" s="2309"/>
      <c r="J159" s="2309"/>
      <c r="K159" s="2335"/>
      <c r="N159" s="2350"/>
    </row>
    <row r="160" spans="1:14" s="2336" customFormat="1">
      <c r="A160" s="2340" t="s">
        <v>328</v>
      </c>
      <c r="B160" s="2340"/>
      <c r="D160" s="2365"/>
      <c r="E160" s="2346" t="s">
        <v>3313</v>
      </c>
      <c r="F160" s="2366" t="s">
        <v>2566</v>
      </c>
      <c r="G160" s="2368">
        <v>8</v>
      </c>
      <c r="H160" s="2368">
        <v>8</v>
      </c>
      <c r="I160" s="2309"/>
      <c r="J160" s="2309"/>
      <c r="K160" s="2335"/>
      <c r="N160" s="2350"/>
    </row>
    <row r="161" spans="1:14" s="2336" customFormat="1">
      <c r="A161" s="2340" t="e">
        <v>#N/A</v>
      </c>
      <c r="B161" s="2340"/>
      <c r="D161" s="2365"/>
      <c r="E161" s="2346" t="s">
        <v>4991</v>
      </c>
      <c r="F161" s="2366" t="s">
        <v>2394</v>
      </c>
      <c r="G161" s="2368">
        <v>3</v>
      </c>
      <c r="H161" s="2368">
        <v>3</v>
      </c>
      <c r="I161" s="2309"/>
      <c r="J161" s="2309"/>
      <c r="K161" s="2335"/>
      <c r="N161" s="2350"/>
    </row>
    <row r="162" spans="1:14" s="2336" customFormat="1">
      <c r="A162" s="2340" t="e">
        <v>#N/A</v>
      </c>
      <c r="B162" s="2340"/>
      <c r="D162" s="2365"/>
      <c r="E162" s="2346" t="s">
        <v>4137</v>
      </c>
      <c r="F162" s="2366" t="s">
        <v>2566</v>
      </c>
      <c r="G162" s="2368">
        <v>4</v>
      </c>
      <c r="H162" s="2368">
        <v>4</v>
      </c>
      <c r="I162" s="2309"/>
      <c r="J162" s="2309"/>
      <c r="K162" s="2335"/>
      <c r="N162" s="2350"/>
    </row>
    <row r="163" spans="1:14" s="2336" customFormat="1">
      <c r="A163" s="2340" t="e">
        <v>#N/A</v>
      </c>
      <c r="B163" s="2340"/>
      <c r="D163" s="2365"/>
      <c r="E163" s="2346" t="s">
        <v>4992</v>
      </c>
      <c r="F163" s="2366" t="s">
        <v>4993</v>
      </c>
      <c r="G163" s="2368">
        <v>18</v>
      </c>
      <c r="H163" s="2368">
        <v>18</v>
      </c>
      <c r="I163" s="2309"/>
      <c r="J163" s="2309"/>
      <c r="K163" s="2335"/>
      <c r="N163" s="2350"/>
    </row>
    <row r="164" spans="1:14" s="2336" customFormat="1">
      <c r="A164" s="2340" t="e">
        <v>#N/A</v>
      </c>
      <c r="B164" s="2340"/>
      <c r="D164" s="2365"/>
      <c r="E164" s="2346" t="s">
        <v>4994</v>
      </c>
      <c r="F164" s="2366" t="s">
        <v>4993</v>
      </c>
      <c r="G164" s="2369">
        <v>18</v>
      </c>
      <c r="H164" s="2369">
        <v>18</v>
      </c>
      <c r="I164" s="2309"/>
      <c r="J164" s="2309"/>
      <c r="K164" s="2335"/>
      <c r="N164" s="2350"/>
    </row>
    <row r="165" spans="1:14" s="2336" customFormat="1">
      <c r="A165" s="2340" t="e">
        <v>#N/A</v>
      </c>
      <c r="B165" s="2340"/>
      <c r="D165" s="2365"/>
      <c r="E165" s="2346" t="s">
        <v>4995</v>
      </c>
      <c r="F165" s="2366" t="s">
        <v>2394</v>
      </c>
      <c r="G165" s="2368">
        <v>9</v>
      </c>
      <c r="H165" s="2368">
        <v>9</v>
      </c>
      <c r="I165" s="2309"/>
      <c r="J165" s="2309"/>
      <c r="K165" s="2335"/>
      <c r="N165" s="2350"/>
    </row>
    <row r="166" spans="1:14" s="2336" customFormat="1">
      <c r="A166" s="2340" t="e">
        <v>#N/A</v>
      </c>
      <c r="B166" s="2340"/>
      <c r="D166" s="2365"/>
      <c r="E166" s="2346" t="s">
        <v>4996</v>
      </c>
      <c r="F166" s="2366" t="s">
        <v>2044</v>
      </c>
      <c r="G166" s="2370">
        <v>4.7699999999999996</v>
      </c>
      <c r="H166" s="2370">
        <v>4.7699999999999996</v>
      </c>
      <c r="I166" s="2309"/>
      <c r="J166" s="2309"/>
      <c r="K166" s="2335"/>
      <c r="N166" s="2350"/>
    </row>
    <row r="167" spans="1:14" s="2336" customFormat="1">
      <c r="A167" s="2340" t="e">
        <v>#N/A</v>
      </c>
      <c r="B167" s="2340"/>
      <c r="D167" s="2365"/>
      <c r="E167" s="2346" t="s">
        <v>4997</v>
      </c>
      <c r="F167" s="2366" t="s">
        <v>2394</v>
      </c>
      <c r="G167" s="2368">
        <v>1</v>
      </c>
      <c r="H167" s="2368">
        <v>1</v>
      </c>
      <c r="I167" s="2309"/>
      <c r="J167" s="2309"/>
      <c r="K167" s="2335"/>
      <c r="N167" s="2350"/>
    </row>
    <row r="168" spans="1:14" s="2336" customFormat="1">
      <c r="A168" s="2340" t="e">
        <v>#N/A</v>
      </c>
      <c r="B168" s="2340"/>
      <c r="D168" s="2365"/>
      <c r="E168" s="2346" t="s">
        <v>4998</v>
      </c>
      <c r="F168" s="2366" t="s">
        <v>2842</v>
      </c>
      <c r="G168" s="2368">
        <v>19</v>
      </c>
      <c r="H168" s="2368">
        <v>19</v>
      </c>
      <c r="I168" s="2309"/>
      <c r="J168" s="2309"/>
      <c r="K168" s="2335"/>
      <c r="N168" s="2350"/>
    </row>
    <row r="169" spans="1:14" s="2336" customFormat="1">
      <c r="A169" s="2340" t="e">
        <v>#N/A</v>
      </c>
      <c r="B169" s="2340"/>
      <c r="D169" s="2365"/>
      <c r="E169" s="2346" t="s">
        <v>4999</v>
      </c>
      <c r="F169" s="2366" t="s">
        <v>2842</v>
      </c>
      <c r="G169" s="2368">
        <v>15</v>
      </c>
      <c r="H169" s="2368">
        <v>15</v>
      </c>
      <c r="I169" s="2309"/>
      <c r="J169" s="2309"/>
      <c r="K169" s="2335"/>
      <c r="N169" s="2350"/>
    </row>
    <row r="170" spans="1:14" s="2336" customFormat="1">
      <c r="A170" s="2340" t="e">
        <v>#N/A</v>
      </c>
      <c r="B170" s="2340"/>
      <c r="D170" s="2365"/>
      <c r="E170" s="2346" t="s">
        <v>4990</v>
      </c>
      <c r="F170" s="2366" t="s">
        <v>2566</v>
      </c>
      <c r="G170" s="2368">
        <v>4</v>
      </c>
      <c r="H170" s="2368">
        <v>4</v>
      </c>
      <c r="I170" s="2309"/>
      <c r="J170" s="2309"/>
      <c r="K170" s="2335"/>
      <c r="N170" s="2350"/>
    </row>
    <row r="171" spans="1:14" s="2336" customFormat="1">
      <c r="A171" s="2340" t="e">
        <v>#N/A</v>
      </c>
      <c r="B171" s="2340"/>
      <c r="D171" s="2365"/>
      <c r="E171" s="2346" t="s">
        <v>5000</v>
      </c>
      <c r="F171" s="2366" t="s">
        <v>2044</v>
      </c>
      <c r="G171" s="2371">
        <v>1.2</v>
      </c>
      <c r="H171" s="2371">
        <v>1.2</v>
      </c>
      <c r="I171" s="2309"/>
      <c r="J171" s="2309"/>
      <c r="K171" s="2335"/>
      <c r="N171" s="2350"/>
    </row>
    <row r="172" spans="1:14" s="2336" customFormat="1">
      <c r="A172" s="2340" t="e">
        <v>#N/A</v>
      </c>
      <c r="B172" s="2340"/>
      <c r="D172" s="2365"/>
      <c r="E172" s="2346" t="s">
        <v>5001</v>
      </c>
      <c r="F172" s="2366" t="s">
        <v>2044</v>
      </c>
      <c r="G172" s="2372">
        <v>1.1930000000000001</v>
      </c>
      <c r="H172" s="2372">
        <v>1.1930000000000001</v>
      </c>
      <c r="I172" s="2309"/>
      <c r="J172" s="2309"/>
      <c r="K172" s="2335"/>
      <c r="N172" s="2350"/>
    </row>
    <row r="173" spans="1:14" s="2336" customFormat="1">
      <c r="A173" s="2340" t="e">
        <v>#N/A</v>
      </c>
      <c r="B173" s="2340"/>
      <c r="D173" s="2365"/>
      <c r="E173" s="2346" t="s">
        <v>5002</v>
      </c>
      <c r="F173" s="2366" t="s">
        <v>2842</v>
      </c>
      <c r="G173" s="2368">
        <v>5</v>
      </c>
      <c r="H173" s="2368">
        <v>5</v>
      </c>
      <c r="I173" s="2309"/>
      <c r="J173" s="2309"/>
      <c r="K173" s="2335"/>
      <c r="N173" s="2350"/>
    </row>
    <row r="174" spans="1:14" s="2336" customFormat="1">
      <c r="A174" s="2340" t="e">
        <v>#N/A</v>
      </c>
      <c r="B174" s="2340"/>
      <c r="C174" s="2340" t="e">
        <f>VLOOKUP(E174,DG!C:J,8,0)</f>
        <v>#N/A</v>
      </c>
      <c r="D174" s="2365">
        <v>24</v>
      </c>
      <c r="E174" s="2373" t="s">
        <v>5003</v>
      </c>
      <c r="F174" s="2366"/>
      <c r="G174" s="2368">
        <v>0</v>
      </c>
      <c r="H174" s="2368">
        <v>0</v>
      </c>
      <c r="I174" s="2309"/>
      <c r="J174" s="2309"/>
      <c r="K174" s="2335"/>
      <c r="N174" s="2350"/>
    </row>
    <row r="175" spans="1:14" s="2336" customFormat="1">
      <c r="A175" s="2340" t="e">
        <v>#N/A</v>
      </c>
      <c r="B175" s="2340"/>
      <c r="D175" s="2365"/>
      <c r="E175" s="2374" t="s">
        <v>2397</v>
      </c>
      <c r="F175" s="2366" t="s">
        <v>2394</v>
      </c>
      <c r="G175" s="2369">
        <v>4</v>
      </c>
      <c r="H175" s="2369">
        <v>4</v>
      </c>
      <c r="I175" s="2309"/>
      <c r="J175" s="2309"/>
      <c r="K175" s="2335"/>
      <c r="N175" s="2350"/>
    </row>
    <row r="176" spans="1:14" s="2336" customFormat="1">
      <c r="A176" s="2340" t="e">
        <v>#N/A</v>
      </c>
      <c r="B176" s="2340"/>
      <c r="C176" s="2340" t="e">
        <f>VLOOKUP(E176,DG!C:J,8,0)</f>
        <v>#N/A</v>
      </c>
      <c r="D176" s="2365" t="s">
        <v>1906</v>
      </c>
      <c r="E176" s="2339" t="s">
        <v>5004</v>
      </c>
      <c r="F176" s="2366"/>
      <c r="G176" s="2369"/>
      <c r="H176" s="2369"/>
      <c r="I176" s="2309"/>
      <c r="J176" s="2309"/>
      <c r="K176" s="2335"/>
      <c r="N176" s="2350"/>
    </row>
    <row r="177" spans="1:14" s="2336" customFormat="1">
      <c r="A177" s="2340" t="e">
        <v>#N/A</v>
      </c>
      <c r="B177" s="2340"/>
      <c r="C177" s="2340" t="e">
        <f>VLOOKUP(E177,DG!C:J,8,0)</f>
        <v>#N/A</v>
      </c>
      <c r="D177" s="2365">
        <v>25</v>
      </c>
      <c r="E177" s="2373" t="s">
        <v>5005</v>
      </c>
      <c r="F177" s="2366"/>
      <c r="G177" s="2368"/>
      <c r="H177" s="2368"/>
      <c r="I177" s="2309"/>
      <c r="J177" s="2309"/>
      <c r="K177" s="2335"/>
      <c r="N177" s="2350"/>
    </row>
    <row r="178" spans="1:14" s="2336" customFormat="1">
      <c r="A178" s="2340" t="s">
        <v>943</v>
      </c>
      <c r="B178" s="2340"/>
      <c r="D178" s="2365"/>
      <c r="E178" s="2374" t="s">
        <v>5006</v>
      </c>
      <c r="F178" s="2366" t="s">
        <v>5007</v>
      </c>
      <c r="G178" s="2368">
        <v>1</v>
      </c>
      <c r="H178" s="2368">
        <v>1</v>
      </c>
      <c r="I178" s="2309"/>
      <c r="J178" s="2309"/>
      <c r="K178" s="2335"/>
      <c r="N178" s="2350"/>
    </row>
    <row r="179" spans="1:14" s="2336" customFormat="1">
      <c r="A179" s="2340" t="s">
        <v>760</v>
      </c>
      <c r="B179" s="2340"/>
      <c r="D179" s="2365"/>
      <c r="E179" s="2374" t="s">
        <v>5008</v>
      </c>
      <c r="F179" s="2366" t="s">
        <v>2566</v>
      </c>
      <c r="G179" s="2368">
        <v>1</v>
      </c>
      <c r="H179" s="2368">
        <v>1</v>
      </c>
      <c r="I179" s="2309"/>
      <c r="J179" s="2309"/>
      <c r="K179" s="2335"/>
      <c r="N179" s="2350"/>
    </row>
    <row r="180" spans="1:14" s="2336" customFormat="1">
      <c r="A180" s="2340" t="e">
        <v>#N/A</v>
      </c>
      <c r="B180" s="2340"/>
      <c r="D180" s="2365"/>
      <c r="E180" s="2374" t="s">
        <v>5009</v>
      </c>
      <c r="F180" s="2366" t="s">
        <v>5007</v>
      </c>
      <c r="G180" s="2368">
        <v>1</v>
      </c>
      <c r="H180" s="2368">
        <v>1</v>
      </c>
      <c r="I180" s="2309"/>
      <c r="J180" s="2309"/>
      <c r="K180" s="2335"/>
      <c r="N180" s="2350"/>
    </row>
    <row r="181" spans="1:14" s="2336" customFormat="1">
      <c r="A181" s="2340" t="s">
        <v>1660</v>
      </c>
      <c r="B181" s="2340"/>
      <c r="D181" s="2365"/>
      <c r="E181" s="2374" t="s">
        <v>5010</v>
      </c>
      <c r="F181" s="2366" t="s">
        <v>2394</v>
      </c>
      <c r="G181" s="2368">
        <v>1</v>
      </c>
      <c r="H181" s="2368">
        <v>1</v>
      </c>
      <c r="I181" s="2309"/>
      <c r="J181" s="2309"/>
      <c r="K181" s="2335"/>
      <c r="N181" s="2350"/>
    </row>
    <row r="182" spans="1:14" s="2336" customFormat="1">
      <c r="A182" s="2340" t="e">
        <v>#N/A</v>
      </c>
      <c r="B182" s="2340"/>
      <c r="D182" s="2365"/>
      <c r="E182" s="2374" t="s">
        <v>5011</v>
      </c>
      <c r="F182" s="2366" t="s">
        <v>2394</v>
      </c>
      <c r="G182" s="2368">
        <v>1</v>
      </c>
      <c r="H182" s="2375">
        <v>0</v>
      </c>
      <c r="I182" s="2309"/>
      <c r="J182" s="2311">
        <v>1</v>
      </c>
      <c r="K182" s="2335"/>
      <c r="N182" s="2350"/>
    </row>
    <row r="183" spans="1:14" s="2336" customFormat="1">
      <c r="A183" s="2340" t="s">
        <v>1378</v>
      </c>
      <c r="B183" s="2340"/>
      <c r="D183" s="2365"/>
      <c r="E183" s="2374" t="s">
        <v>5012</v>
      </c>
      <c r="F183" s="2366" t="s">
        <v>3468</v>
      </c>
      <c r="G183" s="2368">
        <v>1</v>
      </c>
      <c r="H183" s="2368">
        <v>1</v>
      </c>
      <c r="I183" s="2309"/>
      <c r="J183" s="2309"/>
      <c r="K183" s="2335"/>
      <c r="N183" s="2350"/>
    </row>
    <row r="184" spans="1:14" s="2336" customFormat="1">
      <c r="A184" s="2340" t="e">
        <v>#N/A</v>
      </c>
      <c r="B184" s="2340"/>
      <c r="D184" s="2365"/>
      <c r="E184" s="2374" t="s">
        <v>5013</v>
      </c>
      <c r="F184" s="2366" t="s">
        <v>3468</v>
      </c>
      <c r="G184" s="2368">
        <v>1</v>
      </c>
      <c r="H184" s="2368">
        <v>1</v>
      </c>
      <c r="I184" s="2309"/>
      <c r="J184" s="2309"/>
      <c r="K184" s="2335"/>
      <c r="N184" s="2350"/>
    </row>
    <row r="185" spans="1:14" s="2336" customFormat="1">
      <c r="A185" s="2340" t="s">
        <v>1565</v>
      </c>
      <c r="B185" s="2340"/>
      <c r="D185" s="2365"/>
      <c r="E185" s="2374" t="s">
        <v>5209</v>
      </c>
      <c r="F185" s="2366" t="s">
        <v>3468</v>
      </c>
      <c r="G185" s="2376">
        <v>1</v>
      </c>
      <c r="H185" s="2376">
        <v>1</v>
      </c>
      <c r="I185" s="2309"/>
      <c r="J185" s="2309"/>
      <c r="K185" s="2335"/>
      <c r="N185" s="2350"/>
    </row>
    <row r="186" spans="1:14" s="2336" customFormat="1">
      <c r="A186" s="2340" t="e">
        <v>#N/A</v>
      </c>
      <c r="B186" s="2340"/>
      <c r="D186" s="2365"/>
      <c r="E186" s="2374" t="s">
        <v>5015</v>
      </c>
      <c r="F186" s="2366" t="s">
        <v>3468</v>
      </c>
      <c r="G186" s="2368">
        <v>1</v>
      </c>
      <c r="H186" s="2368">
        <v>1</v>
      </c>
      <c r="I186" s="2309"/>
      <c r="J186" s="2309"/>
      <c r="K186" s="2335"/>
      <c r="N186" s="2350"/>
    </row>
    <row r="187" spans="1:14" s="2336" customFormat="1">
      <c r="A187" s="2340" t="e">
        <v>#N/A</v>
      </c>
      <c r="B187" s="2340"/>
      <c r="D187" s="2365"/>
      <c r="E187" s="2374" t="s">
        <v>5016</v>
      </c>
      <c r="F187" s="2366" t="s">
        <v>3468</v>
      </c>
      <c r="G187" s="2368">
        <v>2</v>
      </c>
      <c r="H187" s="2368">
        <v>2</v>
      </c>
      <c r="I187" s="2309"/>
      <c r="J187" s="2309"/>
      <c r="K187" s="2335"/>
      <c r="N187" s="2350"/>
    </row>
    <row r="188" spans="1:14" s="2336" customFormat="1">
      <c r="A188" s="2340" t="e">
        <v>#N/A</v>
      </c>
      <c r="B188" s="2340"/>
      <c r="D188" s="2365"/>
      <c r="E188" s="2374" t="s">
        <v>5017</v>
      </c>
      <c r="F188" s="2366" t="s">
        <v>3468</v>
      </c>
      <c r="G188" s="2368">
        <v>2</v>
      </c>
      <c r="H188" s="2368">
        <v>2</v>
      </c>
      <c r="I188" s="2309"/>
      <c r="J188" s="2309"/>
      <c r="K188" s="2335"/>
      <c r="N188" s="2350"/>
    </row>
    <row r="189" spans="1:14" s="2336" customFormat="1">
      <c r="A189" s="2340" t="e">
        <v>#N/A</v>
      </c>
      <c r="B189" s="2340"/>
      <c r="C189" s="2340" t="e">
        <f>VLOOKUP(E189,DG!C:J,8,0)</f>
        <v>#N/A</v>
      </c>
      <c r="D189" s="2365">
        <v>26</v>
      </c>
      <c r="E189" s="2450" t="s">
        <v>5018</v>
      </c>
      <c r="F189" s="2365" t="s">
        <v>2394</v>
      </c>
      <c r="G189" s="2368">
        <v>1</v>
      </c>
      <c r="H189" s="2368">
        <v>1</v>
      </c>
      <c r="I189" s="2309"/>
      <c r="J189" s="2309"/>
      <c r="K189" s="2335"/>
      <c r="N189" s="2350"/>
    </row>
    <row r="190" spans="1:14" s="2336" customFormat="1">
      <c r="A190" s="2340" t="e">
        <v>#N/A</v>
      </c>
      <c r="B190" s="2340"/>
      <c r="D190" s="2365"/>
      <c r="E190" s="2374" t="s">
        <v>5019</v>
      </c>
      <c r="F190" s="2366" t="s">
        <v>3468</v>
      </c>
      <c r="G190" s="2368">
        <v>1</v>
      </c>
      <c r="H190" s="2368">
        <v>1</v>
      </c>
      <c r="I190" s="2309"/>
      <c r="J190" s="2309"/>
      <c r="K190" s="2335"/>
      <c r="N190" s="2350"/>
    </row>
    <row r="191" spans="1:14" s="2336" customFormat="1">
      <c r="A191" s="2340" t="s">
        <v>2279</v>
      </c>
      <c r="B191" s="2340"/>
      <c r="D191" s="2365"/>
      <c r="E191" s="2374" t="s">
        <v>5020</v>
      </c>
      <c r="F191" s="2366" t="s">
        <v>2448</v>
      </c>
      <c r="G191" s="2368">
        <v>2</v>
      </c>
      <c r="H191" s="2368">
        <v>2</v>
      </c>
      <c r="I191" s="2309"/>
      <c r="J191" s="2309"/>
      <c r="K191" s="2335"/>
      <c r="N191" s="2350"/>
    </row>
    <row r="192" spans="1:14" s="2336" customFormat="1">
      <c r="A192" s="2340" t="s">
        <v>1614</v>
      </c>
      <c r="B192" s="2340"/>
      <c r="D192" s="2365"/>
      <c r="E192" s="2374" t="s">
        <v>5021</v>
      </c>
      <c r="F192" s="2366" t="s">
        <v>2448</v>
      </c>
      <c r="G192" s="2368">
        <v>2</v>
      </c>
      <c r="H192" s="2368">
        <v>2</v>
      </c>
      <c r="I192" s="2309"/>
      <c r="J192" s="2309"/>
      <c r="K192" s="2335"/>
      <c r="N192" s="2350"/>
    </row>
    <row r="193" spans="1:14" s="2336" customFormat="1">
      <c r="A193" s="2340" t="s">
        <v>5183</v>
      </c>
      <c r="B193" s="2340"/>
      <c r="D193" s="2365"/>
      <c r="E193" s="2374" t="s">
        <v>5022</v>
      </c>
      <c r="F193" s="2366" t="s">
        <v>2448</v>
      </c>
      <c r="G193" s="2368">
        <v>2</v>
      </c>
      <c r="H193" s="2368">
        <v>2</v>
      </c>
      <c r="I193" s="2309"/>
      <c r="J193" s="2309"/>
      <c r="K193" s="2335"/>
      <c r="N193" s="2350"/>
    </row>
    <row r="194" spans="1:14" s="2336" customFormat="1">
      <c r="A194" s="2340" t="e">
        <v>#N/A</v>
      </c>
      <c r="B194" s="2340"/>
      <c r="C194" s="2340" t="s">
        <v>2243</v>
      </c>
      <c r="D194" s="2365">
        <v>27</v>
      </c>
      <c r="E194" s="2450" t="s">
        <v>5023</v>
      </c>
      <c r="F194" s="2365" t="s">
        <v>2394</v>
      </c>
      <c r="G194" s="2368">
        <v>1</v>
      </c>
      <c r="H194" s="2368">
        <v>1</v>
      </c>
      <c r="I194" s="2309"/>
      <c r="J194" s="2309"/>
      <c r="K194" s="2335"/>
      <c r="N194" s="2350"/>
    </row>
    <row r="195" spans="1:14" s="2336" customFormat="1" ht="27.6">
      <c r="A195" s="2340" t="s">
        <v>103</v>
      </c>
      <c r="B195" s="2340"/>
      <c r="D195" s="2365"/>
      <c r="E195" s="2374" t="s">
        <v>5024</v>
      </c>
      <c r="F195" s="2366" t="s">
        <v>1633</v>
      </c>
      <c r="G195" s="2377">
        <v>20.6</v>
      </c>
      <c r="H195" s="2377">
        <v>20.6</v>
      </c>
      <c r="I195" s="2309"/>
      <c r="J195" s="2309"/>
      <c r="K195" s="2335"/>
      <c r="N195" s="2350"/>
    </row>
    <row r="196" spans="1:14" s="2336" customFormat="1">
      <c r="A196" s="2340" t="s">
        <v>1513</v>
      </c>
      <c r="B196" s="2340"/>
      <c r="D196" s="2365"/>
      <c r="E196" s="2374" t="s">
        <v>5025</v>
      </c>
      <c r="F196" s="2366" t="s">
        <v>2448</v>
      </c>
      <c r="G196" s="2369">
        <v>20</v>
      </c>
      <c r="H196" s="2369">
        <v>20</v>
      </c>
      <c r="I196" s="2309"/>
      <c r="J196" s="2309"/>
      <c r="K196" s="2335"/>
      <c r="N196" s="2350"/>
    </row>
    <row r="197" spans="1:14" s="2336" customFormat="1">
      <c r="A197" s="2340" t="s">
        <v>104</v>
      </c>
      <c r="B197" s="2340"/>
      <c r="D197" s="2365"/>
      <c r="E197" s="2374" t="s">
        <v>5026</v>
      </c>
      <c r="F197" s="2366" t="s">
        <v>2448</v>
      </c>
      <c r="G197" s="2369">
        <v>2</v>
      </c>
      <c r="H197" s="2369">
        <v>2</v>
      </c>
      <c r="I197" s="2309"/>
      <c r="J197" s="2309"/>
      <c r="K197" s="2335"/>
      <c r="N197" s="2350"/>
    </row>
    <row r="198" spans="1:14" s="2336" customFormat="1">
      <c r="A198" s="2340" t="s">
        <v>525</v>
      </c>
      <c r="B198" s="2340"/>
      <c r="D198" s="2365"/>
      <c r="E198" s="2374" t="s">
        <v>5027</v>
      </c>
      <c r="F198" s="2366" t="s">
        <v>2448</v>
      </c>
      <c r="G198" s="2369">
        <v>3</v>
      </c>
      <c r="H198" s="2369">
        <v>3</v>
      </c>
      <c r="I198" s="2309"/>
      <c r="J198" s="2309"/>
      <c r="K198" s="2335"/>
      <c r="N198" s="2350"/>
    </row>
    <row r="199" spans="1:14" s="2336" customFormat="1">
      <c r="A199" s="2340" t="s">
        <v>1495</v>
      </c>
      <c r="B199" s="2340" t="str">
        <f>VLOOKUP(A199,DG!A:C,3,0)</f>
        <v xml:space="preserve">Ống PVC D21x1,6mm </v>
      </c>
      <c r="D199" s="2365"/>
      <c r="E199" s="2374" t="s">
        <v>5028</v>
      </c>
      <c r="F199" s="2366" t="s">
        <v>1829</v>
      </c>
      <c r="G199" s="2368">
        <v>4</v>
      </c>
      <c r="H199" s="2368">
        <v>4</v>
      </c>
      <c r="I199" s="2309"/>
      <c r="J199" s="2309"/>
      <c r="K199" s="2335"/>
      <c r="N199" s="2350"/>
    </row>
    <row r="200" spans="1:14" s="2336" customFormat="1">
      <c r="A200" s="2340" t="s">
        <v>818</v>
      </c>
      <c r="B200" s="2340" t="str">
        <f>VLOOKUP(A200,DG!A:C,3,0)</f>
        <v>Ốc siết cáp cỡ 25mm2</v>
      </c>
      <c r="D200" s="2365"/>
      <c r="E200" s="2374" t="s">
        <v>5029</v>
      </c>
      <c r="F200" s="2366" t="s">
        <v>3468</v>
      </c>
      <c r="G200" s="2368">
        <v>10</v>
      </c>
      <c r="H200" s="2368">
        <v>10</v>
      </c>
      <c r="I200" s="2309"/>
      <c r="J200" s="2309"/>
      <c r="K200" s="2335"/>
      <c r="N200" s="2350"/>
    </row>
    <row r="201" spans="1:14" s="2336" customFormat="1">
      <c r="A201" s="2340" t="e">
        <v>#N/A</v>
      </c>
      <c r="B201" s="2340" t="e">
        <f>VLOOKUP(A201,DG!A:C,3,0)</f>
        <v>#N/A</v>
      </c>
      <c r="D201" s="2365"/>
      <c r="E201" s="2374" t="s">
        <v>5030</v>
      </c>
      <c r="F201" s="2366" t="s">
        <v>5031</v>
      </c>
      <c r="G201" s="2372">
        <v>0.20599999999999999</v>
      </c>
      <c r="H201" s="2372">
        <v>0.20599999999999999</v>
      </c>
      <c r="I201" s="2309"/>
      <c r="J201" s="2309"/>
      <c r="K201" s="2335"/>
      <c r="N201" s="2350"/>
    </row>
    <row r="202" spans="1:14" s="2336" customFormat="1">
      <c r="A202" s="2340" t="e">
        <v>#N/A</v>
      </c>
      <c r="B202" s="2340" t="e">
        <f>VLOOKUP(A202,DG!A:C,3,0)</f>
        <v>#N/A</v>
      </c>
      <c r="D202" s="2365"/>
      <c r="E202" s="2374" t="s">
        <v>5032</v>
      </c>
      <c r="F202" s="2366" t="s">
        <v>5033</v>
      </c>
      <c r="G202" s="2368">
        <v>2</v>
      </c>
      <c r="H202" s="2368">
        <v>2</v>
      </c>
      <c r="I202" s="2309"/>
      <c r="J202" s="2309"/>
      <c r="K202" s="2335"/>
      <c r="N202" s="2350"/>
    </row>
    <row r="203" spans="1:14" s="2336" customFormat="1">
      <c r="A203" s="2340" t="e">
        <v>#N/A</v>
      </c>
      <c r="B203" s="2340" t="e">
        <f>VLOOKUP(A203,DG!A:C,3,0)</f>
        <v>#N/A</v>
      </c>
      <c r="D203" s="2365"/>
      <c r="E203" s="2374" t="s">
        <v>5034</v>
      </c>
      <c r="F203" s="2366" t="s">
        <v>3468</v>
      </c>
      <c r="G203" s="2368">
        <v>4</v>
      </c>
      <c r="H203" s="2368">
        <v>4</v>
      </c>
      <c r="I203" s="2309"/>
      <c r="J203" s="2309"/>
      <c r="K203" s="2335"/>
      <c r="N203" s="2350"/>
    </row>
    <row r="204" spans="1:14" s="2336" customFormat="1">
      <c r="A204" s="2340" t="e">
        <v>#N/A</v>
      </c>
      <c r="B204" s="2340" t="e">
        <f>VLOOKUP(A204,DG!A:C,3,0)</f>
        <v>#N/A</v>
      </c>
      <c r="D204" s="2365"/>
      <c r="E204" s="2374" t="s">
        <v>5035</v>
      </c>
      <c r="F204" s="2366" t="s">
        <v>5036</v>
      </c>
      <c r="G204" s="2370">
        <v>0.03</v>
      </c>
      <c r="H204" s="2370">
        <v>0.03</v>
      </c>
      <c r="I204" s="2309"/>
      <c r="J204" s="2309"/>
      <c r="K204" s="2335"/>
      <c r="N204" s="2350"/>
    </row>
    <row r="205" spans="1:14" s="2336" customFormat="1">
      <c r="A205" s="2340" t="e">
        <v>#N/A</v>
      </c>
      <c r="B205" s="2340" t="e">
        <f>VLOOKUP(A205,DG!A:C,3,0)</f>
        <v>#N/A</v>
      </c>
      <c r="D205" s="2365"/>
      <c r="E205" s="2374" t="s">
        <v>5037</v>
      </c>
      <c r="F205" s="2366" t="s">
        <v>2448</v>
      </c>
      <c r="G205" s="2368">
        <v>4</v>
      </c>
      <c r="H205" s="2368">
        <v>4</v>
      </c>
      <c r="I205" s="2309"/>
      <c r="J205" s="2309"/>
      <c r="K205" s="2335"/>
      <c r="N205" s="2350"/>
    </row>
    <row r="206" spans="1:14" s="2336" customFormat="1">
      <c r="A206" s="2340" t="e">
        <v>#N/A</v>
      </c>
      <c r="B206" s="2340" t="e">
        <f>VLOOKUP(A206,DG!A:C,3,0)</f>
        <v>#N/A</v>
      </c>
      <c r="D206" s="2365"/>
      <c r="E206" s="2374" t="s">
        <v>5038</v>
      </c>
      <c r="F206" s="2366" t="s">
        <v>5039</v>
      </c>
      <c r="G206" s="2370">
        <v>0.25</v>
      </c>
      <c r="H206" s="2370">
        <v>0.25</v>
      </c>
      <c r="I206" s="2309"/>
      <c r="J206" s="2309"/>
      <c r="K206" s="2335"/>
      <c r="N206" s="2350"/>
    </row>
    <row r="207" spans="1:14" s="2336" customFormat="1">
      <c r="A207" s="2340" t="e">
        <v>#N/A</v>
      </c>
      <c r="B207" s="2340" t="e">
        <f>VLOOKUP(A207,DG!A:C,3,0)</f>
        <v>#N/A</v>
      </c>
      <c r="D207" s="2365"/>
      <c r="E207" s="2374" t="s">
        <v>5040</v>
      </c>
      <c r="F207" s="2366" t="s">
        <v>5039</v>
      </c>
      <c r="G207" s="2370">
        <v>0.25</v>
      </c>
      <c r="H207" s="2370">
        <v>0.25</v>
      </c>
      <c r="I207" s="2309"/>
      <c r="J207" s="2309"/>
      <c r="K207" s="2335"/>
      <c r="N207" s="2350"/>
    </row>
    <row r="208" spans="1:14" s="2336" customFormat="1">
      <c r="A208" s="2340" t="e">
        <v>#N/A</v>
      </c>
      <c r="B208" s="2340" t="e">
        <f>VLOOKUP(A208,DG!A:C,3,0)</f>
        <v>#N/A</v>
      </c>
      <c r="C208" s="2340" t="s">
        <v>1509</v>
      </c>
      <c r="D208" s="2365">
        <v>28</v>
      </c>
      <c r="E208" s="2450" t="s">
        <v>5041</v>
      </c>
      <c r="F208" s="2365" t="s">
        <v>3393</v>
      </c>
      <c r="G208" s="2368">
        <v>1</v>
      </c>
      <c r="H208" s="2368">
        <v>1</v>
      </c>
      <c r="I208" s="2309"/>
      <c r="J208" s="2309"/>
      <c r="K208" s="2335"/>
      <c r="N208" s="2350"/>
    </row>
    <row r="209" spans="1:14" s="2336" customFormat="1">
      <c r="A209" s="79" t="s">
        <v>1509</v>
      </c>
      <c r="B209" s="2340" t="str">
        <f>VLOOKUP(A209,DG!A:C,3,0)</f>
        <v>Vỏ tủ trạm giàn 2 ngăn + khóa tủ</v>
      </c>
      <c r="D209" s="2365"/>
      <c r="E209" s="2374" t="s">
        <v>5042</v>
      </c>
      <c r="F209" s="2366" t="s">
        <v>3393</v>
      </c>
      <c r="G209" s="2368">
        <v>1</v>
      </c>
      <c r="H209" s="2368">
        <v>1</v>
      </c>
      <c r="I209" s="2309"/>
      <c r="J209" s="2309"/>
      <c r="K209" s="2335"/>
      <c r="N209" s="2350"/>
    </row>
    <row r="210" spans="1:14" s="2336" customFormat="1">
      <c r="A210" s="2340" t="s">
        <v>5184</v>
      </c>
      <c r="B210" s="2340" t="str">
        <f>VLOOKUP(A210,DG!A:C,3,0)</f>
        <v xml:space="preserve">Bakelit 550x450 dầy 10mm </v>
      </c>
      <c r="D210" s="2365"/>
      <c r="E210" s="2374" t="s">
        <v>5043</v>
      </c>
      <c r="F210" s="2366" t="s">
        <v>3468</v>
      </c>
      <c r="G210" s="2368">
        <v>1</v>
      </c>
      <c r="H210" s="2368">
        <v>1</v>
      </c>
      <c r="I210" s="2309"/>
      <c r="J210" s="2309"/>
      <c r="K210" s="2335"/>
      <c r="N210" s="2350"/>
    </row>
    <row r="211" spans="1:14" s="2336" customFormat="1">
      <c r="A211" s="2340" t="e">
        <v>#N/A</v>
      </c>
      <c r="B211" s="2340" t="e">
        <f>VLOOKUP(A211,DG!A:C,3,0)</f>
        <v>#N/A</v>
      </c>
      <c r="D211" s="2365"/>
      <c r="E211" s="2374" t="s">
        <v>5044</v>
      </c>
      <c r="F211" s="2366" t="s">
        <v>3393</v>
      </c>
      <c r="G211" s="2368">
        <v>1</v>
      </c>
      <c r="H211" s="2368">
        <v>1</v>
      </c>
      <c r="I211" s="2309"/>
      <c r="J211" s="2309"/>
      <c r="K211" s="2335"/>
      <c r="N211" s="2350"/>
    </row>
    <row r="212" spans="1:14" s="2336" customFormat="1">
      <c r="A212" s="2340" t="s">
        <v>588</v>
      </c>
      <c r="B212" s="2340" t="str">
        <f>VLOOKUP(A212,DG!A:C,3,0)</f>
        <v>Cổ dê bắt tủ</v>
      </c>
      <c r="D212" s="2365"/>
      <c r="E212" s="2346" t="s">
        <v>5045</v>
      </c>
      <c r="F212" s="2366" t="s">
        <v>2448</v>
      </c>
      <c r="G212" s="2368">
        <v>2</v>
      </c>
      <c r="H212" s="2368">
        <v>2</v>
      </c>
      <c r="I212" s="2309"/>
      <c r="J212" s="2309"/>
      <c r="K212" s="2335"/>
      <c r="N212" s="2350"/>
    </row>
    <row r="213" spans="1:14" s="2336" customFormat="1">
      <c r="A213" s="2340" t="e">
        <v>#N/A</v>
      </c>
      <c r="B213" s="2340" t="e">
        <f>VLOOKUP(A213,DG!A:C,3,0)</f>
        <v>#N/A</v>
      </c>
      <c r="C213" s="2340" t="e">
        <f>VLOOKUP(E213,DG!C:J,8,0)</f>
        <v>#N/A</v>
      </c>
      <c r="D213" s="2365">
        <v>29</v>
      </c>
      <c r="E213" s="2450" t="s">
        <v>5046</v>
      </c>
      <c r="F213" s="2366"/>
      <c r="G213" s="2368">
        <v>0</v>
      </c>
      <c r="H213" s="2368">
        <v>0</v>
      </c>
      <c r="I213" s="2309"/>
      <c r="J213" s="2309"/>
      <c r="K213" s="2335"/>
      <c r="N213" s="2350"/>
    </row>
    <row r="214" spans="1:14" s="2336" customFormat="1">
      <c r="A214" s="2340" t="s">
        <v>382</v>
      </c>
      <c r="B214" s="2340" t="str">
        <f>VLOOKUP(A214,DG!A:C,3,0)</f>
        <v>Chụp đầu cực FCO (bộ 2 cái)</v>
      </c>
      <c r="D214" s="2365"/>
      <c r="E214" s="2374" t="s">
        <v>5047</v>
      </c>
      <c r="F214" s="2366" t="s">
        <v>2566</v>
      </c>
      <c r="G214" s="2368">
        <v>1</v>
      </c>
      <c r="H214" s="2368">
        <v>1</v>
      </c>
      <c r="I214" s="2309"/>
      <c r="J214" s="2309"/>
      <c r="K214" s="2335"/>
      <c r="N214" s="2350"/>
    </row>
    <row r="215" spans="1:14" s="2336" customFormat="1">
      <c r="A215" s="2340" t="s">
        <v>382</v>
      </c>
      <c r="B215" s="2340" t="str">
        <f>VLOOKUP(A215,DG!A:C,3,0)</f>
        <v>Chụp đầu cực FCO (bộ 2 cái)</v>
      </c>
      <c r="D215" s="2365"/>
      <c r="E215" s="2374" t="s">
        <v>5048</v>
      </c>
      <c r="F215" s="2366" t="s">
        <v>2566</v>
      </c>
      <c r="G215" s="2368">
        <v>1</v>
      </c>
      <c r="H215" s="2368">
        <v>1</v>
      </c>
      <c r="I215" s="2309"/>
      <c r="J215" s="2309"/>
      <c r="K215" s="2335"/>
      <c r="N215" s="2350"/>
    </row>
    <row r="216" spans="1:14" s="2336" customFormat="1">
      <c r="A216" s="2340" t="s">
        <v>383</v>
      </c>
      <c r="B216" s="2340" t="str">
        <f>VLOOKUP(A216,DG!A:C,3,0)</f>
        <v>Chụp đầu cực LA</v>
      </c>
      <c r="D216" s="2365"/>
      <c r="E216" s="2374" t="s">
        <v>5049</v>
      </c>
      <c r="F216" s="2366" t="s">
        <v>5050</v>
      </c>
      <c r="G216" s="2369">
        <v>1</v>
      </c>
      <c r="H216" s="2369">
        <v>1</v>
      </c>
      <c r="I216" s="2309"/>
      <c r="J216" s="2309"/>
      <c r="K216" s="2335"/>
      <c r="N216" s="2350"/>
    </row>
    <row r="217" spans="1:14" s="2336" customFormat="1">
      <c r="A217" s="2340" t="s">
        <v>384</v>
      </c>
      <c r="B217" s="2340" t="str">
        <f>VLOOKUP(A217,DG!A:C,3,0)</f>
        <v>Chụp đầu MBA</v>
      </c>
      <c r="D217" s="2365"/>
      <c r="E217" s="2374" t="s">
        <v>5051</v>
      </c>
      <c r="F217" s="2366" t="s">
        <v>5050</v>
      </c>
      <c r="G217" s="2369">
        <v>1</v>
      </c>
      <c r="H217" s="2369">
        <v>1</v>
      </c>
      <c r="I217" s="2309"/>
      <c r="J217" s="2309"/>
      <c r="K217" s="2335"/>
      <c r="N217" s="2350"/>
    </row>
    <row r="218" spans="1:14" s="2336" customFormat="1">
      <c r="A218" s="2340" t="e">
        <v>#N/A</v>
      </c>
      <c r="B218" s="2340" t="e">
        <f>VLOOKUP(A218,DG!A:C,3,0)</f>
        <v>#N/A</v>
      </c>
      <c r="C218" s="2340" t="e">
        <f>VLOOKUP(E218,DG!C:J,8,0)</f>
        <v>#N/A</v>
      </c>
      <c r="D218" s="2365">
        <v>30</v>
      </c>
      <c r="E218" s="2450" t="s">
        <v>5052</v>
      </c>
      <c r="F218" s="2365" t="s">
        <v>2394</v>
      </c>
      <c r="G218" s="2368">
        <v>1</v>
      </c>
      <c r="H218" s="2368">
        <v>1</v>
      </c>
      <c r="I218" s="2309"/>
      <c r="J218" s="2309"/>
      <c r="K218" s="2335"/>
      <c r="N218" s="2350"/>
    </row>
    <row r="219" spans="1:14" s="2336" customFormat="1">
      <c r="A219" s="2340" t="s">
        <v>4482</v>
      </c>
      <c r="B219" s="2340" t="str">
        <f>VLOOKUP(A219,DG!A:C,3,0)</f>
        <v>Cáp 24KV CX-25mm2</v>
      </c>
      <c r="D219" s="2365"/>
      <c r="E219" s="2374" t="s">
        <v>5053</v>
      </c>
      <c r="F219" s="2366" t="s">
        <v>1829</v>
      </c>
      <c r="G219" s="2368">
        <v>3</v>
      </c>
      <c r="H219" s="2368">
        <v>3</v>
      </c>
      <c r="I219" s="2309"/>
      <c r="J219" s="2309"/>
      <c r="K219" s="2335"/>
      <c r="N219" s="2350"/>
    </row>
    <row r="220" spans="1:14" s="2336" customFormat="1">
      <c r="A220" s="2340" t="e">
        <v>#N/A</v>
      </c>
      <c r="B220" s="2340" t="e">
        <f>VLOOKUP(A220,DG!A:C,3,0)</f>
        <v>#N/A</v>
      </c>
      <c r="D220" s="2365"/>
      <c r="E220" s="2374" t="s">
        <v>5054</v>
      </c>
      <c r="F220" s="2366" t="s">
        <v>1829</v>
      </c>
      <c r="G220" s="2368">
        <v>3</v>
      </c>
      <c r="H220" s="2368">
        <v>3</v>
      </c>
      <c r="I220" s="2309"/>
      <c r="J220" s="2309"/>
      <c r="K220" s="2335"/>
      <c r="N220" s="2350"/>
    </row>
    <row r="221" spans="1:14" s="2336" customFormat="1">
      <c r="A221" s="2340" t="s">
        <v>5185</v>
      </c>
      <c r="B221" s="2340" t="str">
        <f>VLOOKUP(A221,DG!A:C,3,0)</f>
        <v>Kẹp hotline 2/0</v>
      </c>
      <c r="D221" s="2365"/>
      <c r="E221" s="2374" t="s">
        <v>5055</v>
      </c>
      <c r="F221" s="2366" t="s">
        <v>3468</v>
      </c>
      <c r="G221" s="2368">
        <v>1</v>
      </c>
      <c r="H221" s="2368">
        <v>1</v>
      </c>
      <c r="I221" s="2309"/>
      <c r="J221" s="2309"/>
      <c r="K221" s="2335"/>
      <c r="N221" s="2350"/>
    </row>
    <row r="222" spans="1:14" s="2336" customFormat="1">
      <c r="A222" s="2340" t="e">
        <v>#N/A</v>
      </c>
      <c r="B222" s="2340" t="e">
        <f>VLOOKUP(A222,DG!A:C,3,0)</f>
        <v>#N/A</v>
      </c>
      <c r="D222" s="2365"/>
      <c r="E222" s="2374" t="s">
        <v>5056</v>
      </c>
      <c r="F222" s="2366" t="s">
        <v>3468</v>
      </c>
      <c r="G222" s="2368">
        <v>1</v>
      </c>
      <c r="H222" s="2368">
        <v>1</v>
      </c>
      <c r="I222" s="2309"/>
      <c r="J222" s="2309"/>
      <c r="K222" s="2335"/>
      <c r="N222" s="2350"/>
    </row>
    <row r="223" spans="1:14" s="2336" customFormat="1">
      <c r="A223" s="2340" t="e">
        <v>#N/A</v>
      </c>
      <c r="B223" s="2340" t="e">
        <f>VLOOKUP(A223,DG!A:C,3,0)</f>
        <v>#N/A</v>
      </c>
      <c r="C223" s="2340" t="e">
        <f>VLOOKUP(E223,DG!C:J,8,0)</f>
        <v>#N/A</v>
      </c>
      <c r="D223" s="2365">
        <v>33</v>
      </c>
      <c r="E223" s="2450" t="s">
        <v>5057</v>
      </c>
      <c r="F223" s="2365" t="s">
        <v>2394</v>
      </c>
      <c r="G223" s="2378">
        <v>1</v>
      </c>
      <c r="H223" s="2378">
        <v>1</v>
      </c>
      <c r="I223" s="2309"/>
      <c r="J223" s="2309"/>
      <c r="K223" s="2335"/>
      <c r="N223" s="2350"/>
    </row>
    <row r="224" spans="1:14" s="2336" customFormat="1">
      <c r="A224" s="2340" t="s">
        <v>34</v>
      </c>
      <c r="B224" s="2340" t="str">
        <f>VLOOKUP(A224,DG!A:C,3,0)</f>
        <v>Cáp đồng bọc CV150</v>
      </c>
      <c r="D224" s="2365"/>
      <c r="E224" s="2374" t="s">
        <v>5058</v>
      </c>
      <c r="F224" s="2366" t="s">
        <v>1829</v>
      </c>
      <c r="G224" s="2379">
        <v>20</v>
      </c>
      <c r="H224" s="2379">
        <v>20</v>
      </c>
      <c r="I224" s="2309"/>
      <c r="J224" s="2309"/>
      <c r="K224" s="2335"/>
      <c r="N224" s="2350"/>
    </row>
    <row r="225" spans="1:14" s="2336" customFormat="1">
      <c r="A225" s="2340" t="s">
        <v>60</v>
      </c>
      <c r="B225" s="2340" t="str">
        <f>VLOOKUP(A225,DG!A:C,3,0)</f>
        <v>Cáp đồng bọc CV35</v>
      </c>
      <c r="D225" s="2365"/>
      <c r="E225" s="2374" t="s">
        <v>5059</v>
      </c>
      <c r="F225" s="2366" t="s">
        <v>1829</v>
      </c>
      <c r="G225" s="2368">
        <v>10</v>
      </c>
      <c r="H225" s="2368">
        <v>10</v>
      </c>
      <c r="I225" s="2309"/>
      <c r="J225" s="2309"/>
      <c r="K225" s="2335"/>
      <c r="N225" s="2350"/>
    </row>
    <row r="226" spans="1:14" s="2336" customFormat="1">
      <c r="A226" s="2340" t="e">
        <v>#N/A</v>
      </c>
      <c r="B226" s="2340" t="e">
        <f>VLOOKUP(A226,DG!A:C,3,0)</f>
        <v>#N/A</v>
      </c>
      <c r="D226" s="2365"/>
      <c r="E226" s="2374" t="s">
        <v>5060</v>
      </c>
      <c r="F226" s="2366" t="s">
        <v>1829</v>
      </c>
      <c r="G226" s="2368">
        <v>30</v>
      </c>
      <c r="H226" s="2368">
        <v>30</v>
      </c>
      <c r="I226" s="2309"/>
      <c r="J226" s="2309"/>
      <c r="K226" s="2335"/>
      <c r="N226" s="2350"/>
    </row>
    <row r="227" spans="1:14" s="2336" customFormat="1">
      <c r="A227" s="79" t="s">
        <v>1828</v>
      </c>
      <c r="B227" s="2340" t="str">
        <f>VLOOKUP(A227,DG!A:C,3,0)</f>
        <v xml:space="preserve">Cáp CVV 4x2,5mm2  </v>
      </c>
      <c r="D227" s="2365"/>
      <c r="E227" s="2374" t="s">
        <v>5061</v>
      </c>
      <c r="F227" s="2366" t="s">
        <v>1829</v>
      </c>
      <c r="G227" s="2368">
        <v>4</v>
      </c>
      <c r="H227" s="2368">
        <v>4</v>
      </c>
      <c r="I227" s="2309"/>
      <c r="J227" s="2309"/>
      <c r="K227" s="2335"/>
      <c r="N227" s="2350"/>
    </row>
    <row r="228" spans="1:14" s="2336" customFormat="1">
      <c r="A228" s="2340" t="s">
        <v>0</v>
      </c>
      <c r="B228" s="2340" t="str">
        <f>VLOOKUP(A228,DG!A:C,3,0)</f>
        <v>Đầu cosse ép Cu 150mm2</v>
      </c>
      <c r="D228" s="2365"/>
      <c r="E228" s="2374" t="s">
        <v>5062</v>
      </c>
      <c r="F228" s="2366" t="s">
        <v>3468</v>
      </c>
      <c r="G228" s="2368">
        <v>2</v>
      </c>
      <c r="H228" s="2368">
        <v>2</v>
      </c>
      <c r="I228" s="2309"/>
      <c r="J228" s="2309"/>
      <c r="K228" s="2335"/>
      <c r="N228" s="2350"/>
    </row>
    <row r="229" spans="1:14" s="2336" customFormat="1">
      <c r="A229" s="2340" t="s">
        <v>377</v>
      </c>
      <c r="B229" s="2340" t="str">
        <f>VLOOKUP(A229,DG!A:C,3,0)</f>
        <v>Đầu cosse ép Cu 35mm2</v>
      </c>
      <c r="D229" s="2365"/>
      <c r="E229" s="2374" t="s">
        <v>5063</v>
      </c>
      <c r="F229" s="2366" t="s">
        <v>3468</v>
      </c>
      <c r="G229" s="2368">
        <v>1</v>
      </c>
      <c r="H229" s="2368">
        <v>1</v>
      </c>
      <c r="I229" s="2309"/>
      <c r="J229" s="2309"/>
      <c r="K229" s="2335"/>
      <c r="N229" s="2350"/>
    </row>
    <row r="230" spans="1:14" s="2336" customFormat="1">
      <c r="A230" s="2340" t="s">
        <v>1494</v>
      </c>
      <c r="B230" s="2340" t="str">
        <f>VLOOKUP(A230,DG!A:C,3,0)</f>
        <v xml:space="preserve">Ống PVC D90x3,8mm </v>
      </c>
      <c r="D230" s="2365"/>
      <c r="E230" s="2374" t="s">
        <v>5064</v>
      </c>
      <c r="F230" s="2366" t="s">
        <v>1829</v>
      </c>
      <c r="G230" s="2368">
        <v>8</v>
      </c>
      <c r="H230" s="2368">
        <v>8</v>
      </c>
      <c r="I230" s="2309"/>
      <c r="J230" s="2309"/>
      <c r="K230" s="2335"/>
      <c r="N230" s="2350"/>
    </row>
    <row r="231" spans="1:14" s="2336" customFormat="1" ht="27.6">
      <c r="A231" s="2340" t="s">
        <v>5186</v>
      </c>
      <c r="B231" s="2340" t="str">
        <f>VLOOKUP(A231,DG!A:C,3,0)</f>
        <v>Côllier 30x3 (290-320)</v>
      </c>
      <c r="D231" s="2365"/>
      <c r="E231" s="2374" t="s">
        <v>5065</v>
      </c>
      <c r="F231" s="2366" t="s">
        <v>2448</v>
      </c>
      <c r="G231" s="2368">
        <v>3</v>
      </c>
      <c r="H231" s="2368">
        <v>3</v>
      </c>
      <c r="I231" s="2309"/>
      <c r="J231" s="2309"/>
      <c r="K231" s="2335"/>
      <c r="N231" s="2350"/>
    </row>
    <row r="232" spans="1:14" s="2336" customFormat="1">
      <c r="A232" s="2340" t="s">
        <v>86</v>
      </c>
      <c r="B232" s="2340" t="str">
        <f>VLOOKUP(A232,DG!A:C,3,0)</f>
        <v>Co  90 độ PVC 90</v>
      </c>
      <c r="D232" s="2365"/>
      <c r="E232" s="2374" t="s">
        <v>5066</v>
      </c>
      <c r="F232" s="2366" t="s">
        <v>3468</v>
      </c>
      <c r="G232" s="2368">
        <v>2</v>
      </c>
      <c r="H232" s="2368">
        <v>2</v>
      </c>
      <c r="I232" s="2309"/>
      <c r="J232" s="2309"/>
      <c r="K232" s="2335"/>
      <c r="N232" s="2350"/>
    </row>
    <row r="233" spans="1:14" s="2336" customFormat="1">
      <c r="A233" s="2340" t="s">
        <v>727</v>
      </c>
      <c r="B233" s="2340" t="str">
        <f>VLOOKUP(A233,DG!A:C,3,0)</f>
        <v xml:space="preserve">Nối thẳng ống PVC 90 </v>
      </c>
      <c r="D233" s="2365"/>
      <c r="E233" s="2374" t="s">
        <v>5067</v>
      </c>
      <c r="F233" s="2366" t="s">
        <v>3468</v>
      </c>
      <c r="G233" s="2368">
        <v>1</v>
      </c>
      <c r="H233" s="2368">
        <v>1</v>
      </c>
      <c r="I233" s="2309"/>
      <c r="J233" s="2309"/>
      <c r="K233" s="2335"/>
      <c r="N233" s="2350"/>
    </row>
    <row r="234" spans="1:14" s="2336" customFormat="1">
      <c r="A234" s="2340" t="s">
        <v>5187</v>
      </c>
      <c r="B234" s="2340" t="str">
        <f>VLOOKUP(A234,DG!A:C,3,0)</f>
        <v>Keo dán ống PVC (500gr)</v>
      </c>
      <c r="D234" s="2365"/>
      <c r="E234" s="2374" t="s">
        <v>5068</v>
      </c>
      <c r="F234" s="2366" t="s">
        <v>3591</v>
      </c>
      <c r="G234" s="2368">
        <v>1</v>
      </c>
      <c r="H234" s="2368">
        <v>1</v>
      </c>
      <c r="I234" s="2309"/>
      <c r="J234" s="2309"/>
      <c r="K234" s="2335"/>
      <c r="N234" s="2350"/>
    </row>
    <row r="235" spans="1:14" s="2336" customFormat="1">
      <c r="A235" s="2340" t="s">
        <v>1181</v>
      </c>
      <c r="B235" s="2340" t="str">
        <f>VLOOKUP(A235,DG!A:C,3,0)</f>
        <v>Keo silicon bít miệng ống</v>
      </c>
      <c r="D235" s="2365"/>
      <c r="E235" s="2374" t="s">
        <v>5069</v>
      </c>
      <c r="F235" s="2366" t="s">
        <v>3591</v>
      </c>
      <c r="G235" s="2368">
        <v>1</v>
      </c>
      <c r="H235" s="2368">
        <v>1</v>
      </c>
      <c r="I235" s="2309"/>
      <c r="J235" s="2309"/>
      <c r="K235" s="2335"/>
      <c r="N235" s="2350"/>
    </row>
    <row r="236" spans="1:14" s="2336" customFormat="1">
      <c r="A236" s="2340" t="s">
        <v>5188</v>
      </c>
      <c r="B236" s="2340" t="str">
        <f>VLOOKUP(A236,DG!A:C,3,0)</f>
        <v>Băng keo cách điện</v>
      </c>
      <c r="D236" s="2365"/>
      <c r="E236" s="2374" t="s">
        <v>5070</v>
      </c>
      <c r="F236" s="2366" t="s">
        <v>3468</v>
      </c>
      <c r="G236" s="2368">
        <v>1</v>
      </c>
      <c r="H236" s="2368">
        <v>1</v>
      </c>
      <c r="I236" s="2309"/>
      <c r="J236" s="2309"/>
      <c r="K236" s="2335"/>
      <c r="N236" s="2350"/>
    </row>
    <row r="237" spans="1:14" s="2336" customFormat="1">
      <c r="A237" s="2340" t="s">
        <v>1221</v>
      </c>
      <c r="B237" s="2340" t="str">
        <f>VLOOKUP(A237,DG!A:C,3,0)</f>
        <v>Bảng tên trạm, bảng báo nguy hiểm + đinh vít</v>
      </c>
      <c r="D237" s="2365"/>
      <c r="E237" s="2374" t="s">
        <v>5071</v>
      </c>
      <c r="F237" s="2366" t="s">
        <v>2448</v>
      </c>
      <c r="G237" s="2368">
        <v>1</v>
      </c>
      <c r="H237" s="2368">
        <v>1</v>
      </c>
      <c r="I237" s="2309"/>
      <c r="J237" s="2309"/>
      <c r="K237" s="2335"/>
      <c r="N237" s="2350"/>
    </row>
    <row r="238" spans="1:14" s="2336" customFormat="1">
      <c r="A238" s="2340" t="e">
        <v>#N/A</v>
      </c>
      <c r="B238" s="2340" t="e">
        <f>VLOOKUP(A238,DG!A:C,3,0)</f>
        <v>#N/A</v>
      </c>
      <c r="D238" s="2365"/>
      <c r="E238" s="2374" t="s">
        <v>5072</v>
      </c>
      <c r="F238" s="2366" t="s">
        <v>1829</v>
      </c>
      <c r="G238" s="2369">
        <v>8</v>
      </c>
      <c r="H238" s="2369">
        <v>8</v>
      </c>
      <c r="I238" s="2309"/>
      <c r="J238" s="2309"/>
      <c r="K238" s="2335"/>
      <c r="N238" s="2350"/>
    </row>
    <row r="239" spans="1:14" s="2336" customFormat="1">
      <c r="A239" s="2340" t="e">
        <v>#N/A</v>
      </c>
      <c r="B239" s="2340" t="e">
        <f>VLOOKUP(A239,DG!A:C,3,0)</f>
        <v>#N/A</v>
      </c>
      <c r="D239" s="2365"/>
      <c r="E239" s="2374" t="s">
        <v>5073</v>
      </c>
      <c r="F239" s="2366" t="s">
        <v>2448</v>
      </c>
      <c r="G239" s="2368">
        <v>2</v>
      </c>
      <c r="H239" s="2368">
        <v>2</v>
      </c>
      <c r="I239" s="2309"/>
      <c r="J239" s="2309"/>
      <c r="K239" s="2335"/>
      <c r="N239" s="2350"/>
    </row>
    <row r="240" spans="1:14" s="2336" customFormat="1">
      <c r="A240" s="2340" t="e">
        <v>#N/A</v>
      </c>
      <c r="B240" s="2340" t="e">
        <f>VLOOKUP(A240,DG!A:C,3,0)</f>
        <v>#N/A</v>
      </c>
      <c r="D240" s="2365"/>
      <c r="E240" s="2374" t="s">
        <v>5074</v>
      </c>
      <c r="F240" s="2366" t="s">
        <v>2448</v>
      </c>
      <c r="G240" s="2368">
        <v>1</v>
      </c>
      <c r="H240" s="2368">
        <v>1</v>
      </c>
      <c r="I240" s="2309"/>
      <c r="J240" s="2309"/>
      <c r="K240" s="2335"/>
      <c r="N240" s="2350"/>
    </row>
    <row r="241" spans="1:14" s="2336" customFormat="1">
      <c r="A241" s="2340" t="e">
        <v>#N/A</v>
      </c>
      <c r="B241" s="2340" t="e">
        <f>VLOOKUP(A241,DG!A:C,3,0)</f>
        <v>#N/A</v>
      </c>
      <c r="C241" s="2340" t="e">
        <f>VLOOKUP(E241,DG!C:J,8,0)</f>
        <v>#N/A</v>
      </c>
      <c r="D241" s="2365">
        <v>31</v>
      </c>
      <c r="E241" s="2450" t="s">
        <v>5075</v>
      </c>
      <c r="F241" s="2365" t="s">
        <v>2394</v>
      </c>
      <c r="G241" s="2368">
        <v>1</v>
      </c>
      <c r="H241" s="2368">
        <v>1</v>
      </c>
      <c r="I241" s="2309"/>
      <c r="J241" s="2309"/>
      <c r="K241" s="2335"/>
      <c r="N241" s="2350"/>
    </row>
    <row r="242" spans="1:14" s="2336" customFormat="1">
      <c r="A242" s="2340" t="s">
        <v>5191</v>
      </c>
      <c r="B242" s="2340" t="e">
        <f>VLOOKUP(A242,DG!A:C,3,0)</f>
        <v>#N/A</v>
      </c>
      <c r="D242" s="2365"/>
      <c r="E242" s="2374" t="s">
        <v>5076</v>
      </c>
      <c r="F242" s="2366" t="s">
        <v>1829</v>
      </c>
      <c r="G242" s="2370">
        <v>19.38</v>
      </c>
      <c r="H242" s="2370">
        <v>19.38</v>
      </c>
      <c r="I242" s="2309"/>
      <c r="J242" s="2309"/>
      <c r="K242" s="2335"/>
      <c r="N242" s="2350"/>
    </row>
    <row r="243" spans="1:14" s="2336" customFormat="1">
      <c r="A243" s="2340" t="e">
        <v>#N/A</v>
      </c>
      <c r="B243" s="2340" t="e">
        <f>VLOOKUP(A243,DG!A:C,3,0)</f>
        <v>#N/A</v>
      </c>
      <c r="D243" s="2365"/>
      <c r="E243" s="2374" t="s">
        <v>5054</v>
      </c>
      <c r="F243" s="2366" t="s">
        <v>1829</v>
      </c>
      <c r="G243" s="2370">
        <v>19.38</v>
      </c>
      <c r="H243" s="2370">
        <v>19.38</v>
      </c>
      <c r="I243" s="2309"/>
      <c r="J243" s="2309"/>
      <c r="K243" s="2335"/>
      <c r="N243" s="2350"/>
    </row>
    <row r="244" spans="1:14" s="2336" customFormat="1">
      <c r="A244" s="2340" t="s">
        <v>4767</v>
      </c>
      <c r="B244" s="2340" t="str">
        <f>VLOOKUP(A244,DG!A:C,3,0)</f>
        <v>Cáp nhôm lõi thép AC-50/8</v>
      </c>
      <c r="D244" s="2365"/>
      <c r="E244" s="2374" t="s">
        <v>5077</v>
      </c>
      <c r="F244" s="2366" t="s">
        <v>1829</v>
      </c>
      <c r="G244" s="2370">
        <v>31.62</v>
      </c>
      <c r="H244" s="2370">
        <v>31.62</v>
      </c>
      <c r="I244" s="2309"/>
      <c r="J244" s="2309"/>
      <c r="K244" s="2335"/>
      <c r="N244" s="2350"/>
    </row>
    <row r="245" spans="1:14" s="2336" customFormat="1">
      <c r="A245" s="2340" t="e">
        <v>#N/A</v>
      </c>
      <c r="B245" s="2340" t="e">
        <f>VLOOKUP(A245,DG!A:C,3,0)</f>
        <v>#N/A</v>
      </c>
      <c r="D245" s="2365"/>
      <c r="E245" s="2374" t="s">
        <v>5078</v>
      </c>
      <c r="F245" s="2366" t="s">
        <v>2044</v>
      </c>
      <c r="G245" s="2380">
        <v>3.1620000000000002E-2</v>
      </c>
      <c r="H245" s="2380">
        <v>3.1620000000000002E-2</v>
      </c>
      <c r="I245" s="2309"/>
      <c r="J245" s="2309"/>
      <c r="K245" s="2335"/>
      <c r="N245" s="2350"/>
    </row>
    <row r="246" spans="1:14" s="2336" customFormat="1">
      <c r="A246" s="2340" t="e">
        <v>#N/A</v>
      </c>
      <c r="B246" s="2340" t="e">
        <f>VLOOKUP(A246,DG!A:C,3,0)</f>
        <v>#N/A</v>
      </c>
      <c r="D246" s="2365"/>
      <c r="E246" s="2374" t="s">
        <v>5056</v>
      </c>
      <c r="F246" s="2366" t="s">
        <v>3468</v>
      </c>
      <c r="G246" s="2368">
        <v>4</v>
      </c>
      <c r="H246" s="2368">
        <v>4</v>
      </c>
      <c r="I246" s="2309"/>
      <c r="J246" s="2309"/>
      <c r="K246" s="2335"/>
      <c r="N246" s="2350"/>
    </row>
    <row r="247" spans="1:14" s="2336" customFormat="1">
      <c r="A247" s="2340" t="s">
        <v>1031</v>
      </c>
      <c r="B247" s="2340" t="str">
        <f>VLOOKUP(A247,DG!A:C,3,0)</f>
        <v>Sứ treo polymer</v>
      </c>
      <c r="D247" s="2365"/>
      <c r="E247" s="2374" t="s">
        <v>5079</v>
      </c>
      <c r="F247" s="2366" t="s">
        <v>2521</v>
      </c>
      <c r="G247" s="2368">
        <v>4</v>
      </c>
      <c r="H247" s="2368">
        <v>4</v>
      </c>
      <c r="I247" s="2309"/>
      <c r="J247" s="2309"/>
      <c r="K247" s="2335"/>
      <c r="N247" s="2350"/>
    </row>
    <row r="248" spans="1:14" s="2336" customFormat="1">
      <c r="A248" s="2340" t="e">
        <v>#N/A</v>
      </c>
      <c r="B248" s="2340" t="e">
        <f>VLOOKUP(A248,DG!A:C,3,0)</f>
        <v>#N/A</v>
      </c>
      <c r="D248" s="2365"/>
      <c r="E248" s="2374" t="s">
        <v>5080</v>
      </c>
      <c r="F248" s="2366" t="s">
        <v>2566</v>
      </c>
      <c r="G248" s="2368">
        <v>4</v>
      </c>
      <c r="H248" s="2368">
        <v>4</v>
      </c>
      <c r="I248" s="2309"/>
      <c r="J248" s="2309"/>
      <c r="K248" s="2335"/>
      <c r="N248" s="2350"/>
    </row>
    <row r="249" spans="1:14" s="2336" customFormat="1">
      <c r="A249" s="2340" t="s">
        <v>1491</v>
      </c>
      <c r="B249" s="2340" t="str">
        <f>VLOOKUP(A249,DG!A:C,3,0)</f>
        <v xml:space="preserve">Móc treo chữ U </v>
      </c>
      <c r="D249" s="2365"/>
      <c r="E249" s="2374" t="s">
        <v>2932</v>
      </c>
      <c r="F249" s="2366" t="s">
        <v>2566</v>
      </c>
      <c r="G249" s="2369">
        <v>4</v>
      </c>
      <c r="H249" s="2369">
        <v>4</v>
      </c>
      <c r="I249" s="2309"/>
      <c r="J249" s="2309"/>
      <c r="K249" s="2335"/>
      <c r="N249" s="2350"/>
    </row>
    <row r="250" spans="1:14" s="2336" customFormat="1">
      <c r="A250" s="2340" t="s">
        <v>5192</v>
      </c>
      <c r="B250" s="2340" t="str">
        <f>VLOOKUP(A250,DG!A:C,3,0)</f>
        <v>Kẹo dừng 3 U</v>
      </c>
      <c r="D250" s="2365"/>
      <c r="E250" s="2374" t="s">
        <v>5081</v>
      </c>
      <c r="F250" s="2366" t="s">
        <v>2566</v>
      </c>
      <c r="G250" s="2369">
        <v>4</v>
      </c>
      <c r="H250" s="2369">
        <v>4</v>
      </c>
      <c r="I250" s="2309"/>
      <c r="J250" s="2309"/>
      <c r="K250" s="2335"/>
      <c r="N250" s="2350"/>
    </row>
    <row r="251" spans="1:14" s="2336" customFormat="1">
      <c r="A251" s="2340" t="s">
        <v>5193</v>
      </c>
      <c r="B251" s="2340" t="str">
        <f>VLOOKUP(A251,DG!A:C,3,0)</f>
        <v>Kẹo dừng 5 U</v>
      </c>
      <c r="D251" s="2365"/>
      <c r="E251" s="2374" t="s">
        <v>5082</v>
      </c>
      <c r="F251" s="2366" t="s">
        <v>2566</v>
      </c>
      <c r="G251" s="2368">
        <v>4</v>
      </c>
      <c r="H251" s="2368">
        <v>4</v>
      </c>
      <c r="I251" s="2309"/>
      <c r="J251" s="2309"/>
      <c r="K251" s="2335"/>
      <c r="N251" s="2350"/>
    </row>
    <row r="252" spans="1:14" s="2336" customFormat="1">
      <c r="A252" s="2340" t="s">
        <v>1584</v>
      </c>
      <c r="B252" s="2340" t="str">
        <f>VLOOKUP(A252,DG!A:C,3,0)</f>
        <v>Kẹp ép WR cỡ dây 50mm2</v>
      </c>
      <c r="D252" s="2365"/>
      <c r="E252" s="2374" t="s">
        <v>2892</v>
      </c>
      <c r="F252" s="2366" t="s">
        <v>2566</v>
      </c>
      <c r="G252" s="2368">
        <v>6</v>
      </c>
      <c r="H252" s="2368">
        <v>6</v>
      </c>
      <c r="I252" s="2309"/>
      <c r="J252" s="2309"/>
      <c r="K252" s="2335"/>
      <c r="N252" s="2350"/>
    </row>
    <row r="253" spans="1:14" s="2336" customFormat="1">
      <c r="A253" s="2340" t="s">
        <v>1484</v>
      </c>
      <c r="B253" s="2340" t="str">
        <f>VLOOKUP(A253,DG!A:C,3,0)</f>
        <v>Kẹp quai 2/0</v>
      </c>
      <c r="D253" s="2365"/>
      <c r="E253" s="2374" t="s">
        <v>3815</v>
      </c>
      <c r="F253" s="2366" t="s">
        <v>2566</v>
      </c>
      <c r="G253" s="2368">
        <v>1</v>
      </c>
      <c r="H253" s="2368">
        <v>1</v>
      </c>
      <c r="I253" s="2309"/>
      <c r="J253" s="2309"/>
      <c r="K253" s="2335"/>
      <c r="N253" s="2350"/>
    </row>
    <row r="254" spans="1:14" s="2336" customFormat="1">
      <c r="A254" s="2340" t="s">
        <v>5185</v>
      </c>
      <c r="B254" s="2340" t="str">
        <f>VLOOKUP(A254,DG!A:C,3,0)</f>
        <v>Kẹp hotline 2/0</v>
      </c>
      <c r="D254" s="2365"/>
      <c r="E254" s="2374" t="s">
        <v>1739</v>
      </c>
      <c r="F254" s="2366" t="s">
        <v>2566</v>
      </c>
      <c r="G254" s="2368">
        <v>1</v>
      </c>
      <c r="H254" s="2368">
        <v>1</v>
      </c>
      <c r="I254" s="2309"/>
      <c r="J254" s="2309"/>
      <c r="K254" s="2335"/>
      <c r="N254" s="2350"/>
    </row>
    <row r="255" spans="1:14" s="2336" customFormat="1">
      <c r="A255" s="2340" t="s">
        <v>5196</v>
      </c>
      <c r="B255" s="2340" t="str">
        <f>VLOOKUP(A255,DG!A:C,3,0)</f>
        <v>Boulon mắt 16x300+ 2 long đền vuông D18-50x50x3/Zn</v>
      </c>
      <c r="D255" s="2365"/>
      <c r="E255" s="2374" t="s">
        <v>5083</v>
      </c>
      <c r="F255" s="2366" t="s">
        <v>2566</v>
      </c>
      <c r="G255" s="2368">
        <v>2</v>
      </c>
      <c r="H255" s="2368">
        <v>2</v>
      </c>
      <c r="I255" s="2309"/>
      <c r="J255" s="2309"/>
      <c r="K255" s="2335"/>
      <c r="N255" s="2350"/>
    </row>
    <row r="256" spans="1:14" s="2336" customFormat="1">
      <c r="A256" s="2340" t="s">
        <v>5197</v>
      </c>
      <c r="B256" s="2340" t="str">
        <f>VLOOKUP(A256,DG!A:C,3,0)</f>
        <v>Boulon mắt 16x350+ 2 long đền vuông D18-50x50x3/Zn</v>
      </c>
      <c r="D256" s="2365"/>
      <c r="E256" s="2374" t="s">
        <v>5084</v>
      </c>
      <c r="F256" s="2366" t="s">
        <v>2566</v>
      </c>
      <c r="G256" s="2368">
        <v>2</v>
      </c>
      <c r="H256" s="2368">
        <v>2</v>
      </c>
      <c r="I256" s="2309"/>
      <c r="J256" s="2309"/>
      <c r="K256" s="2335"/>
      <c r="N256" s="2350"/>
    </row>
    <row r="257" spans="1:14" s="2336" customFormat="1">
      <c r="A257" s="2340" t="e">
        <v>#N/A</v>
      </c>
      <c r="B257" s="2340" t="e">
        <f>VLOOKUP(A257,DG!A:C,3,0)</f>
        <v>#N/A</v>
      </c>
      <c r="C257" s="2340" t="e">
        <f>VLOOKUP(E257,DG!C:J,8,0)</f>
        <v>#N/A</v>
      </c>
      <c r="D257" s="2365">
        <v>32</v>
      </c>
      <c r="E257" s="2450" t="s">
        <v>5085</v>
      </c>
      <c r="F257" s="2365" t="s">
        <v>2448</v>
      </c>
      <c r="G257" s="2381">
        <v>2</v>
      </c>
      <c r="H257" s="2381">
        <v>2</v>
      </c>
      <c r="I257" s="2309"/>
      <c r="J257" s="2309"/>
      <c r="K257" s="2335"/>
      <c r="N257" s="2350"/>
    </row>
    <row r="258" spans="1:14" s="2336" customFormat="1">
      <c r="A258" s="2340" t="s">
        <v>1025</v>
      </c>
      <c r="B258" s="2340" t="str">
        <f>VLOOKUP(A258,DG!A:C,3,0)</f>
        <v>Cáp thép 3/8"</v>
      </c>
      <c r="D258" s="2365"/>
      <c r="E258" s="2374" t="s">
        <v>5086</v>
      </c>
      <c r="F258" s="2366" t="s">
        <v>2256</v>
      </c>
      <c r="G258" s="2370">
        <v>9.48</v>
      </c>
      <c r="H258" s="2370">
        <v>9.48</v>
      </c>
      <c r="I258" s="2309"/>
      <c r="J258" s="2309"/>
      <c r="K258" s="2335"/>
      <c r="N258" s="2350"/>
    </row>
    <row r="259" spans="1:14" s="2336" customFormat="1">
      <c r="A259" s="2340" t="s">
        <v>111</v>
      </c>
      <c r="B259" s="2340" t="str">
        <f>VLOOKUP(A259,DG!A:C,3,0)</f>
        <v>Sứ chằng</v>
      </c>
      <c r="D259" s="2365"/>
      <c r="E259" s="2374" t="s">
        <v>2959</v>
      </c>
      <c r="F259" s="2366" t="s">
        <v>2566</v>
      </c>
      <c r="G259" s="2368">
        <v>2</v>
      </c>
      <c r="H259" s="2368">
        <v>2</v>
      </c>
      <c r="I259" s="2309"/>
      <c r="J259" s="2309"/>
      <c r="K259" s="2335"/>
      <c r="N259" s="2350"/>
    </row>
    <row r="260" spans="1:14" s="2336" customFormat="1">
      <c r="A260" s="2340" t="s">
        <v>1583</v>
      </c>
      <c r="B260" s="2340" t="str">
        <f>VLOOKUP(A260,DG!A:C,3,0)</f>
        <v>Kẹp cáp 3 boulon</v>
      </c>
      <c r="D260" s="2365"/>
      <c r="E260" s="2374" t="s">
        <v>5087</v>
      </c>
      <c r="F260" s="2366" t="s">
        <v>2566</v>
      </c>
      <c r="G260" s="2368">
        <v>16</v>
      </c>
      <c r="H260" s="2368">
        <v>16</v>
      </c>
      <c r="I260" s="2309"/>
      <c r="J260" s="2309"/>
      <c r="K260" s="2335"/>
      <c r="N260" s="2350"/>
    </row>
    <row r="261" spans="1:14" s="2336" customFormat="1">
      <c r="A261" s="2340" t="s">
        <v>5196</v>
      </c>
      <c r="B261" s="2340" t="str">
        <f>VLOOKUP(A261,DG!A:C,3,0)</f>
        <v>Boulon mắt 16x300+ 2 long đền vuông D18-50x50x3/Zn</v>
      </c>
      <c r="D261" s="2365"/>
      <c r="E261" s="2374" t="s">
        <v>5088</v>
      </c>
      <c r="F261" s="2366" t="s">
        <v>2566</v>
      </c>
      <c r="G261" s="2368">
        <v>2</v>
      </c>
      <c r="H261" s="2368">
        <v>2</v>
      </c>
      <c r="I261" s="2309"/>
      <c r="J261" s="2309"/>
      <c r="K261" s="2335"/>
      <c r="N261" s="2350"/>
    </row>
    <row r="262" spans="1:14" s="2336" customFormat="1">
      <c r="A262" s="2340" t="s">
        <v>2006</v>
      </c>
      <c r="B262" s="2340" t="str">
        <f>VLOOKUP(A262,DG!A:C,3,0)</f>
        <v>Yếm cáp dày 2mm</v>
      </c>
      <c r="D262" s="2365"/>
      <c r="E262" s="2374" t="s">
        <v>5089</v>
      </c>
      <c r="F262" s="2366" t="s">
        <v>2566</v>
      </c>
      <c r="G262" s="2368">
        <v>4</v>
      </c>
      <c r="H262" s="2368">
        <v>4</v>
      </c>
      <c r="I262" s="2309"/>
      <c r="J262" s="2309"/>
      <c r="K262" s="2335"/>
      <c r="N262" s="2350"/>
    </row>
    <row r="263" spans="1:14" s="2336" customFormat="1">
      <c r="A263" s="2340" t="s">
        <v>5200</v>
      </c>
      <c r="B263" s="2340" t="str">
        <f>VLOOKUP(A263,DG!A:C,3,0)</f>
        <v>Máng che dây chằng dày 1,6mm</v>
      </c>
      <c r="D263" s="2365"/>
      <c r="E263" s="2374" t="s">
        <v>5090</v>
      </c>
      <c r="F263" s="2366" t="s">
        <v>2566</v>
      </c>
      <c r="G263" s="2368">
        <v>2</v>
      </c>
      <c r="H263" s="2368">
        <v>2</v>
      </c>
      <c r="I263" s="2309"/>
      <c r="J263" s="2309"/>
      <c r="K263" s="2335"/>
      <c r="N263" s="2350"/>
    </row>
    <row r="264" spans="1:14" s="2336" customFormat="1">
      <c r="A264" s="2340" t="s">
        <v>748</v>
      </c>
      <c r="B264" s="2340" t="str">
        <f>VLOOKUP(A264,DG!A:C,3,0)</f>
        <v>Ty neo Ø16x2400</v>
      </c>
      <c r="D264" s="2365"/>
      <c r="E264" s="2374" t="s">
        <v>5091</v>
      </c>
      <c r="F264" s="2366" t="s">
        <v>2566</v>
      </c>
      <c r="G264" s="2368">
        <v>2</v>
      </c>
      <c r="H264" s="2368">
        <v>2</v>
      </c>
      <c r="I264" s="2309"/>
      <c r="J264" s="2309"/>
      <c r="K264" s="2335"/>
      <c r="N264" s="2350"/>
    </row>
    <row r="265" spans="1:14" s="2336" customFormat="1">
      <c r="A265" s="2340" t="s">
        <v>5201</v>
      </c>
      <c r="B265" s="2340" t="str">
        <f>VLOOKUP(A265,DG!A:C,3,0)</f>
        <v>Neo xòe 8 hướng (dày 3,2mm)</v>
      </c>
      <c r="D265" s="2365"/>
      <c r="E265" s="2374" t="s">
        <v>5092</v>
      </c>
      <c r="F265" s="2366" t="s">
        <v>2566</v>
      </c>
      <c r="G265" s="2368">
        <v>2</v>
      </c>
      <c r="H265" s="2368">
        <v>2</v>
      </c>
      <c r="I265" s="2309"/>
      <c r="J265" s="2309"/>
      <c r="K265" s="2335"/>
      <c r="N265" s="2350"/>
    </row>
    <row r="266" spans="1:14" s="2336" customFormat="1">
      <c r="A266" s="2340" t="e">
        <v>#N/A</v>
      </c>
      <c r="B266" s="2340" t="e">
        <f>VLOOKUP(A266,DG!A:C,3,0)</f>
        <v>#N/A</v>
      </c>
      <c r="C266" s="2340" t="e">
        <f>VLOOKUP(E266,DG!C:J,8,0)</f>
        <v>#N/A</v>
      </c>
      <c r="D266" s="2365">
        <v>33</v>
      </c>
      <c r="E266" s="2373" t="s">
        <v>5093</v>
      </c>
      <c r="F266" s="2366"/>
      <c r="G266" s="2368">
        <v>0</v>
      </c>
      <c r="H266" s="2368">
        <v>0</v>
      </c>
      <c r="I266" s="2309"/>
      <c r="J266" s="2309"/>
      <c r="K266" s="2335"/>
      <c r="N266" s="2350"/>
    </row>
    <row r="267" spans="1:14" s="2336" customFormat="1">
      <c r="A267" s="2340" t="e">
        <v>#N/A</v>
      </c>
      <c r="B267" s="2340" t="e">
        <f>VLOOKUP(A267,DG!A:C,3,0)</f>
        <v>#N/A</v>
      </c>
      <c r="D267" s="2365"/>
      <c r="E267" s="2374" t="s">
        <v>5094</v>
      </c>
      <c r="F267" s="2366" t="s">
        <v>3468</v>
      </c>
      <c r="G267" s="2369">
        <v>1</v>
      </c>
      <c r="H267" s="2369">
        <v>1</v>
      </c>
      <c r="I267" s="2309"/>
      <c r="J267" s="2309"/>
      <c r="K267" s="2335"/>
      <c r="N267" s="2350"/>
    </row>
    <row r="268" spans="1:14" s="2336" customFormat="1">
      <c r="A268" s="2340" t="e">
        <v>#N/A</v>
      </c>
      <c r="B268" s="2340" t="e">
        <f>VLOOKUP(A268,DG!A:C,3,0)</f>
        <v>#N/A</v>
      </c>
      <c r="D268" s="2365"/>
      <c r="E268" s="2374" t="s">
        <v>5095</v>
      </c>
      <c r="F268" s="2366" t="s">
        <v>3468</v>
      </c>
      <c r="G268" s="2369">
        <v>1</v>
      </c>
      <c r="H268" s="2369">
        <v>1</v>
      </c>
      <c r="I268" s="2309"/>
      <c r="J268" s="2309"/>
      <c r="K268" s="2335"/>
      <c r="N268" s="2350"/>
    </row>
    <row r="269" spans="1:14" s="2336" customFormat="1">
      <c r="A269" s="2340" t="s">
        <v>1378</v>
      </c>
      <c r="B269" s="2340" t="str">
        <f>VLOOKUP(A269,DG!A:C,3,0)</f>
        <v>Chống sét van LA-18KV-10KA</v>
      </c>
      <c r="D269" s="2365"/>
      <c r="E269" s="2374" t="s">
        <v>5012</v>
      </c>
      <c r="F269" s="2366" t="s">
        <v>3468</v>
      </c>
      <c r="G269" s="2369">
        <v>1</v>
      </c>
      <c r="H269" s="2369">
        <v>1</v>
      </c>
      <c r="I269" s="2309"/>
      <c r="J269" s="2309"/>
      <c r="K269" s="2335"/>
      <c r="N269" s="2350"/>
    </row>
    <row r="270" spans="1:14" s="2336" customFormat="1">
      <c r="A270" s="2340" t="e">
        <v>#N/A</v>
      </c>
      <c r="B270" s="2340" t="e">
        <f>VLOOKUP(A270,DG!A:C,3,0)</f>
        <v>#N/A</v>
      </c>
      <c r="D270" s="2365"/>
      <c r="E270" s="2374" t="s">
        <v>5096</v>
      </c>
      <c r="F270" s="2366" t="s">
        <v>5097</v>
      </c>
      <c r="G270" s="2369">
        <v>5</v>
      </c>
      <c r="H270" s="2369">
        <v>5</v>
      </c>
      <c r="I270" s="2309"/>
      <c r="J270" s="2309"/>
      <c r="K270" s="2335"/>
      <c r="N270" s="2350"/>
    </row>
    <row r="271" spans="1:14" s="2336" customFormat="1">
      <c r="A271" s="2340" t="e">
        <v>#N/A</v>
      </c>
      <c r="B271" s="2340" t="e">
        <f>VLOOKUP(A271,DG!A:C,3,0)</f>
        <v>#N/A</v>
      </c>
      <c r="D271" s="2365"/>
      <c r="E271" s="2374" t="s">
        <v>5098</v>
      </c>
      <c r="F271" s="2366" t="s">
        <v>5097</v>
      </c>
      <c r="G271" s="2368">
        <v>5</v>
      </c>
      <c r="H271" s="2368">
        <v>5</v>
      </c>
      <c r="I271" s="2309"/>
      <c r="J271" s="2309"/>
      <c r="K271" s="2335"/>
      <c r="N271" s="2350"/>
    </row>
    <row r="272" spans="1:14" s="2336" customFormat="1">
      <c r="A272" s="2340" t="e">
        <v>#N/A</v>
      </c>
      <c r="B272" s="2340" t="e">
        <f>VLOOKUP(A272,DG!A:C,3,0)</f>
        <v>#N/A</v>
      </c>
      <c r="D272" s="2365"/>
      <c r="E272" s="2374" t="s">
        <v>5099</v>
      </c>
      <c r="F272" s="2366" t="s">
        <v>3468</v>
      </c>
      <c r="G272" s="2368">
        <v>1</v>
      </c>
      <c r="H272" s="2368">
        <v>1</v>
      </c>
      <c r="I272" s="2309"/>
      <c r="J272" s="2309"/>
      <c r="K272" s="2335"/>
      <c r="N272" s="2350"/>
    </row>
    <row r="273" spans="1:14" s="2336" customFormat="1" ht="27.6">
      <c r="A273" s="2340" t="e">
        <v>#N/A</v>
      </c>
      <c r="B273" s="2340" t="e">
        <f>VLOOKUP(A273,DG!A:C,3,0)</f>
        <v>#N/A</v>
      </c>
      <c r="D273" s="2365"/>
      <c r="E273" s="2374" t="s">
        <v>5100</v>
      </c>
      <c r="F273" s="2366" t="s">
        <v>5101</v>
      </c>
      <c r="G273" s="2368">
        <v>1</v>
      </c>
      <c r="H273" s="2368">
        <v>1</v>
      </c>
      <c r="I273" s="2309"/>
      <c r="J273" s="2309"/>
      <c r="K273" s="2335"/>
      <c r="N273" s="2350"/>
    </row>
    <row r="274" spans="1:14" s="2336" customFormat="1">
      <c r="A274" s="2340" t="e">
        <v>#N/A</v>
      </c>
      <c r="B274" s="2340" t="e">
        <f>VLOOKUP(A274,DG!A:C,3,0)</f>
        <v>#N/A</v>
      </c>
      <c r="D274" s="2365"/>
      <c r="E274" s="2374" t="s">
        <v>4963</v>
      </c>
      <c r="F274" s="2366" t="s">
        <v>2521</v>
      </c>
      <c r="G274" s="2368">
        <v>4</v>
      </c>
      <c r="H274" s="2368">
        <v>4</v>
      </c>
      <c r="I274" s="2309"/>
      <c r="J274" s="2309"/>
      <c r="K274" s="2335"/>
      <c r="N274" s="2350"/>
    </row>
    <row r="275" spans="1:14" s="2336" customFormat="1">
      <c r="A275" s="2340" t="e">
        <v>#N/A</v>
      </c>
      <c r="B275" s="2340" t="e">
        <f>VLOOKUP(A275,DG!A:C,3,0)</f>
        <v>#N/A</v>
      </c>
      <c r="D275" s="2365" t="s">
        <v>1669</v>
      </c>
      <c r="E275" s="2373" t="s">
        <v>5102</v>
      </c>
      <c r="F275" s="2366"/>
      <c r="G275" s="2371"/>
      <c r="H275" s="2371"/>
      <c r="I275" s="2309"/>
      <c r="J275" s="2309"/>
      <c r="K275" s="2335"/>
      <c r="N275" s="2350"/>
    </row>
    <row r="276" spans="1:14" s="2336" customFormat="1" ht="27.6">
      <c r="A276" s="2340" t="e">
        <v>#N/A</v>
      </c>
      <c r="B276" s="2340" t="e">
        <f>VLOOKUP(A276,DG!A:C,3,0)</f>
        <v>#N/A</v>
      </c>
      <c r="D276" s="2365">
        <v>1</v>
      </c>
      <c r="E276" s="2373" t="s">
        <v>4976</v>
      </c>
      <c r="F276" s="2366"/>
      <c r="G276" s="2368"/>
      <c r="H276" s="2368"/>
      <c r="I276" s="2309"/>
      <c r="J276" s="2309"/>
      <c r="K276" s="2335"/>
      <c r="N276" s="2350"/>
    </row>
    <row r="277" spans="1:14" s="2336" customFormat="1">
      <c r="A277" s="2340"/>
      <c r="B277" s="2340" t="e">
        <f>VLOOKUP(A277,DG!A:C,3,0)</f>
        <v>#N/A</v>
      </c>
      <c r="C277" s="2336" t="s">
        <v>5174</v>
      </c>
      <c r="D277" s="2365"/>
      <c r="E277" s="2382" t="s">
        <v>5103</v>
      </c>
      <c r="F277" s="2383" t="s">
        <v>2044</v>
      </c>
      <c r="G277" s="2372">
        <v>6.0999999999999999E-2</v>
      </c>
      <c r="H277" s="2372">
        <v>6.0999999999999999E-2</v>
      </c>
      <c r="I277" s="2309"/>
      <c r="J277" s="2309"/>
      <c r="K277" s="2335"/>
      <c r="N277" s="2350"/>
    </row>
    <row r="278" spans="1:14" s="2336" customFormat="1">
      <c r="A278" s="2340" t="s">
        <v>1053</v>
      </c>
      <c r="B278" s="2340" t="str">
        <f>VLOOKUP(A278,DG!A:C,3,0)</f>
        <v>Ống nhựa đàn hồi</v>
      </c>
      <c r="D278" s="2365"/>
      <c r="E278" s="2382" t="s">
        <v>5104</v>
      </c>
      <c r="F278" s="2383" t="s">
        <v>2541</v>
      </c>
      <c r="G278" s="2368">
        <v>31</v>
      </c>
      <c r="H278" s="2368">
        <v>31</v>
      </c>
      <c r="I278" s="2309"/>
      <c r="J278" s="2309"/>
      <c r="K278" s="2335"/>
      <c r="N278" s="2350"/>
    </row>
    <row r="279" spans="1:14" s="2336" customFormat="1">
      <c r="A279" s="2340" t="e">
        <v>#N/A</v>
      </c>
      <c r="B279" s="2340" t="e">
        <f>VLOOKUP(A279,DG!A:C,3,0)</f>
        <v>#N/A</v>
      </c>
      <c r="D279" s="2365"/>
      <c r="E279" s="2382" t="s">
        <v>5105</v>
      </c>
      <c r="F279" s="2383" t="s">
        <v>2541</v>
      </c>
      <c r="G279" s="2368">
        <v>31</v>
      </c>
      <c r="H279" s="2368">
        <v>31</v>
      </c>
      <c r="I279" s="2309"/>
      <c r="J279" s="2309"/>
      <c r="K279" s="2335"/>
      <c r="N279" s="2350"/>
    </row>
    <row r="280" spans="1:14" s="2336" customFormat="1">
      <c r="A280" s="2340" t="s">
        <v>1494</v>
      </c>
      <c r="B280" s="2340" t="str">
        <f>VLOOKUP(A280,DG!A:C,3,0)</f>
        <v xml:space="preserve">Ống PVC D90x3,8mm </v>
      </c>
      <c r="D280" s="2365"/>
      <c r="E280" s="2382" t="s">
        <v>5106</v>
      </c>
      <c r="F280" s="2383" t="s">
        <v>2541</v>
      </c>
      <c r="G280" s="2368">
        <v>20</v>
      </c>
      <c r="H280" s="2368">
        <v>20</v>
      </c>
      <c r="I280" s="2309"/>
      <c r="J280" s="2309"/>
      <c r="K280" s="2335"/>
      <c r="N280" s="2350"/>
    </row>
    <row r="281" spans="1:14" s="2336" customFormat="1">
      <c r="A281" s="2340" t="e">
        <v>#N/A</v>
      </c>
      <c r="B281" s="2340" t="e">
        <f>VLOOKUP(A281,DG!A:C,3,0)</f>
        <v>#N/A</v>
      </c>
      <c r="D281" s="2365"/>
      <c r="E281" s="2382" t="s">
        <v>5107</v>
      </c>
      <c r="F281" s="2383" t="s">
        <v>2541</v>
      </c>
      <c r="G281" s="2368">
        <v>20</v>
      </c>
      <c r="H281" s="2368">
        <v>20</v>
      </c>
      <c r="I281" s="2309"/>
      <c r="J281" s="2309"/>
      <c r="K281" s="2335"/>
      <c r="N281" s="2350"/>
    </row>
    <row r="282" spans="1:14" s="2336" customFormat="1">
      <c r="A282" s="2340" t="s">
        <v>276</v>
      </c>
      <c r="B282" s="2340" t="str">
        <f>VLOOKUP(A282,DG!A:C,3,0)</f>
        <v>Cổ dê kẹp ống PVC Ø 90</v>
      </c>
      <c r="D282" s="2365"/>
      <c r="E282" s="2382" t="s">
        <v>5108</v>
      </c>
      <c r="F282" s="2383" t="s">
        <v>2448</v>
      </c>
      <c r="G282" s="2368">
        <v>4</v>
      </c>
      <c r="H282" s="2368">
        <v>4</v>
      </c>
      <c r="I282" s="2309"/>
      <c r="J282" s="2309"/>
      <c r="K282" s="2335"/>
      <c r="N282" s="2350"/>
    </row>
    <row r="283" spans="1:14" s="2336" customFormat="1">
      <c r="A283" s="2340" t="s">
        <v>1634</v>
      </c>
      <c r="B283" s="2340" t="str">
        <f>VLOOKUP(A283,DG!A:C,3,0)</f>
        <v>Giá đỡ cáp ngầm (V63x6)</v>
      </c>
      <c r="D283" s="2365"/>
      <c r="E283" s="2382" t="s">
        <v>5109</v>
      </c>
      <c r="F283" s="2383" t="s">
        <v>2448</v>
      </c>
      <c r="G283" s="2368">
        <v>2</v>
      </c>
      <c r="H283" s="2368">
        <v>2</v>
      </c>
      <c r="I283" s="2309"/>
      <c r="J283" s="2309"/>
      <c r="K283" s="2335"/>
      <c r="N283" s="2350"/>
    </row>
    <row r="284" spans="1:14" s="2336" customFormat="1" ht="18.75" customHeight="1">
      <c r="A284" s="2340" t="e">
        <v>#N/A</v>
      </c>
      <c r="B284" s="2340" t="e">
        <f>VLOOKUP(A284,DG!A:C,3,0)</f>
        <v>#N/A</v>
      </c>
      <c r="D284" s="2319"/>
      <c r="E284" s="2384"/>
      <c r="F284" s="2385"/>
      <c r="G284" s="2386"/>
      <c r="H284" s="2386"/>
      <c r="I284" s="2320"/>
      <c r="J284" s="2320"/>
      <c r="K284" s="2387"/>
      <c r="N284" s="2350"/>
    </row>
    <row r="285" spans="1:14" s="2389" customFormat="1" ht="18.75" customHeight="1">
      <c r="D285" s="2757"/>
      <c r="E285" s="2757"/>
      <c r="F285" s="2757"/>
      <c r="G285" s="2758"/>
      <c r="H285" s="2758"/>
      <c r="I285" s="2758"/>
      <c r="J285" s="2758"/>
      <c r="K285" s="2759"/>
      <c r="L285" s="2388"/>
    </row>
    <row r="286" spans="1:14" s="2323" customFormat="1" ht="15.6">
      <c r="D286" s="2390"/>
      <c r="E286" s="2391" t="s">
        <v>5110</v>
      </c>
      <c r="F286" s="2390"/>
      <c r="G286" s="2392"/>
      <c r="H286" s="2392"/>
      <c r="I286" s="2760" t="s">
        <v>5111</v>
      </c>
      <c r="J286" s="2760"/>
      <c r="K286" s="2325"/>
      <c r="L286" s="2390"/>
    </row>
    <row r="287" spans="1:14" s="2389" customFormat="1" ht="15.6">
      <c r="D287" s="2388"/>
      <c r="E287" s="2388"/>
      <c r="F287" s="2388"/>
      <c r="G287" s="2393"/>
      <c r="H287" s="2393"/>
      <c r="I287" s="2393"/>
      <c r="J287" s="2393"/>
      <c r="K287" s="2394"/>
      <c r="L287" s="2388"/>
    </row>
    <row r="288" spans="1:14" s="2389" customFormat="1" ht="15.6">
      <c r="D288" s="2388"/>
      <c r="E288" s="2388"/>
      <c r="F288" s="2388"/>
      <c r="G288" s="2393"/>
      <c r="H288" s="2393"/>
      <c r="I288" s="2393"/>
      <c r="J288" s="2393"/>
      <c r="K288" s="2394"/>
      <c r="L288" s="2388"/>
    </row>
    <row r="289" spans="4:12" s="2389" customFormat="1" ht="15.6">
      <c r="D289" s="2388"/>
      <c r="E289" s="2388"/>
      <c r="F289" s="2388"/>
      <c r="G289" s="2393"/>
      <c r="H289" s="2393"/>
      <c r="I289" s="2393"/>
      <c r="J289" s="2393"/>
      <c r="K289" s="2394"/>
      <c r="L289" s="2388"/>
    </row>
    <row r="290" spans="4:12" s="2389" customFormat="1" ht="15.6">
      <c r="D290" s="2388"/>
      <c r="E290" s="2388"/>
      <c r="F290" s="2388"/>
      <c r="G290" s="2393"/>
      <c r="H290" s="2393"/>
      <c r="I290" s="2393"/>
      <c r="J290" s="2393"/>
      <c r="K290" s="2394"/>
      <c r="L290" s="2388"/>
    </row>
    <row r="291" spans="4:12" s="2389" customFormat="1" ht="15.6">
      <c r="D291" s="2388"/>
      <c r="E291" s="2388"/>
      <c r="F291" s="2388"/>
      <c r="G291" s="2393"/>
      <c r="H291" s="2393"/>
      <c r="I291" s="2393"/>
      <c r="J291" s="2393"/>
      <c r="K291" s="2394"/>
      <c r="L291" s="2388"/>
    </row>
    <row r="292" spans="4:12" s="2396" customFormat="1" ht="15.6">
      <c r="D292" s="2390" t="s">
        <v>5112</v>
      </c>
      <c r="E292" s="2395"/>
      <c r="F292" s="2761" t="s">
        <v>4204</v>
      </c>
      <c r="G292" s="2761"/>
      <c r="H292" s="2395"/>
      <c r="I292" s="2395"/>
      <c r="J292" s="2391" t="s">
        <v>5113</v>
      </c>
      <c r="K292" s="2389"/>
    </row>
    <row r="293" spans="4:12" s="2400" customFormat="1">
      <c r="D293" s="2397"/>
      <c r="E293" s="2398"/>
      <c r="F293" s="2398"/>
      <c r="G293" s="2399"/>
      <c r="H293" s="2399"/>
      <c r="I293" s="2399"/>
      <c r="J293" s="2399"/>
      <c r="K293" s="2399"/>
    </row>
    <row r="294" spans="4:12" s="2396" customFormat="1" ht="15.6">
      <c r="D294" s="2401"/>
      <c r="E294" s="2402"/>
      <c r="F294" s="2403"/>
      <c r="G294" s="2403"/>
      <c r="H294" s="2403"/>
      <c r="I294" s="2403"/>
      <c r="J294" s="2403"/>
      <c r="K294" s="2404"/>
    </row>
    <row r="295" spans="4:12" s="2400" customFormat="1">
      <c r="D295" s="2762"/>
      <c r="E295" s="2762"/>
      <c r="F295" s="2762"/>
      <c r="G295" s="2399"/>
      <c r="H295" s="2399"/>
      <c r="I295" s="2399"/>
      <c r="J295" s="2399"/>
      <c r="K295" s="2405"/>
    </row>
    <row r="296" spans="4:12" s="2396" customFormat="1" ht="15.6">
      <c r="D296" s="2406"/>
      <c r="F296" s="2403"/>
      <c r="G296" s="2407"/>
      <c r="H296" s="2407"/>
      <c r="I296" s="2407"/>
      <c r="J296" s="2407"/>
      <c r="K296" s="2404"/>
    </row>
    <row r="297" spans="4:12" s="2400" customFormat="1">
      <c r="D297" s="2397"/>
      <c r="E297" s="2398"/>
      <c r="F297" s="2398"/>
      <c r="G297" s="2399"/>
      <c r="H297" s="2399"/>
      <c r="I297" s="2399"/>
      <c r="J297" s="2399"/>
      <c r="K297" s="2399"/>
    </row>
    <row r="298" spans="4:12" s="2400" customFormat="1">
      <c r="D298" s="2397"/>
      <c r="E298" s="2398"/>
      <c r="F298" s="2398"/>
      <c r="G298" s="2399"/>
      <c r="H298" s="2399"/>
      <c r="I298" s="2399"/>
      <c r="J298" s="2399"/>
      <c r="K298" s="2399"/>
    </row>
    <row r="299" spans="4:12" s="2400" customFormat="1">
      <c r="D299" s="2397"/>
      <c r="E299" s="2398"/>
      <c r="F299" s="2398"/>
      <c r="G299" s="2399"/>
      <c r="H299" s="2399"/>
      <c r="I299" s="2399"/>
      <c r="J299" s="2399"/>
      <c r="K299" s="2399"/>
    </row>
    <row r="300" spans="4:12" s="2396" customFormat="1" ht="15.6">
      <c r="D300" s="2401"/>
      <c r="E300" s="2402"/>
      <c r="F300" s="2403"/>
      <c r="G300" s="2403"/>
      <c r="H300" s="2403"/>
      <c r="I300" s="2403"/>
      <c r="J300" s="2403"/>
      <c r="K300" s="2404"/>
    </row>
    <row r="316" spans="4:11" ht="15.6">
      <c r="D316" s="2763"/>
      <c r="E316" s="2764"/>
      <c r="F316" s="2764"/>
      <c r="G316" s="2764"/>
      <c r="H316" s="2764"/>
      <c r="I316" s="2764"/>
      <c r="J316" s="2764"/>
      <c r="K316" s="2764"/>
    </row>
  </sheetData>
  <autoFilter ref="C8:K284" xr:uid="{00000000-0009-0000-0000-000016000000}"/>
  <mergeCells count="78">
    <mergeCell ref="CF2:CM2"/>
    <mergeCell ref="D1:K1"/>
    <mergeCell ref="D2:K2"/>
    <mergeCell ref="L2:S2"/>
    <mergeCell ref="T2:AA2"/>
    <mergeCell ref="AB2:AI2"/>
    <mergeCell ref="AJ2:AQ2"/>
    <mergeCell ref="AR2:AY2"/>
    <mergeCell ref="AZ2:BG2"/>
    <mergeCell ref="BH2:BO2"/>
    <mergeCell ref="BP2:BW2"/>
    <mergeCell ref="BX2:CE2"/>
    <mergeCell ref="FX2:GE2"/>
    <mergeCell ref="CN2:CU2"/>
    <mergeCell ref="CV2:DC2"/>
    <mergeCell ref="DD2:DK2"/>
    <mergeCell ref="DL2:DS2"/>
    <mergeCell ref="DT2:EA2"/>
    <mergeCell ref="EB2:EI2"/>
    <mergeCell ref="EJ2:EQ2"/>
    <mergeCell ref="ER2:EY2"/>
    <mergeCell ref="EZ2:FG2"/>
    <mergeCell ref="FH2:FO2"/>
    <mergeCell ref="FP2:FW2"/>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ER3:EY3"/>
    <mergeCell ref="BH3:BO3"/>
    <mergeCell ref="BP3:BW3"/>
    <mergeCell ref="BX3:CE3"/>
    <mergeCell ref="CF3:CM3"/>
    <mergeCell ref="CN3:CU3"/>
    <mergeCell ref="CV3:DC3"/>
    <mergeCell ref="DD3:DK3"/>
    <mergeCell ref="DL3:DS3"/>
    <mergeCell ref="DT3:EA3"/>
    <mergeCell ref="EB3:EI3"/>
    <mergeCell ref="EJ3:EQ3"/>
    <mergeCell ref="FH3:FO3"/>
    <mergeCell ref="FP3:FW3"/>
    <mergeCell ref="FX3:GE3"/>
    <mergeCell ref="GF3:GM3"/>
    <mergeCell ref="GN3:GU3"/>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D285:K285"/>
    <mergeCell ref="I286:J286"/>
    <mergeCell ref="F292:G292"/>
    <mergeCell ref="D295:F295"/>
    <mergeCell ref="D316:K316"/>
  </mergeCells>
  <conditionalFormatting sqref="A209">
    <cfRule type="duplicateValues" dxfId="42" priority="4"/>
  </conditionalFormatting>
  <conditionalFormatting sqref="A209">
    <cfRule type="duplicateValues" dxfId="41" priority="3"/>
  </conditionalFormatting>
  <conditionalFormatting sqref="A227">
    <cfRule type="duplicateValues" dxfId="40" priority="2"/>
  </conditionalFormatting>
  <conditionalFormatting sqref="A227">
    <cfRule type="duplicateValues" dxfId="39"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O16"/>
  <sheetViews>
    <sheetView workbookViewId="0">
      <selection activeCell="G25" sqref="G25"/>
    </sheetView>
  </sheetViews>
  <sheetFormatPr defaultRowHeight="16.8"/>
  <cols>
    <col min="1" max="1" width="8.81640625" style="1285"/>
    <col min="3" max="3" width="16.453125" style="1012" customWidth="1"/>
    <col min="4" max="4" width="6.81640625" customWidth="1"/>
    <col min="5" max="5" width="34.36328125" customWidth="1"/>
    <col min="6" max="6" width="6.81640625" style="1285" customWidth="1"/>
    <col min="7" max="8" width="6" customWidth="1"/>
    <col min="9" max="9" width="10.54296875" hidden="1" customWidth="1"/>
    <col min="10" max="10" width="6.36328125" customWidth="1"/>
  </cols>
  <sheetData>
    <row r="1" spans="1:15" ht="22.5" customHeight="1">
      <c r="E1" s="933"/>
      <c r="F1" s="933"/>
    </row>
    <row r="3" spans="1:15" ht="31.2">
      <c r="D3" s="1444" t="s">
        <v>1714</v>
      </c>
      <c r="E3" s="1444" t="s">
        <v>4229</v>
      </c>
      <c r="F3" s="1516" t="s">
        <v>4232</v>
      </c>
      <c r="G3" s="1516" t="s">
        <v>5172</v>
      </c>
      <c r="H3" s="1516" t="s">
        <v>4202</v>
      </c>
      <c r="I3" s="1516" t="s">
        <v>4233</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1">
        <f>G4</f>
        <v>5</v>
      </c>
    </row>
    <row r="5" spans="1:15" ht="18" hidden="1" customHeight="1">
      <c r="A5" s="1285" t="str">
        <f t="shared" ref="A5:A13" si="0">N5&amp;B5</f>
        <v>81</v>
      </c>
      <c r="B5">
        <v>1</v>
      </c>
      <c r="C5" s="1012" t="s">
        <v>2323</v>
      </c>
      <c r="D5" s="1445">
        <f>SUM($K$4:K5)</f>
        <v>2</v>
      </c>
      <c r="E5" s="1447" t="s">
        <v>4931</v>
      </c>
      <c r="F5" s="1447" t="s">
        <v>2336</v>
      </c>
      <c r="G5" s="1449">
        <f t="shared" ref="G5:G8" si="1">M5-L5</f>
        <v>1</v>
      </c>
      <c r="H5" s="1449">
        <f t="shared" ref="H5:H8" si="2">G5</f>
        <v>1</v>
      </c>
      <c r="I5" s="1449">
        <f>Solieu!$B$3</f>
        <v>3</v>
      </c>
      <c r="J5" s="1446"/>
      <c r="K5" s="1285">
        <f t="shared" ref="K5:K14" si="3">IF(OR(G5&gt;0,H5&gt;0),1,"")</f>
        <v>1</v>
      </c>
      <c r="L5" s="933">
        <v>1</v>
      </c>
      <c r="M5">
        <v>2</v>
      </c>
      <c r="N5">
        <v>8</v>
      </c>
      <c r="O5" s="2451">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1">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1">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1">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1">
        <f t="shared" si="4"/>
        <v>4</v>
      </c>
    </row>
    <row r="10" spans="1:15" s="1285" customFormat="1" ht="18" customHeight="1">
      <c r="A10" s="1285" t="str">
        <f t="shared" si="0"/>
        <v>82</v>
      </c>
      <c r="B10" s="1285">
        <v>2</v>
      </c>
      <c r="C10" s="1012" t="s">
        <v>2323</v>
      </c>
      <c r="D10" s="1445">
        <v>2</v>
      </c>
      <c r="E10" s="1447" t="s">
        <v>4931</v>
      </c>
      <c r="F10" s="1447" t="s">
        <v>2336</v>
      </c>
      <c r="G10" s="1449">
        <f t="shared" ref="G10:G13" si="5">L5</f>
        <v>1</v>
      </c>
      <c r="H10" s="1449">
        <f t="shared" ref="H10:H13" si="6">G10</f>
        <v>1</v>
      </c>
      <c r="I10" s="1449">
        <v>3</v>
      </c>
      <c r="J10" s="1446"/>
      <c r="K10" s="1285">
        <v>2</v>
      </c>
      <c r="L10" s="933"/>
      <c r="N10" s="1285">
        <v>8</v>
      </c>
      <c r="O10" s="2451">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1">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1">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1">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1998"/>
      <c r="G15" s="1450"/>
      <c r="H15" s="1450"/>
      <c r="I15" s="1445"/>
      <c r="J15" s="1446"/>
      <c r="K15" s="1285"/>
    </row>
    <row r="16" spans="1:15" ht="27" customHeight="1">
      <c r="D16" s="1997"/>
      <c r="E16" s="1998" t="s">
        <v>4263</v>
      </c>
      <c r="F16" s="1998"/>
      <c r="G16" s="1450">
        <f>SUMIF(K4:K13,K3,G4:G13)</f>
        <v>23</v>
      </c>
      <c r="H16" s="1450">
        <f>G16</f>
        <v>23</v>
      </c>
      <c r="I16" s="1997"/>
      <c r="J16" s="1997"/>
      <c r="K16" t="s">
        <v>512</v>
      </c>
    </row>
  </sheetData>
  <autoFilter ref="K3:K16" xr:uid="{00000000-0009-0000-0000-000017000000}">
    <filterColumn colId="0">
      <filters>
        <filter val="2"/>
        <filter val="x"/>
      </filters>
    </filterColumn>
  </autoFilter>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A1:L15"/>
  <sheetViews>
    <sheetView workbookViewId="0">
      <selection activeCell="C3" sqref="C3:I8"/>
    </sheetView>
  </sheetViews>
  <sheetFormatPr defaultColWidth="8.90625" defaultRowHeight="16.8"/>
  <cols>
    <col min="1" max="1" width="8.90625" style="1285"/>
    <col min="2" max="2" width="14.453125" style="1452" customWidth="1"/>
    <col min="3" max="3" width="4.90625" style="1285" customWidth="1"/>
    <col min="4" max="4" width="45" style="1285" customWidth="1"/>
    <col min="5" max="5" width="6.90625" style="1285" customWidth="1"/>
    <col min="6" max="7" width="6" style="1285" customWidth="1"/>
    <col min="8" max="8" width="10.54296875" style="1285" hidden="1" customWidth="1"/>
    <col min="9" max="9" width="6" style="1285" customWidth="1"/>
    <col min="10" max="16384" width="8.90625" style="1285"/>
  </cols>
  <sheetData>
    <row r="1" spans="1:12">
      <c r="D1" s="933" t="s">
        <v>2842</v>
      </c>
      <c r="E1" s="933"/>
    </row>
    <row r="3" spans="1:12" s="1751" customFormat="1" ht="36.6" customHeight="1">
      <c r="B3" s="1288"/>
      <c r="C3" s="1998" t="s">
        <v>1714</v>
      </c>
      <c r="D3" s="1998" t="s">
        <v>3998</v>
      </c>
      <c r="E3" s="1516" t="s">
        <v>4232</v>
      </c>
      <c r="F3" s="1516" t="s">
        <v>5172</v>
      </c>
      <c r="G3" s="1516" t="s">
        <v>4202</v>
      </c>
      <c r="H3" s="1516" t="s">
        <v>4233</v>
      </c>
      <c r="I3" s="1516" t="s">
        <v>4201</v>
      </c>
      <c r="J3" s="2306" t="s">
        <v>512</v>
      </c>
      <c r="K3" s="1751">
        <v>2</v>
      </c>
    </row>
    <row r="4" spans="1:12" hidden="1">
      <c r="A4" s="1285" t="str">
        <f>B4&amp;J4</f>
        <v>81</v>
      </c>
      <c r="B4" s="1452">
        <v>8</v>
      </c>
      <c r="C4" s="1445">
        <f>SUM($J$4:J4)</f>
        <v>1</v>
      </c>
      <c r="D4" s="1447" t="s">
        <v>4941</v>
      </c>
      <c r="E4" s="1997"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4942</v>
      </c>
      <c r="E5" s="1997"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4941</v>
      </c>
      <c r="E6" s="1997" t="s">
        <v>2285</v>
      </c>
      <c r="F6" s="1449">
        <f>SUMIF('2Mong'!A:A,'3Tru'!A6,'2Mong'!G:G)</f>
        <v>5</v>
      </c>
      <c r="G6" s="1449">
        <f>F6</f>
        <v>5</v>
      </c>
      <c r="H6" s="1449">
        <f>VLOOKUP($D$1,Solieu!A:C,2,0)</f>
        <v>3</v>
      </c>
      <c r="I6" s="1446"/>
      <c r="J6" s="1285">
        <v>2</v>
      </c>
      <c r="K6" s="933"/>
    </row>
    <row r="7" spans="1:12">
      <c r="A7" s="1285" t="str">
        <f t="shared" si="0"/>
        <v>122</v>
      </c>
      <c r="B7" s="2452">
        <v>12</v>
      </c>
      <c r="C7" s="1445">
        <f>SUM($J$4:J7)</f>
        <v>6</v>
      </c>
      <c r="D7" s="1447" t="s">
        <v>4942</v>
      </c>
      <c r="E7" s="1997" t="s">
        <v>2285</v>
      </c>
      <c r="F7" s="1449">
        <f>SUMIF('2Mong'!A:A,'3Tru'!A7,'2Mong'!G:G)</f>
        <v>18</v>
      </c>
      <c r="G7" s="1449">
        <f>F7</f>
        <v>18</v>
      </c>
      <c r="H7" s="1449">
        <f>VLOOKUP($D$1,Solieu!A:C,2,0)</f>
        <v>3</v>
      </c>
      <c r="I7" s="1446"/>
      <c r="J7" s="1285">
        <v>2</v>
      </c>
      <c r="K7" s="933"/>
    </row>
    <row r="8" spans="1:12" ht="31.5" customHeight="1">
      <c r="C8" s="1997"/>
      <c r="D8" s="1998" t="s">
        <v>4263</v>
      </c>
      <c r="E8" s="1998"/>
      <c r="F8" s="1450">
        <f>SUMIF(J4:J7,K3,F4:F7)</f>
        <v>23</v>
      </c>
      <c r="G8" s="1450">
        <f>F8</f>
        <v>23</v>
      </c>
      <c r="H8" s="1997"/>
      <c r="I8" s="1997"/>
      <c r="J8" s="1285" t="s">
        <v>512</v>
      </c>
    </row>
    <row r="15" spans="1:12">
      <c r="D15" s="1751"/>
      <c r="E15" s="1751"/>
    </row>
  </sheetData>
  <autoFilter ref="J3:J8" xr:uid="{00000000-0009-0000-0000-000018000000}">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3:K13"/>
  <sheetViews>
    <sheetView workbookViewId="0">
      <selection activeCell="C3" sqref="C3:I11"/>
    </sheetView>
  </sheetViews>
  <sheetFormatPr defaultColWidth="8.90625" defaultRowHeight="16.8"/>
  <cols>
    <col min="1" max="1" width="8.90625" style="1285"/>
    <col min="2" max="2" width="14.453125" style="1474" customWidth="1"/>
    <col min="3" max="3" width="5.6328125" style="1285" customWidth="1"/>
    <col min="4" max="4" width="30.08984375" style="1285" customWidth="1"/>
    <col min="5" max="5" width="7" style="1285" customWidth="1"/>
    <col min="6" max="6" width="8.36328125" style="1285" customWidth="1"/>
    <col min="7" max="7" width="7.54296875" style="1285" customWidth="1"/>
    <col min="8" max="8" width="10.54296875" style="1285" hidden="1" customWidth="1"/>
    <col min="9" max="9" width="10.08984375" style="1285" customWidth="1"/>
    <col min="10" max="10" width="8.90625" style="1285"/>
    <col min="11" max="11" width="0" style="1285" hidden="1" customWidth="1"/>
    <col min="12" max="12" width="9.90625" style="1285" customWidth="1"/>
    <col min="13" max="16384" width="8.90625" style="1285"/>
  </cols>
  <sheetData>
    <row r="3" spans="2:11" ht="31.2">
      <c r="C3" s="1998" t="s">
        <v>1714</v>
      </c>
      <c r="D3" s="1998" t="s">
        <v>4325</v>
      </c>
      <c r="E3" s="1516" t="s">
        <v>4232</v>
      </c>
      <c r="F3" s="1516" t="s">
        <v>5172</v>
      </c>
      <c r="G3" s="1516" t="s">
        <v>4202</v>
      </c>
      <c r="H3" s="1516" t="s">
        <v>4233</v>
      </c>
      <c r="I3" s="1516" t="s">
        <v>4201</v>
      </c>
      <c r="J3" s="1448" t="s">
        <v>512</v>
      </c>
    </row>
    <row r="4" spans="2:11" ht="24" customHeight="1">
      <c r="B4" s="1452" t="s">
        <v>2323</v>
      </c>
      <c r="C4" s="1445">
        <f>SUM($J$4:J4)</f>
        <v>1</v>
      </c>
      <c r="D4" s="1447" t="str">
        <f t="shared" ref="D4:D10" si="0">VLOOKUP(B4,DonGia,3,0)</f>
        <v>Móng bê tông trụ đơn 8,4m</v>
      </c>
      <c r="E4" s="1997" t="s">
        <v>2336</v>
      </c>
      <c r="F4" s="1449">
        <f>SUMIF('2Mong'!C:C,B4,'2Mong'!G:G)</f>
        <v>2</v>
      </c>
      <c r="G4" s="1449">
        <f>F4</f>
        <v>2</v>
      </c>
      <c r="H4" s="1449">
        <f>VLOOKUP(K4,Solieu!A:C,2,0)</f>
        <v>3</v>
      </c>
      <c r="I4" s="1446"/>
      <c r="J4" s="1285">
        <f>IF(OR(F4&gt;0,G4&gt;0),1,"")</f>
        <v>1</v>
      </c>
      <c r="K4" s="933" t="s">
        <v>4506</v>
      </c>
    </row>
    <row r="5" spans="2:11" ht="24" customHeight="1">
      <c r="B5" s="1452" t="s">
        <v>2313</v>
      </c>
      <c r="C5" s="1445">
        <f>SUM($J$4:J5)</f>
        <v>2</v>
      </c>
      <c r="D5" s="1447" t="str">
        <f t="shared" si="0"/>
        <v>Móng bê tông trụ đơn 12m</v>
      </c>
      <c r="E5" s="1997" t="s">
        <v>2336</v>
      </c>
      <c r="F5" s="1449">
        <f>SUMIF('2Mong'!C:C,B5,'2Mong'!G:G)</f>
        <v>1</v>
      </c>
      <c r="G5" s="1449">
        <f t="shared" ref="G5:G10" si="1">F5</f>
        <v>1</v>
      </c>
      <c r="H5" s="1449">
        <f>VLOOKUP(K5,Solieu!A:C,2,0)</f>
        <v>3</v>
      </c>
      <c r="I5" s="1446"/>
      <c r="J5" s="1285">
        <f t="shared" ref="J5:J10" si="2">IF(OR(F5&gt;0,G5&gt;0),1,"")</f>
        <v>1</v>
      </c>
      <c r="K5" s="933" t="s">
        <v>4506</v>
      </c>
    </row>
    <row r="6" spans="2:11" ht="24" customHeight="1">
      <c r="B6" s="1452" t="s">
        <v>2314</v>
      </c>
      <c r="C6" s="1445">
        <f>SUM($J$4:J6)</f>
        <v>3</v>
      </c>
      <c r="D6" s="1447" t="str">
        <f t="shared" si="0"/>
        <v>Móng bê tông trụ đôi 12m</v>
      </c>
      <c r="E6" s="1997" t="s">
        <v>2336</v>
      </c>
      <c r="F6" s="1449">
        <f>SUMIF('2Mong'!C:C,B6,'2Mong'!G:G)</f>
        <v>7</v>
      </c>
      <c r="G6" s="1449">
        <f t="shared" si="1"/>
        <v>7</v>
      </c>
      <c r="H6" s="1449">
        <f>VLOOKUP(K6,Solieu!A:C,2,0)</f>
        <v>3</v>
      </c>
      <c r="I6" s="1446"/>
      <c r="J6" s="1285">
        <f t="shared" si="2"/>
        <v>1</v>
      </c>
      <c r="K6" s="933" t="s">
        <v>4506</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4506</v>
      </c>
    </row>
    <row r="8" spans="2:11" ht="24" hidden="1" customHeight="1">
      <c r="B8" s="1452"/>
      <c r="C8" s="1997">
        <f>SUM($J$4:J8)</f>
        <v>3</v>
      </c>
      <c r="D8" s="1447" t="e">
        <f t="shared" si="0"/>
        <v>#N/A</v>
      </c>
      <c r="E8" s="1447"/>
      <c r="F8" s="1449">
        <f>SUMIF('2Mong'!C:C,B8,'2Mong'!G:G)</f>
        <v>0</v>
      </c>
      <c r="G8" s="1449">
        <f t="shared" si="1"/>
        <v>0</v>
      </c>
      <c r="H8" s="1449">
        <f>VLOOKUP(K8,Solieu!A:C,2,0)</f>
        <v>3</v>
      </c>
      <c r="I8" s="1997"/>
      <c r="J8" s="1285" t="str">
        <f t="shared" si="2"/>
        <v/>
      </c>
      <c r="K8" s="933" t="s">
        <v>4506</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4506</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4506</v>
      </c>
    </row>
    <row r="11" spans="2:11" ht="24" customHeight="1">
      <c r="B11" s="1452"/>
      <c r="C11" s="1997"/>
      <c r="D11" s="1998" t="s">
        <v>4263</v>
      </c>
      <c r="E11" s="1998"/>
      <c r="F11" s="1450">
        <f>SUM(F4:F10)</f>
        <v>10</v>
      </c>
      <c r="G11" s="1450">
        <f>SUM(G4:G10)</f>
        <v>10</v>
      </c>
      <c r="H11" s="1997"/>
      <c r="I11" s="1997"/>
      <c r="J11" s="1285">
        <v>1</v>
      </c>
    </row>
    <row r="12" spans="2:11" hidden="1">
      <c r="B12" s="1474" t="s">
        <v>2313</v>
      </c>
    </row>
    <row r="13" spans="2:11" hidden="1">
      <c r="B13" s="1474" t="s">
        <v>2314</v>
      </c>
    </row>
  </sheetData>
  <autoFilter ref="J3:J13" xr:uid="{00000000-0009-0000-0000-000019000000}">
    <filterColumn colId="0">
      <customFilters>
        <customFilter operator="notEqual" val=" "/>
      </custom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J33"/>
  <sheetViews>
    <sheetView workbookViewId="0">
      <selection activeCell="E3" sqref="E3"/>
    </sheetView>
  </sheetViews>
  <sheetFormatPr defaultColWidth="8.90625" defaultRowHeight="16.8"/>
  <cols>
    <col min="1" max="1" width="8.90625" style="1285"/>
    <col min="2" max="2" width="14.453125" style="1512"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4508</v>
      </c>
    </row>
    <row r="3" spans="2:10" ht="50.4">
      <c r="C3" s="1998" t="s">
        <v>1714</v>
      </c>
      <c r="D3" s="1998" t="s">
        <v>4424</v>
      </c>
      <c r="E3" s="1998" t="s">
        <v>4236</v>
      </c>
      <c r="F3" s="1998" t="s">
        <v>4202</v>
      </c>
      <c r="G3" s="1998" t="s">
        <v>4230</v>
      </c>
      <c r="H3" s="1998"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6">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6">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6">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6">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6">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6">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7">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6">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ht="33.6">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6">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6">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6">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6">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6">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ht="33.6">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6">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6">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ht="33.6">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6">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6">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7"/>
      <c r="D33" s="1998" t="s">
        <v>4263</v>
      </c>
      <c r="E33" s="1450">
        <f>SUM(E4:E32)</f>
        <v>0</v>
      </c>
      <c r="F33" s="1450">
        <f>SUM(F4:F32)</f>
        <v>0</v>
      </c>
      <c r="G33" s="1997"/>
      <c r="H33" s="1446"/>
      <c r="I33" s="1285">
        <v>1</v>
      </c>
    </row>
  </sheetData>
  <autoFilter ref="I3:I33" xr:uid="{00000000-0009-0000-0000-00001A000000}"/>
  <conditionalFormatting sqref="B1:B1048576">
    <cfRule type="duplicateValues" dxfId="38" priority="1"/>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T91"/>
  <sheetViews>
    <sheetView workbookViewId="0">
      <selection activeCell="C3" sqref="C3:I13"/>
    </sheetView>
  </sheetViews>
  <sheetFormatPr defaultColWidth="8.90625" defaultRowHeight="16.8"/>
  <cols>
    <col min="1" max="1" width="8.90625" style="1285"/>
    <col min="2" max="2" width="17.36328125" style="1513" bestFit="1" customWidth="1"/>
    <col min="3" max="3" width="5.08984375" style="1285" customWidth="1"/>
    <col min="4" max="4" width="36.54296875" style="1285" customWidth="1"/>
    <col min="5" max="7" width="6" style="1285" customWidth="1"/>
    <col min="8" max="8" width="11.90625" style="1285" hidden="1" customWidth="1"/>
    <col min="9" max="9" width="9" style="1285" customWidth="1"/>
    <col min="10" max="10" width="8.90625" style="1285"/>
    <col min="11" max="11" width="8.90625" style="1474"/>
    <col min="12" max="16384" width="8.90625" style="1285"/>
  </cols>
  <sheetData>
    <row r="1" spans="1:20">
      <c r="D1" s="1452" t="s">
        <v>4509</v>
      </c>
    </row>
    <row r="2" spans="1:20">
      <c r="D2" s="1452"/>
      <c r="L2" s="1285" t="s">
        <v>533</v>
      </c>
      <c r="M2" s="1285" t="s">
        <v>895</v>
      </c>
      <c r="N2" s="1285" t="s">
        <v>2300</v>
      </c>
      <c r="O2" s="1285" t="s">
        <v>2301</v>
      </c>
      <c r="P2" s="1285" t="s">
        <v>361</v>
      </c>
      <c r="Q2" s="1285" t="s">
        <v>2513</v>
      </c>
      <c r="R2" s="1285" t="s">
        <v>2551</v>
      </c>
      <c r="S2" s="1285" t="s">
        <v>2508</v>
      </c>
      <c r="T2" s="1285" t="s">
        <v>1627</v>
      </c>
    </row>
    <row r="3" spans="1:20" ht="31.2">
      <c r="C3" s="1516" t="s">
        <v>1714</v>
      </c>
      <c r="D3" s="1516" t="s">
        <v>4231</v>
      </c>
      <c r="E3" s="1516" t="s">
        <v>4232</v>
      </c>
      <c r="F3" s="1516" t="s">
        <v>5172</v>
      </c>
      <c r="G3" s="1516" t="s">
        <v>4202</v>
      </c>
      <c r="H3" s="1516" t="s">
        <v>4233</v>
      </c>
      <c r="I3" s="1516" t="s">
        <v>4201</v>
      </c>
      <c r="J3" s="2454">
        <v>1</v>
      </c>
      <c r="L3" s="1285">
        <v>1</v>
      </c>
      <c r="M3" s="1285">
        <v>2</v>
      </c>
    </row>
    <row r="4" spans="1:20" ht="33.6">
      <c r="B4" s="1513" t="s">
        <v>2303</v>
      </c>
      <c r="C4" s="1445">
        <f>SUM($J$4:J4)</f>
        <v>1</v>
      </c>
      <c r="D4" s="1447" t="str">
        <f>VLOOKUP(B4,DG!A:C,3,0)</f>
        <v>Bộ xà kép L75x75x8 dài 2.2m: X-22K-Đ - C810 (lắp trụ đơn)</v>
      </c>
      <c r="E4" s="1449" t="str">
        <f>VLOOKUP(B4,DG!A:D,4,0)</f>
        <v>Bộ</v>
      </c>
      <c r="F4" s="1449">
        <f>K4</f>
        <v>1</v>
      </c>
      <c r="G4" s="1449">
        <f>F4</f>
        <v>1</v>
      </c>
      <c r="H4" s="1449">
        <f>VLOOKUP($D$1,Solieu!A:C,2,0)</f>
        <v>4</v>
      </c>
      <c r="I4" s="1444"/>
      <c r="J4" s="1285">
        <f t="shared" ref="J4:J68" si="0">IF(G4&gt;0,1,"")</f>
        <v>1</v>
      </c>
      <c r="K4" s="2453">
        <f>SUMIF('Hoan cong VL-NC-MTC'!C:C,B4,'Hoan cong VL-NC-MTC'!G:G)</f>
        <v>1</v>
      </c>
      <c r="L4" s="1285">
        <v>1</v>
      </c>
      <c r="M4" s="1285">
        <f>K4-L4</f>
        <v>0</v>
      </c>
    </row>
    <row r="5" spans="1:20" ht="33.6">
      <c r="B5" s="1513" t="s">
        <v>533</v>
      </c>
      <c r="C5" s="1445">
        <f>SUM($J$4:J5)</f>
        <v>2</v>
      </c>
      <c r="D5" s="1447" t="str">
        <f>VLOOKUP(B5,DG!A:C,3,0)</f>
        <v>Bộ xà kép L75x75x8 dài 2.2m: X-22K-K - C810 (lắp theo hướng trụ ghép)</v>
      </c>
      <c r="E5" s="1449" t="str">
        <f>VLOOKUP(B5,DG!A:D,4,0)</f>
        <v>Bộ</v>
      </c>
      <c r="F5" s="1449">
        <f t="shared" ref="F5:F13" si="1">K5</f>
        <v>1</v>
      </c>
      <c r="G5" s="1449">
        <f t="shared" ref="G5:G68" si="2">F5</f>
        <v>1</v>
      </c>
      <c r="H5" s="1449">
        <f>VLOOKUP($D$1,Solieu!A:C,2,0)</f>
        <v>4</v>
      </c>
      <c r="I5" s="1444"/>
      <c r="J5" s="1285">
        <f t="shared" si="0"/>
        <v>1</v>
      </c>
      <c r="K5" s="2453">
        <f>SUMIF('Hoan cong VL-NC-MTC'!C:C,B5,'Hoan cong VL-NC-MTC'!G:G)</f>
        <v>1</v>
      </c>
      <c r="L5" s="1285">
        <v>1</v>
      </c>
      <c r="M5" s="1285">
        <f t="shared" ref="M5:M13" si="3">K5-L5</f>
        <v>0</v>
      </c>
    </row>
    <row r="6" spans="1:20" ht="33.6">
      <c r="B6" s="1513" t="s">
        <v>2300</v>
      </c>
      <c r="C6" s="1445">
        <f>SUM($J$4:J6)</f>
        <v>3</v>
      </c>
      <c r="D6" s="1447" t="str">
        <f>VLOOKUP(B6,DG!A:C,3,0)</f>
        <v>Bộ xà lệch đơn L75x75x8 dài 2,1m: X-21ĐL</v>
      </c>
      <c r="E6" s="1449" t="str">
        <f>VLOOKUP(B6,DG!A:D,4,0)</f>
        <v>Bộ</v>
      </c>
      <c r="F6" s="1449">
        <f t="shared" si="1"/>
        <v>28</v>
      </c>
      <c r="G6" s="1449">
        <f t="shared" si="2"/>
        <v>28</v>
      </c>
      <c r="H6" s="1449">
        <f>VLOOKUP($D$1,Solieu!A:C,2,0)</f>
        <v>4</v>
      </c>
      <c r="I6" s="1444"/>
      <c r="J6" s="1285">
        <f t="shared" si="0"/>
        <v>1</v>
      </c>
      <c r="K6" s="2453">
        <f>SUMIF('Hoan cong VL-NC-MTC'!C:C,B6,'Hoan cong VL-NC-MTC'!G:G)</f>
        <v>28</v>
      </c>
      <c r="L6" s="1285">
        <v>13</v>
      </c>
      <c r="M6" s="1285">
        <f t="shared" si="3"/>
        <v>15</v>
      </c>
    </row>
    <row r="7" spans="1:20" ht="33.6">
      <c r="B7" s="1513" t="s">
        <v>895</v>
      </c>
      <c r="C7" s="1445">
        <f>SUM($J$4:J7)</f>
        <v>4</v>
      </c>
      <c r="D7" s="1447" t="str">
        <f>VLOOKUP(B7,DG!A:C,3,0)</f>
        <v>Bộ xà lệch kép L75x75x8 dài 2,1m: X-21KL</v>
      </c>
      <c r="E7" s="1449" t="str">
        <f>VLOOKUP(B7,DG!A:D,4,0)</f>
        <v>Bộ</v>
      </c>
      <c r="F7" s="1449">
        <f t="shared" si="1"/>
        <v>1</v>
      </c>
      <c r="G7" s="1449">
        <f t="shared" si="2"/>
        <v>1</v>
      </c>
      <c r="H7" s="1449">
        <f>VLOOKUP($D$1,Solieu!A:C,2,0)</f>
        <v>4</v>
      </c>
      <c r="I7" s="1444"/>
      <c r="J7" s="1285">
        <f t="shared" si="0"/>
        <v>1</v>
      </c>
      <c r="K7" s="2453">
        <f>SUMIF('Hoan cong VL-NC-MTC'!C:C,B7,'Hoan cong VL-NC-MTC'!G:G)</f>
        <v>1</v>
      </c>
      <c r="L7" s="1285">
        <v>1</v>
      </c>
      <c r="M7" s="1285">
        <f t="shared" si="3"/>
        <v>0</v>
      </c>
    </row>
    <row r="8" spans="1:20" ht="22.5" customHeight="1">
      <c r="B8" s="1515" t="s">
        <v>4752</v>
      </c>
      <c r="C8" s="1445">
        <f>SUM($J$4:J8)</f>
        <v>5</v>
      </c>
      <c r="D8" s="1447" t="str">
        <f>VLOOKUP(B8,DG!A:C,3,0)</f>
        <v>Bộ đà composite 0,8m</v>
      </c>
      <c r="E8" s="1449" t="str">
        <f>VLOOKUP(B8,DG!A:D,4,0)</f>
        <v>bộ</v>
      </c>
      <c r="F8" s="1449">
        <f t="shared" si="1"/>
        <v>1</v>
      </c>
      <c r="G8" s="1449">
        <f t="shared" si="2"/>
        <v>1</v>
      </c>
      <c r="H8" s="1449">
        <f>VLOOKUP($D$1,Solieu!A:C,2,0)</f>
        <v>4</v>
      </c>
      <c r="I8" s="1444"/>
      <c r="J8" s="1285">
        <f t="shared" si="0"/>
        <v>1</v>
      </c>
      <c r="K8" s="2453">
        <f>SUMIF('Hoan cong VL-NC-MTC'!C:C,B8,'Hoan cong VL-NC-MTC'!G:G)</f>
        <v>1</v>
      </c>
      <c r="L8" s="1285">
        <v>1</v>
      </c>
      <c r="M8" s="1285">
        <f t="shared" si="3"/>
        <v>0</v>
      </c>
    </row>
    <row r="9" spans="1:20" ht="22.5" customHeight="1">
      <c r="A9" s="1285" t="s">
        <v>4738</v>
      </c>
      <c r="B9" s="1515" t="s">
        <v>2508</v>
      </c>
      <c r="C9" s="1445">
        <f>SUM($J$4:J9)</f>
        <v>6</v>
      </c>
      <c r="D9" s="1447" t="str">
        <f>VLOOKUP(B9,DG!A:C,3,0)</f>
        <v>Bộ Uclevis đỡ dây trung hòa: Đth-U</v>
      </c>
      <c r="E9" s="1449" t="str">
        <f>VLOOKUP(B9,DG!A:D,4,0)</f>
        <v>bộ</v>
      </c>
      <c r="F9" s="1449">
        <f t="shared" si="1"/>
        <v>27</v>
      </c>
      <c r="G9" s="1449">
        <f t="shared" si="2"/>
        <v>27</v>
      </c>
      <c r="H9" s="1449">
        <f>VLOOKUP($D$1,Solieu!A:C,2,0)</f>
        <v>4</v>
      </c>
      <c r="I9" s="1444"/>
      <c r="J9" s="1285">
        <f t="shared" si="0"/>
        <v>1</v>
      </c>
      <c r="K9" s="2453">
        <f>SUMIF('Hoan cong VL-NC-MTC'!C:C,B9,'Hoan cong VL-NC-MTC'!G:G)</f>
        <v>27</v>
      </c>
      <c r="L9" s="1285">
        <v>15</v>
      </c>
      <c r="M9" s="1285">
        <f t="shared" si="3"/>
        <v>12</v>
      </c>
    </row>
    <row r="10" spans="1:20" ht="22.5" customHeight="1">
      <c r="B10" s="1515" t="s">
        <v>2513</v>
      </c>
      <c r="C10" s="1445">
        <f>SUM($J$4:J10)</f>
        <v>7</v>
      </c>
      <c r="D10" s="1447" t="str">
        <f>VLOOKUP(B10,DG!A:C,3,0)</f>
        <v>Bộ cách điện đứng+ty sứ : SĐU</v>
      </c>
      <c r="E10" s="1449" t="str">
        <f>VLOOKUP(B10,DG!A:D,4,0)</f>
        <v>bộ</v>
      </c>
      <c r="F10" s="1449">
        <f t="shared" si="1"/>
        <v>89</v>
      </c>
      <c r="G10" s="1449">
        <f t="shared" si="2"/>
        <v>89</v>
      </c>
      <c r="H10" s="1449">
        <f>VLOOKUP($D$1,Solieu!A:C,2,0)</f>
        <v>4</v>
      </c>
      <c r="I10" s="1444"/>
      <c r="J10" s="1285">
        <f t="shared" si="0"/>
        <v>1</v>
      </c>
      <c r="K10" s="2453">
        <f>SUMIF('Hoan cong VL-NC-MTC'!C:C,B10,'Hoan cong VL-NC-MTC'!G:G)</f>
        <v>89</v>
      </c>
      <c r="L10" s="1285">
        <v>42</v>
      </c>
      <c r="M10" s="1285">
        <f t="shared" si="3"/>
        <v>47</v>
      </c>
    </row>
    <row r="11" spans="1:20" ht="33.6">
      <c r="B11" s="1514" t="s">
        <v>2524</v>
      </c>
      <c r="C11" s="1445">
        <f>SUM($J$4:J11)</f>
        <v>8</v>
      </c>
      <c r="D11" s="1447" t="str">
        <f>VLOOKUP(B11,DG!A:C,3,0)</f>
        <v>Chuỗi sứ treo Polymer 25kV lắp vào xà : CĐT ply-X</v>
      </c>
      <c r="E11" s="1449" t="str">
        <f>VLOOKUP(B11,DG!A:D,4,0)</f>
        <v>bộ</v>
      </c>
      <c r="F11" s="1449">
        <f t="shared" si="1"/>
        <v>26</v>
      </c>
      <c r="G11" s="1449">
        <f t="shared" si="2"/>
        <v>26</v>
      </c>
      <c r="H11" s="1449">
        <f>VLOOKUP($D$1,Solieu!A:C,2,0)</f>
        <v>4</v>
      </c>
      <c r="I11" s="1444"/>
      <c r="J11" s="1285">
        <f t="shared" si="0"/>
        <v>1</v>
      </c>
      <c r="K11" s="2453">
        <f>SUMIF('Hoan cong VL-NC-MTC'!C:C,B11,'Hoan cong VL-NC-MTC'!G:G)</f>
        <v>26</v>
      </c>
      <c r="L11" s="1285">
        <v>14</v>
      </c>
      <c r="M11" s="1285">
        <f t="shared" si="3"/>
        <v>12</v>
      </c>
    </row>
    <row r="12" spans="1:20">
      <c r="B12" s="1513" t="s">
        <v>1161</v>
      </c>
      <c r="C12" s="1445">
        <f>SUM($J$4:J12)</f>
        <v>9</v>
      </c>
      <c r="D12" s="1447" t="str">
        <f>VLOOKUP(B12,DG!A:C,3,0)</f>
        <v>Kẹp treo cáp ABC4x95mm2</v>
      </c>
      <c r="E12" s="1449" t="str">
        <f>VLOOKUP(B12,DG!A:D,4,0)</f>
        <v>cái</v>
      </c>
      <c r="F12" s="1449">
        <f t="shared" si="1"/>
        <v>9</v>
      </c>
      <c r="G12" s="1449">
        <f t="shared" si="2"/>
        <v>9</v>
      </c>
      <c r="H12" s="1449">
        <f>VLOOKUP($D$1,Solieu!A:C,2,0)</f>
        <v>4</v>
      </c>
      <c r="I12" s="1444"/>
      <c r="J12" s="1285">
        <f t="shared" si="0"/>
        <v>1</v>
      </c>
      <c r="K12" s="2453">
        <f>SUMIF('Hoan cong VL-NC-MTC'!C:C,B12,'Hoan cong VL-NC-MTC'!G:G)</f>
        <v>9</v>
      </c>
      <c r="L12" s="1285">
        <v>1</v>
      </c>
      <c r="M12" s="1285">
        <f t="shared" si="3"/>
        <v>8</v>
      </c>
    </row>
    <row r="13" spans="1:20">
      <c r="B13" s="1513" t="s">
        <v>1434</v>
      </c>
      <c r="C13" s="1445">
        <f>SUM($J$4:J13)</f>
        <v>10</v>
      </c>
      <c r="D13" s="1447" t="str">
        <f>VLOOKUP(B13,DG!A:C,3,0)</f>
        <v>Kẹp ngừng cáp ABC4x95mm2</v>
      </c>
      <c r="E13" s="1449" t="str">
        <f>VLOOKUP(B13,DG!A:D,4,0)</f>
        <v>cái</v>
      </c>
      <c r="F13" s="1449">
        <f t="shared" si="1"/>
        <v>2</v>
      </c>
      <c r="G13" s="1449">
        <f t="shared" si="2"/>
        <v>2</v>
      </c>
      <c r="H13" s="1449">
        <f>VLOOKUP($D$1,Solieu!A:C,2,0)</f>
        <v>4</v>
      </c>
      <c r="I13" s="1444"/>
      <c r="J13" s="1285">
        <f t="shared" si="0"/>
        <v>1</v>
      </c>
      <c r="K13" s="2453">
        <f>SUMIF('Hoan cong VL-NC-MTC'!C:C,B13,'Hoan cong VL-NC-MTC'!G:G)</f>
        <v>2</v>
      </c>
      <c r="L13" s="1285">
        <v>0</v>
      </c>
      <c r="M13" s="1285">
        <f t="shared" si="3"/>
        <v>2</v>
      </c>
    </row>
    <row r="14" spans="1:20">
      <c r="C14" s="1445">
        <f>SUM($J$4:J14)</f>
        <v>10</v>
      </c>
      <c r="D14" s="1447" t="e">
        <f>VLOOKUP(B14,DG!A:C,3,0)</f>
        <v>#N/A</v>
      </c>
      <c r="E14" s="1449" t="e">
        <f>VLOOKUP(B14,DG!A:D,4,0)</f>
        <v>#N/A</v>
      </c>
      <c r="F14" s="1449">
        <f t="shared" ref="F14:F68" si="4">INDEX(L:M,ROW(),$J$3)</f>
        <v>0</v>
      </c>
      <c r="G14" s="1449">
        <f t="shared" si="2"/>
        <v>0</v>
      </c>
      <c r="H14" s="1449">
        <f>VLOOKUP($D$1,Solieu!A:C,2,0)</f>
        <v>4</v>
      </c>
      <c r="I14" s="1444"/>
      <c r="J14" s="1285" t="str">
        <f t="shared" si="0"/>
        <v/>
      </c>
      <c r="K14" s="2453">
        <f>SUMIF('Hoan cong VL-NC-MTC'!C:C,B14,'Hoan cong VL-NC-MTC'!G:G)</f>
        <v>0</v>
      </c>
    </row>
    <row r="15" spans="1:20">
      <c r="C15" s="1445">
        <f>SUM($J$4:J15)</f>
        <v>10</v>
      </c>
      <c r="D15" s="1447" t="e">
        <f>VLOOKUP(B15,DG!A:C,3,0)</f>
        <v>#N/A</v>
      </c>
      <c r="E15" s="1449" t="e">
        <f>VLOOKUP(B15,DG!A:D,4,0)</f>
        <v>#N/A</v>
      </c>
      <c r="F15" s="1449">
        <f t="shared" si="4"/>
        <v>0</v>
      </c>
      <c r="G15" s="1449">
        <f t="shared" si="2"/>
        <v>0</v>
      </c>
      <c r="H15" s="1449">
        <f>VLOOKUP($D$1,Solieu!A:C,2,0)</f>
        <v>4</v>
      </c>
      <c r="I15" s="1444"/>
      <c r="J15" s="1285" t="str">
        <f t="shared" si="0"/>
        <v/>
      </c>
      <c r="K15" s="1475" t="s">
        <v>4509</v>
      </c>
    </row>
    <row r="16" spans="1:20">
      <c r="C16" s="1445">
        <f>SUM($J$4:J16)</f>
        <v>10</v>
      </c>
      <c r="D16" s="1447" t="e">
        <f>VLOOKUP(B16,DG!A:C,3,0)</f>
        <v>#N/A</v>
      </c>
      <c r="E16" s="1449" t="e">
        <f>VLOOKUP(B16,DG!A:D,4,0)</f>
        <v>#N/A</v>
      </c>
      <c r="F16" s="1449">
        <f t="shared" si="4"/>
        <v>0</v>
      </c>
      <c r="G16" s="1449">
        <f t="shared" si="2"/>
        <v>0</v>
      </c>
      <c r="H16" s="1449">
        <f>VLOOKUP($D$1,Solieu!A:C,2,0)</f>
        <v>4</v>
      </c>
      <c r="I16" s="1444"/>
      <c r="J16" s="1285" t="str">
        <f t="shared" si="0"/>
        <v/>
      </c>
      <c r="K16" s="1475" t="s">
        <v>4509</v>
      </c>
    </row>
    <row r="17" spans="3:10">
      <c r="C17" s="1445">
        <f>SUM($J$4:J17)</f>
        <v>10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10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10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10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10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10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10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10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10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10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10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10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10</v>
      </c>
      <c r="D29" s="1447" t="e">
        <f>VLOOKUP(B29,DG!A:C,3,0)</f>
        <v>#N/A</v>
      </c>
      <c r="E29" s="1449" t="e">
        <f>VLOOKUP(B29,DG!A:D,4,0)</f>
        <v>#N/A</v>
      </c>
      <c r="F29" s="1449">
        <f t="shared" si="4"/>
        <v>0</v>
      </c>
      <c r="G29" s="1449">
        <f t="shared" si="2"/>
        <v>0</v>
      </c>
      <c r="H29" s="1449">
        <f>VLOOKUP($D$1,Solieu!A:C,2,0)</f>
        <v>4</v>
      </c>
      <c r="I29" s="1444"/>
      <c r="J29" s="1285" t="str">
        <f t="shared" si="0"/>
        <v/>
      </c>
    </row>
    <row r="30" spans="3:10">
      <c r="C30" s="1997">
        <f>SUM($J$4:J30)</f>
        <v>10</v>
      </c>
      <c r="D30" s="1447" t="e">
        <f>VLOOKUP(B30,DG!A:C,3,0)</f>
        <v>#N/A</v>
      </c>
      <c r="E30" s="1449" t="e">
        <f>VLOOKUP(B30,DG!A:D,4,0)</f>
        <v>#N/A</v>
      </c>
      <c r="F30" s="1449">
        <f t="shared" si="4"/>
        <v>0</v>
      </c>
      <c r="G30" s="1449">
        <f t="shared" si="2"/>
        <v>0</v>
      </c>
      <c r="H30" s="1449">
        <f>VLOOKUP($D$1,Solieu!A:C,2,0)</f>
        <v>4</v>
      </c>
      <c r="I30" s="1998"/>
      <c r="J30" s="1285" t="str">
        <f t="shared" si="0"/>
        <v/>
      </c>
    </row>
    <row r="31" spans="3:10">
      <c r="C31" s="1997">
        <f>SUM($J$4:J31)</f>
        <v>10</v>
      </c>
      <c r="D31" s="1447" t="e">
        <f>VLOOKUP(B31,DG!A:C,3,0)</f>
        <v>#N/A</v>
      </c>
      <c r="E31" s="1449" t="e">
        <f>VLOOKUP(B31,DG!A:D,4,0)</f>
        <v>#N/A</v>
      </c>
      <c r="F31" s="1449">
        <f t="shared" si="4"/>
        <v>0</v>
      </c>
      <c r="G31" s="1449">
        <f t="shared" si="2"/>
        <v>0</v>
      </c>
      <c r="H31" s="1449">
        <f>VLOOKUP($D$1,Solieu!A:C,2,0)</f>
        <v>4</v>
      </c>
      <c r="I31" s="1998"/>
      <c r="J31" s="1285" t="str">
        <f t="shared" si="0"/>
        <v/>
      </c>
    </row>
    <row r="32" spans="3:10">
      <c r="C32" s="1445">
        <f>SUM($J$4:J32)</f>
        <v>10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10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10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10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10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10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10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10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10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10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10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10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10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10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10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10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10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10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10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10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10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10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10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10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10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10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10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10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10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10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10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10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10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10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10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10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10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10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10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10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10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10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10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10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10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10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10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10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10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10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10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10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10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10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xr:uid="{00000000-0009-0000-0000-00001B000000}"/>
  <conditionalFormatting sqref="B89:B99 B109:B1048576 B1:B3 B11:B29 B32:B67">
    <cfRule type="duplicateValues" dxfId="37" priority="6"/>
  </conditionalFormatting>
  <conditionalFormatting sqref="B6:B8">
    <cfRule type="duplicateValues" dxfId="36" priority="5"/>
  </conditionalFormatting>
  <conditionalFormatting sqref="B9">
    <cfRule type="duplicateValues" dxfId="35" priority="4"/>
  </conditionalFormatting>
  <conditionalFormatting sqref="B10">
    <cfRule type="duplicateValues" dxfId="34" priority="3"/>
  </conditionalFormatting>
  <conditionalFormatting sqref="B68 B70:B72">
    <cfRule type="duplicateValues" dxfId="33" priority="2"/>
  </conditionalFormatting>
  <conditionalFormatting sqref="B30:B31">
    <cfRule type="duplicateValues" dxfId="32"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K24"/>
  <sheetViews>
    <sheetView workbookViewId="0">
      <selection activeCell="E6" sqref="E6"/>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774" t="s">
        <v>1714</v>
      </c>
      <c r="D3" s="1470" t="s">
        <v>4510</v>
      </c>
      <c r="E3" s="2775" t="s">
        <v>4235</v>
      </c>
      <c r="F3" s="2776" t="s">
        <v>4512</v>
      </c>
      <c r="G3" s="2776"/>
      <c r="H3" s="2777" t="s">
        <v>4201</v>
      </c>
      <c r="I3" s="1461" t="s">
        <v>512</v>
      </c>
    </row>
    <row r="4" spans="1:11">
      <c r="C4" s="2774"/>
      <c r="D4" s="1471" t="s">
        <v>4511</v>
      </c>
      <c r="E4" s="2775"/>
      <c r="F4" s="1469" t="s">
        <v>4236</v>
      </c>
      <c r="G4" s="1469" t="s">
        <v>4202</v>
      </c>
      <c r="H4" s="2778"/>
      <c r="I4" s="1285">
        <f>IF(OR(E4&gt;0,F4&gt;0),1,"")</f>
        <v>1</v>
      </c>
      <c r="J4" s="933" t="s">
        <v>4640</v>
      </c>
      <c r="K4" s="1285" t="s">
        <v>4641</v>
      </c>
    </row>
    <row r="5" spans="1:11" ht="41.25" customHeight="1">
      <c r="A5" s="2089"/>
      <c r="B5" s="1285" t="s">
        <v>88</v>
      </c>
      <c r="C5" s="1466">
        <v>1</v>
      </c>
      <c r="D5" s="1472" t="str">
        <f>$J$4&amp;J5&amp;$K$4&amp;K5</f>
        <v>Từ cột 011/001 đến cột 011/017</v>
      </c>
      <c r="E5" s="1468" t="s">
        <v>4515</v>
      </c>
      <c r="F5" s="2455">
        <f>'Hoan cong VL-NC-MTC'!G132</f>
        <v>449</v>
      </c>
      <c r="G5" s="2455">
        <f>'Hoan cong VL-NC-MTC'!H132</f>
        <v>449</v>
      </c>
      <c r="H5" s="1467"/>
      <c r="I5" s="1285">
        <f t="shared" ref="I5:I15" si="0">IF(OR(E5&gt;0,F5&gt;0),1,"")</f>
        <v>1</v>
      </c>
      <c r="J5" s="1934" t="s">
        <v>5155</v>
      </c>
      <c r="K5" s="1934" t="s">
        <v>5171</v>
      </c>
    </row>
    <row r="6" spans="1:11" ht="50.4">
      <c r="B6" s="1285" t="s">
        <v>512</v>
      </c>
      <c r="C6" s="1466">
        <v>2</v>
      </c>
      <c r="D6" s="1472" t="str">
        <f>$J$4&amp;J6&amp;$K$4&amp;K6</f>
        <v>Từ cột 006 đến cột 006/001</v>
      </c>
      <c r="E6" s="1468" t="s">
        <v>4977</v>
      </c>
      <c r="F6" s="2456">
        <f>'Hoan cong VL-NC-MTC'!G133</f>
        <v>61</v>
      </c>
      <c r="G6" s="2456">
        <f>'Hoan cong VL-NC-MTC'!H133</f>
        <v>61</v>
      </c>
      <c r="H6" s="1467"/>
      <c r="I6" s="1285">
        <f t="shared" si="0"/>
        <v>1</v>
      </c>
      <c r="J6" s="1934" t="s">
        <v>170</v>
      </c>
      <c r="K6" s="2457" t="s">
        <v>5176</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0</v>
      </c>
    </row>
    <row r="18" spans="6:7">
      <c r="F18" s="1449">
        <f>SUMIF(TongHopKL!$D:$D,B18,TongHopKL!$G:$G)</f>
        <v>0</v>
      </c>
      <c r="G18" s="1449">
        <f>SUMIF(TongHopKL!$D:$D,B18,TongHopKL!$H:$H)</f>
        <v>0</v>
      </c>
    </row>
    <row r="19" spans="6:7">
      <c r="F19" s="1449">
        <f>SUMIF(TongHopKL!$D:$D,B19,TongHopKL!$G:$G)</f>
        <v>0</v>
      </c>
      <c r="G19" s="1449">
        <f>SUMIF(TongHopKL!$D:$D,B19,TongHopKL!$H:$H)</f>
        <v>0</v>
      </c>
    </row>
    <row r="20" spans="6:7">
      <c r="F20" s="1449">
        <f>SUMIF(TongHopKL!$D:$D,B20,TongHopKL!$G:$G)</f>
        <v>0</v>
      </c>
      <c r="G20" s="1449">
        <f>SUMIF(TongHopKL!$D:$D,B20,TongHopKL!$H:$H)</f>
        <v>0</v>
      </c>
    </row>
    <row r="21" spans="6:7">
      <c r="F21" s="1449">
        <f>SUMIF(TongHopKL!$D:$D,B21,TongHopKL!$G:$G)</f>
        <v>0</v>
      </c>
      <c r="G21" s="1449">
        <f>SUMIF(TongHopKL!$D:$D,B21,TongHopKL!$H:$H)</f>
        <v>0</v>
      </c>
    </row>
    <row r="22" spans="6:7">
      <c r="F22" s="1449">
        <f>SUMIF(TongHopKL!$D:$D,B22,TongHopKL!$G:$G)</f>
        <v>0</v>
      </c>
      <c r="G22" s="1449">
        <f>SUMIF(TongHopKL!$D:$D,B22,TongHopKL!$H:$H)</f>
        <v>0</v>
      </c>
    </row>
    <row r="23" spans="6:7">
      <c r="F23" s="1449">
        <f>SUMIF(TongHopKL!$D:$D,B23,TongHopKL!$G:$G)</f>
        <v>0</v>
      </c>
      <c r="G23" s="1449">
        <f>SUMIF(TongHopKL!$D:$D,B23,TongHopKL!$H:$H)</f>
        <v>0</v>
      </c>
    </row>
    <row r="24" spans="6:7">
      <c r="F24" s="1449">
        <f>SUMIF(TongHopKL!$D:$D,B24,TongHopKL!$G:$G)</f>
        <v>0</v>
      </c>
      <c r="G24" s="1449">
        <f>SUMIF(TongHopKL!$D:$D,B24,TongHopKL!$H:$H)</f>
        <v>0</v>
      </c>
    </row>
  </sheetData>
  <autoFilter ref="I3:I24" xr:uid="{00000000-0009-0000-0000-00001C000000}"/>
  <mergeCells count="4">
    <mergeCell ref="C3:C4"/>
    <mergeCell ref="E3:E4"/>
    <mergeCell ref="F3:G3"/>
    <mergeCell ref="H3:H4"/>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26"/>
  <sheetViews>
    <sheetView workbookViewId="0">
      <selection activeCell="C1" sqref="C1:H9"/>
    </sheetView>
  </sheetViews>
  <sheetFormatPr defaultColWidth="8.90625" defaultRowHeight="16.8"/>
  <cols>
    <col min="1" max="1" width="8.90625" style="1751"/>
    <col min="2" max="2" width="10.1796875" style="1751" bestFit="1" customWidth="1"/>
    <col min="3" max="3" width="6.1796875" style="1751" customWidth="1"/>
    <col min="4" max="4" width="30.453125" style="1451" customWidth="1"/>
    <col min="5" max="5" width="6.81640625" style="998" customWidth="1"/>
    <col min="6" max="6" width="6.36328125" style="998" customWidth="1"/>
    <col min="7" max="7" width="7" style="998" customWidth="1"/>
    <col min="8" max="8" width="9.08984375" style="1751" customWidth="1"/>
    <col min="9" max="9" width="5.81640625" style="1451" customWidth="1"/>
    <col min="10" max="16384" width="8.90625" style="1751"/>
  </cols>
  <sheetData>
    <row r="1" spans="2:10" ht="37.5" customHeight="1">
      <c r="C1" s="1747" t="s">
        <v>1714</v>
      </c>
      <c r="D1" s="1747" t="s">
        <v>4598</v>
      </c>
      <c r="E1" s="1748" t="s">
        <v>4232</v>
      </c>
      <c r="F1" s="1748" t="s">
        <v>5172</v>
      </c>
      <c r="G1" s="1748" t="s">
        <v>4202</v>
      </c>
      <c r="H1" s="1747" t="s">
        <v>4201</v>
      </c>
      <c r="I1" s="1451" t="s">
        <v>4599</v>
      </c>
    </row>
    <row r="2" spans="2:10" ht="25.95" customHeight="1">
      <c r="B2" s="1749">
        <f>'NT-VT'!A6</f>
        <v>1</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f>'NT-VT'!A7</f>
        <v>2</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f>'NT-VT'!A8</f>
        <v>3</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f>'NT-VT'!A9</f>
        <v>4</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f>'NT-VT'!A10</f>
        <v>5</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f>'NT-VT'!A11</f>
        <v>6</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f>'NT-VT'!A12</f>
        <v>7</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f>'NT-VT'!A13</f>
        <v>8</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f>'NT-VT'!A15</f>
        <v>10</v>
      </c>
      <c r="C11" s="1752">
        <f>SUM($I$2:I11)</f>
        <v>6</v>
      </c>
      <c r="D11" s="1745"/>
      <c r="E11" s="1750"/>
      <c r="F11" s="1750"/>
      <c r="G11" s="1750"/>
      <c r="H11" s="1745"/>
      <c r="I11" s="1451">
        <f t="shared" si="0"/>
        <v>0</v>
      </c>
    </row>
    <row r="12" spans="2:10" hidden="1">
      <c r="B12" s="1749">
        <f>'NT-VT'!A16</f>
        <v>11</v>
      </c>
      <c r="C12" s="1752">
        <f>SUM($I$2:I12)</f>
        <v>6</v>
      </c>
      <c r="D12" s="1745"/>
      <c r="E12" s="1750"/>
      <c r="F12" s="1750"/>
      <c r="G12" s="1750"/>
      <c r="H12" s="1745"/>
      <c r="I12" s="1451">
        <f t="shared" si="0"/>
        <v>0</v>
      </c>
    </row>
    <row r="13" spans="2:10" hidden="1">
      <c r="B13" s="1749">
        <f>'NT-VT'!A17</f>
        <v>12</v>
      </c>
      <c r="C13" s="1752">
        <f>SUM($I$2:I13)</f>
        <v>6</v>
      </c>
      <c r="D13" s="1745"/>
      <c r="E13" s="1750"/>
      <c r="F13" s="1750"/>
      <c r="G13" s="1750"/>
      <c r="H13" s="1745"/>
      <c r="I13" s="1451">
        <f t="shared" si="0"/>
        <v>0</v>
      </c>
      <c r="J13" s="1451"/>
    </row>
    <row r="14" spans="2:10">
      <c r="B14" s="1749">
        <f>'NT-VT'!A18</f>
        <v>13</v>
      </c>
      <c r="C14" s="1752">
        <f>SUM($I$2:I14)</f>
        <v>7</v>
      </c>
      <c r="D14" s="1745" t="e">
        <f>VLOOKUP(B14,DG!A:D,3,0)</f>
        <v>#N/A</v>
      </c>
      <c r="E14" s="1750" t="e">
        <f>VLOOKUP(B14,DG!A:D,4,0)</f>
        <v>#N/A</v>
      </c>
      <c r="F14" s="1750">
        <f>SUMIF('NT-VT'!A:A,'8TB'!B14,'NT-VT'!E:E)</f>
        <v>68</v>
      </c>
      <c r="G14" s="1750" t="e">
        <f>VLOOKUP(B14,Solieu!G:L,6,0)</f>
        <v>#N/A</v>
      </c>
      <c r="H14" s="1745"/>
      <c r="I14" s="1451">
        <f t="shared" si="0"/>
        <v>1</v>
      </c>
    </row>
    <row r="15" spans="2:10" hidden="1">
      <c r="B15" s="1749">
        <f>'NT-VT'!A19</f>
        <v>14</v>
      </c>
      <c r="C15" s="1752">
        <f>SUM($I$2:I15)</f>
        <v>7</v>
      </c>
      <c r="D15" s="1745" t="e">
        <f>VLOOKUP(B15,DG!A:D,3,0)</f>
        <v>#N/A</v>
      </c>
      <c r="E15" s="1750" t="e">
        <f>VLOOKUP(B15,DG!A:D,4,0)</f>
        <v>#N/A</v>
      </c>
      <c r="F15" s="1750">
        <f>SUMIF('NT-VT'!A:A,'8TB'!B15,'NT-VT'!E:E)</f>
        <v>68</v>
      </c>
      <c r="G15" s="1750" t="e">
        <f>VLOOKUP(B15,Solieu!G:L,6,0)</f>
        <v>#N/A</v>
      </c>
      <c r="H15" s="1745"/>
    </row>
    <row r="16" spans="2:10" hidden="1">
      <c r="B16" s="1749">
        <f>'NT-VT'!A20</f>
        <v>15</v>
      </c>
      <c r="C16" s="1752">
        <f>SUM($I$2:I16)</f>
        <v>7</v>
      </c>
      <c r="D16" s="1745" t="e">
        <f>VLOOKUP(B16,DG!A:D,3,0)</f>
        <v>#N/A</v>
      </c>
      <c r="E16" s="1750" t="e">
        <f>VLOOKUP(B16,DG!A:D,4,0)</f>
        <v>#N/A</v>
      </c>
      <c r="F16" s="1750">
        <f>SUMIF('NT-VT'!A:A,'8TB'!B16,'NT-VT'!E:E)</f>
        <v>2</v>
      </c>
      <c r="G16" s="1750" t="e">
        <f>VLOOKUP(B16,Solieu!G:L,6,0)</f>
        <v>#N/A</v>
      </c>
      <c r="H16" s="1745"/>
    </row>
    <row r="17" spans="2:10" hidden="1">
      <c r="B17" s="1749" t="s">
        <v>1026</v>
      </c>
      <c r="C17" s="1752">
        <f>SUM($I$2:I17)</f>
        <v>7</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7</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7</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7</v>
      </c>
      <c r="D20" s="1745" t="str">
        <f>VLOOKUP(B20,DG!A:D,3,0)</f>
        <v>Vỏ tủ trạm giàn 2 ngăn + khóa tủ</v>
      </c>
      <c r="E20" s="1750" t="str">
        <f>VLOOKUP(B20,DG!A:D,4,0)</f>
        <v>cái</v>
      </c>
      <c r="F20" s="1750">
        <f>SUMIF('NT-VT'!A:A,'8TB'!B20,'NT-VT'!E:E)</f>
        <v>0</v>
      </c>
      <c r="G20" s="1750" t="e">
        <f>VLOOKUP(B20,Solieu!G:L,6,0)</f>
        <v>#N/A</v>
      </c>
      <c r="H20" s="1745"/>
      <c r="I20" s="1451">
        <f t="shared" si="1"/>
        <v>0</v>
      </c>
    </row>
    <row r="21" spans="2:10" hidden="1">
      <c r="B21" s="1749"/>
      <c r="C21" s="1752">
        <f>SUM($I$2:I21)</f>
        <v>7</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7</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7</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7</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xr:uid="{00000000-0009-0000-0000-00001D000000}">
    <filterColumn colId="7">
      <filters>
        <filter val="1"/>
      </filters>
    </filterColumn>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62"/>
  <sheetViews>
    <sheetView topLeftCell="C18" workbookViewId="0">
      <selection activeCell="D9" sqref="D9:D41"/>
    </sheetView>
  </sheetViews>
  <sheetFormatPr defaultColWidth="8.90625" defaultRowHeight="16.8"/>
  <cols>
    <col min="1" max="1" width="8.90625" style="1452"/>
    <col min="2" max="2" width="14.453125" style="1288" customWidth="1"/>
    <col min="3" max="3" width="5.36328125" style="1452" customWidth="1"/>
    <col min="4" max="4" width="61.6328125" style="1452" customWidth="1"/>
    <col min="5" max="5" width="11.54296875" style="1452" hidden="1" customWidth="1"/>
    <col min="6" max="6" width="9.54296875" style="1452" hidden="1" customWidth="1"/>
    <col min="7" max="7" width="10.54296875" style="1452" customWidth="1"/>
    <col min="8" max="8" width="35.36328125" style="1452" customWidth="1"/>
    <col min="9" max="16384" width="8.90625" style="1452"/>
  </cols>
  <sheetData>
    <row r="3" spans="2:11">
      <c r="G3" s="1452" t="s">
        <v>1962</v>
      </c>
    </row>
    <row r="4" spans="2:11">
      <c r="D4" s="2779" t="str">
        <f>"- Tiếp địa TBA tại vị trí trụ số:"&amp;F4&amp;"."</f>
        <v>- Tiếp địa TBA tại vị trí trụ số:015/002.</v>
      </c>
      <c r="E4" s="2779"/>
      <c r="F4" s="1452" t="s">
        <v>4597</v>
      </c>
    </row>
    <row r="5" spans="2:11">
      <c r="D5" s="2779" t="str">
        <f>"- Tiếp địa lặp lại đường dây trung thế tại vị trí trụ số: "&amp;F5&amp;"."</f>
        <v>- Tiếp địa lặp lại đường dây trung thế tại vị trí trụ số: 015.</v>
      </c>
      <c r="E5" s="2779"/>
      <c r="F5" s="1743" t="s">
        <v>4591</v>
      </c>
    </row>
    <row r="6" spans="2:11">
      <c r="D6" s="2779" t="str">
        <f>"- Tiếp địa lặp lại đường dây trung thế tại vị trí trụ số: "&amp;F6&amp;"."</f>
        <v>- Tiếp địa lặp lại đường dây trung thế tại vị trí trụ số: .</v>
      </c>
      <c r="E6" s="2779"/>
      <c r="G6" s="1452" t="s">
        <v>512</v>
      </c>
    </row>
    <row r="8" spans="2:11" ht="36.6" customHeight="1">
      <c r="C8" s="2210" t="s">
        <v>1714</v>
      </c>
      <c r="D8" s="2210" t="s">
        <v>4231</v>
      </c>
      <c r="E8" s="1998" t="s">
        <v>4233</v>
      </c>
      <c r="F8" s="1998" t="s">
        <v>4234</v>
      </c>
      <c r="G8" s="1461" t="s">
        <v>1962</v>
      </c>
    </row>
    <row r="9" spans="2:11" ht="24.9" customHeight="1">
      <c r="C9" s="2082"/>
      <c r="D9" s="2246" t="str">
        <f>H9&amp;": "&amp;ROUND(J9,1)&amp;" "&amp;I9</f>
        <v>Tiếp địa lặp lại (trụ 10,5m): 1 Bộ</v>
      </c>
      <c r="E9" s="2243" t="str">
        <f>Solieu!B1</f>
        <v>Số bản vẽ</v>
      </c>
      <c r="F9" s="2307" t="s">
        <v>4217</v>
      </c>
      <c r="G9" s="1452">
        <f>IF(SUM(G10:G16)&gt;0,1,"")</f>
        <v>1</v>
      </c>
      <c r="H9" s="1952" t="str">
        <f>'Hoan cong VL-NC-MTC'!E37</f>
        <v>Tiếp địa lặp lại (trụ 10,5m)</v>
      </c>
      <c r="I9" s="1466" t="str">
        <f>'Hoan cong VL-NC-MTC'!F37</f>
        <v>Bộ</v>
      </c>
      <c r="J9" s="1466">
        <f>'Hoan cong VL-NC-MTC'!G37</f>
        <v>1</v>
      </c>
      <c r="K9" s="1466">
        <f>'Hoan cong VL-NC-MTC'!H37</f>
        <v>1</v>
      </c>
    </row>
    <row r="10" spans="2:11" ht="24.9" customHeight="1">
      <c r="C10" s="2247"/>
      <c r="D10" s="2248" t="str">
        <f>" - "&amp;H10&amp;": "&amp;ROUND(J10,1)&amp;" "&amp;I10</f>
        <v xml:space="preserve"> - Cáp đồng trần M25mm2: 2.2 kg</v>
      </c>
      <c r="E10" s="2243"/>
      <c r="F10" s="2307"/>
      <c r="G10" s="1452">
        <f>IF(K10&gt;0,1,"")</f>
        <v>1</v>
      </c>
      <c r="H10" s="1949" t="str">
        <f>'Hoan cong VL-NC-MTC'!E38</f>
        <v>Cáp đồng trần M25mm2</v>
      </c>
      <c r="I10" s="1466" t="str">
        <f>'Hoan cong VL-NC-MTC'!F38</f>
        <v>kg</v>
      </c>
      <c r="J10" s="1466">
        <f>'Hoan cong VL-NC-MTC'!G38</f>
        <v>2.2400000000000002</v>
      </c>
      <c r="K10" s="2090">
        <f>'Hoan cong VL-NC-MTC'!H38</f>
        <v>2.2400000000000002</v>
      </c>
    </row>
    <row r="11" spans="2:11" ht="24.9" customHeight="1">
      <c r="B11" s="1753"/>
      <c r="C11" s="2247"/>
      <c r="D11" s="2248" t="str">
        <f t="shared" ref="D11:D17" si="0">" - "&amp;H11&amp;": "&amp;ROUND(J11,1)&amp;" "&amp;I11</f>
        <v xml:space="preserve"> - Cọc tiếp đất Þ 16- 2,4m + kẹp cọc mạ đồng: 1 bộ</v>
      </c>
      <c r="E11" s="2243"/>
      <c r="F11" s="2307"/>
      <c r="G11" s="1452">
        <f t="shared" ref="G11" si="1">IF(K11&gt;0,1,"")</f>
        <v>1</v>
      </c>
      <c r="H11" s="1949" t="str">
        <f>'Hoan cong VL-NC-MTC'!E39</f>
        <v>Cọc tiếp đất Þ 16- 2,4m + kẹp cọc mạ đồng</v>
      </c>
      <c r="I11" s="1466" t="str">
        <f>'Hoan cong VL-NC-MTC'!F39</f>
        <v>bộ</v>
      </c>
      <c r="J11" s="1466">
        <f>'Hoan cong VL-NC-MTC'!G39</f>
        <v>1</v>
      </c>
      <c r="K11" s="2090">
        <f>'Hoan cong VL-NC-MTC'!H39</f>
        <v>1</v>
      </c>
    </row>
    <row r="12" spans="2:11" ht="24.9" customHeight="1">
      <c r="C12" s="2247"/>
      <c r="D12" s="2248" t="str">
        <f t="shared" si="0"/>
        <v xml:space="preserve"> - Kẹp nối đồng-nhôm: 2 cái</v>
      </c>
      <c r="E12" s="2243"/>
      <c r="F12" s="2307"/>
      <c r="G12" s="1452">
        <f>IF(K12&gt;0,1,"")</f>
        <v>1</v>
      </c>
      <c r="H12" s="1949" t="str">
        <f>'Hoan cong VL-NC-MTC'!E40</f>
        <v>Kẹp nối đồng-nhôm</v>
      </c>
      <c r="I12" s="1466" t="str">
        <f>'Hoan cong VL-NC-MTC'!F40</f>
        <v>cái</v>
      </c>
      <c r="J12" s="1466">
        <f>'Hoan cong VL-NC-MTC'!G40</f>
        <v>2</v>
      </c>
      <c r="K12" s="2090">
        <f>'Hoan cong VL-NC-MTC'!H40</f>
        <v>2</v>
      </c>
    </row>
    <row r="13" spans="2:11" ht="24.9" hidden="1" customHeight="1">
      <c r="C13" s="2247"/>
      <c r="D13" s="2248" t="str">
        <f t="shared" si="0"/>
        <v xml:space="preserve"> - : 0 </v>
      </c>
      <c r="E13" s="2144"/>
      <c r="F13" s="2091"/>
      <c r="G13" s="1452" t="str">
        <f t="shared" ref="G13:G15" si="2">IF(K13&gt;0,1,"")</f>
        <v/>
      </c>
      <c r="H13" s="1949"/>
      <c r="I13" s="1466"/>
      <c r="J13" s="1466"/>
      <c r="K13" s="1466"/>
    </row>
    <row r="14" spans="2:11" ht="24.9" hidden="1" customHeight="1">
      <c r="C14" s="2247"/>
      <c r="D14" s="2248" t="str">
        <f t="shared" si="0"/>
        <v xml:space="preserve"> - : 0 </v>
      </c>
      <c r="E14" s="2144"/>
      <c r="F14" s="2091"/>
      <c r="G14" s="1452" t="str">
        <f t="shared" si="2"/>
        <v/>
      </c>
      <c r="H14" s="1949"/>
      <c r="I14" s="1466"/>
      <c r="J14" s="1466"/>
      <c r="K14" s="1466"/>
    </row>
    <row r="15" spans="2:11" ht="24.9" hidden="1" customHeight="1">
      <c r="C15" s="2247"/>
      <c r="D15" s="2248" t="str">
        <f t="shared" si="0"/>
        <v xml:space="preserve"> - : 0 </v>
      </c>
      <c r="E15" s="2144"/>
      <c r="F15" s="2091"/>
      <c r="G15" s="1452" t="str">
        <f t="shared" si="2"/>
        <v/>
      </c>
      <c r="H15" s="1949"/>
      <c r="I15" s="1466"/>
      <c r="J15" s="1466"/>
      <c r="K15" s="1466"/>
    </row>
    <row r="16" spans="2:11" ht="24.9" hidden="1" customHeight="1">
      <c r="C16" s="2247"/>
      <c r="D16" s="2248" t="str">
        <f t="shared" si="0"/>
        <v xml:space="preserve"> - : 0 </v>
      </c>
      <c r="E16" s="2144"/>
      <c r="F16" s="2091"/>
      <c r="G16" s="1452" t="str">
        <f>IF(K16&gt;0,1,"")</f>
        <v/>
      </c>
      <c r="H16" s="1949"/>
      <c r="I16" s="1466"/>
      <c r="J16" s="1466"/>
      <c r="K16" s="1466"/>
    </row>
    <row r="17" spans="2:11" ht="24.9" customHeight="1">
      <c r="C17" s="2082"/>
      <c r="D17" s="2248" t="str">
        <f t="shared" si="0"/>
        <v xml:space="preserve"> - Độ chôn sâu đầu cọc đến mặt đất: 0.5 mét</v>
      </c>
      <c r="E17" s="2244"/>
      <c r="F17" s="2145"/>
      <c r="G17" s="1452">
        <f>G9</f>
        <v>1</v>
      </c>
      <c r="H17" s="2158" t="s">
        <v>4851</v>
      </c>
      <c r="I17" s="2249" t="s">
        <v>2541</v>
      </c>
      <c r="J17" s="2249">
        <v>0.5</v>
      </c>
      <c r="K17" s="2249" t="s">
        <v>1018</v>
      </c>
    </row>
    <row r="18" spans="2:11" ht="24.9" customHeight="1">
      <c r="C18" s="2082"/>
      <c r="D18" s="2246" t="str">
        <f>H18&amp;": "&amp;ROUND(J18,1)&amp;" "&amp;I18</f>
        <v>Tiếp địa lặp lại (trụ 12m): 11 Bộ</v>
      </c>
      <c r="E18" s="2243">
        <f>Solieu!B9</f>
        <v>2</v>
      </c>
      <c r="F18" s="2134" t="s">
        <v>4217</v>
      </c>
      <c r="G18" s="1452">
        <f>IF(SUM(G19:G25)&gt;0,1,"")</f>
        <v>1</v>
      </c>
      <c r="H18" s="1952" t="str">
        <f>'Hoan cong VL-NC-MTC'!E43</f>
        <v>Tiếp địa lặp lại (trụ 12m)</v>
      </c>
      <c r="I18" s="1466" t="str">
        <f>'Hoan cong VL-NC-MTC'!F43</f>
        <v>Bộ</v>
      </c>
      <c r="J18" s="1466">
        <f>'Hoan cong VL-NC-MTC'!G43</f>
        <v>11</v>
      </c>
      <c r="K18" s="1466">
        <f>'Hoan cong VL-NC-MTC'!H43</f>
        <v>11</v>
      </c>
    </row>
    <row r="19" spans="2:11" ht="24.9" customHeight="1">
      <c r="C19" s="2247"/>
      <c r="D19" s="2248" t="str">
        <f>" - "&amp;H19&amp;": "&amp;ROUND(J19,1)&amp;" "&amp;I19</f>
        <v xml:space="preserve"> - Cáp đồng trần M25mm2: 24.6 kg</v>
      </c>
      <c r="E19" s="2243"/>
      <c r="F19" s="2134"/>
      <c r="G19" s="1452">
        <f>IF(K19&gt;0,1,"")</f>
        <v>1</v>
      </c>
      <c r="H19" s="1949" t="str">
        <f>'Hoan cong VL-NC-MTC'!E44</f>
        <v>Cáp đồng trần M25mm2</v>
      </c>
      <c r="I19" s="1466" t="str">
        <f>'Hoan cong VL-NC-MTC'!F44</f>
        <v>kg</v>
      </c>
      <c r="J19" s="1466">
        <f>'Hoan cong VL-NC-MTC'!G44</f>
        <v>24.64</v>
      </c>
      <c r="K19" s="2090">
        <f>'Hoan cong VL-NC-MTC'!H44</f>
        <v>24.64</v>
      </c>
    </row>
    <row r="20" spans="2:11" ht="24.9" customHeight="1">
      <c r="B20" s="1753"/>
      <c r="C20" s="2247"/>
      <c r="D20" s="2248" t="str">
        <f t="shared" ref="D20:D26" si="3">" - "&amp;H20&amp;": "&amp;ROUND(J20,1)&amp;" "&amp;I20</f>
        <v xml:space="preserve"> - Cọc tiếp đất Þ 16- 2,4m + kẹp cọc mạ đồng: 11 bộ</v>
      </c>
      <c r="E20" s="2243"/>
      <c r="F20" s="2134"/>
      <c r="G20" s="1452">
        <f t="shared" ref="G20" si="4">IF(K20&gt;0,1,"")</f>
        <v>1</v>
      </c>
      <c r="H20" s="1949" t="str">
        <f>'Hoan cong VL-NC-MTC'!E45</f>
        <v>Cọc tiếp đất Þ 16- 2,4m + kẹp cọc mạ đồng</v>
      </c>
      <c r="I20" s="1466" t="str">
        <f>'Hoan cong VL-NC-MTC'!F45</f>
        <v>bộ</v>
      </c>
      <c r="J20" s="1466">
        <f>'Hoan cong VL-NC-MTC'!G45</f>
        <v>11</v>
      </c>
      <c r="K20" s="2090">
        <f>'Hoan cong VL-NC-MTC'!H45</f>
        <v>11</v>
      </c>
    </row>
    <row r="21" spans="2:11" ht="24.9" customHeight="1">
      <c r="C21" s="2247"/>
      <c r="D21" s="2248" t="str">
        <f t="shared" si="3"/>
        <v xml:space="preserve"> - Kẹp ép WR cỡ dây 50mm2: 22 cái</v>
      </c>
      <c r="E21" s="2243"/>
      <c r="F21" s="2134"/>
      <c r="G21" s="1452">
        <f>IF(K21&gt;0,1,"")</f>
        <v>1</v>
      </c>
      <c r="H21" s="1949" t="str">
        <f>'Hoan cong VL-NC-MTC'!E46</f>
        <v>Kẹp ép WR cỡ dây 50mm2</v>
      </c>
      <c r="I21" s="1466" t="str">
        <f>'Hoan cong VL-NC-MTC'!F46</f>
        <v>cái</v>
      </c>
      <c r="J21" s="1466">
        <f>'Hoan cong VL-NC-MTC'!G46</f>
        <v>22</v>
      </c>
      <c r="K21" s="2090">
        <f>'Hoan cong VL-NC-MTC'!H46</f>
        <v>22</v>
      </c>
    </row>
    <row r="22" spans="2:11" ht="24.9" hidden="1" customHeight="1">
      <c r="C22" s="2247"/>
      <c r="D22" s="2248" t="str">
        <f t="shared" si="3"/>
        <v xml:space="preserve"> - Đào rãnh tiếp địa đất cấp 3: 0 m3</v>
      </c>
      <c r="E22" s="2144"/>
      <c r="F22" s="2091"/>
      <c r="G22" s="1452" t="str">
        <f t="shared" ref="G22:G24" si="5">IF(K22&gt;0,1,"")</f>
        <v/>
      </c>
      <c r="H22" s="1949" t="str">
        <f>chitiet!F638</f>
        <v>Đào rãnh tiếp địa đất cấp 3</v>
      </c>
      <c r="I22" s="1466" t="str">
        <f>chitiet!G638</f>
        <v>m3</v>
      </c>
      <c r="J22" s="1466"/>
      <c r="K22" s="1466"/>
    </row>
    <row r="23" spans="2:11" ht="24.9" hidden="1" customHeight="1">
      <c r="C23" s="2247"/>
      <c r="D23" s="2248" t="str">
        <f t="shared" si="3"/>
        <v xml:space="preserve"> - : 0 </v>
      </c>
      <c r="E23" s="2144"/>
      <c r="F23" s="2091"/>
      <c r="G23" s="1452" t="str">
        <f t="shared" si="5"/>
        <v/>
      </c>
      <c r="H23" s="1949"/>
      <c r="I23" s="1466"/>
      <c r="J23" s="1466"/>
      <c r="K23" s="1466"/>
    </row>
    <row r="24" spans="2:11" ht="24.9" hidden="1" customHeight="1">
      <c r="C24" s="2247"/>
      <c r="D24" s="2248" t="str">
        <f t="shared" si="3"/>
        <v xml:space="preserve"> - : 0 </v>
      </c>
      <c r="E24" s="2144"/>
      <c r="F24" s="2091"/>
      <c r="G24" s="1452" t="str">
        <f t="shared" si="5"/>
        <v/>
      </c>
      <c r="H24" s="1949"/>
      <c r="I24" s="1466"/>
      <c r="J24" s="1466"/>
      <c r="K24" s="1466"/>
    </row>
    <row r="25" spans="2:11" ht="24.9" hidden="1" customHeight="1">
      <c r="C25" s="2247"/>
      <c r="D25" s="2248" t="str">
        <f t="shared" si="3"/>
        <v xml:space="preserve"> - : 0 </v>
      </c>
      <c r="E25" s="2144"/>
      <c r="F25" s="2091"/>
      <c r="G25" s="1452" t="str">
        <f>IF(K25&gt;0,1,"")</f>
        <v/>
      </c>
      <c r="H25" s="1949"/>
      <c r="I25" s="1466"/>
      <c r="J25" s="1466"/>
      <c r="K25" s="1466"/>
    </row>
    <row r="26" spans="2:11" ht="24.9" customHeight="1">
      <c r="C26" s="2082"/>
      <c r="D26" s="2248" t="str">
        <f t="shared" si="3"/>
        <v xml:space="preserve"> - Độ chôn sâu đầu cọc đến mặt đất: 0.5 mét</v>
      </c>
      <c r="E26" s="2244"/>
      <c r="F26" s="2145"/>
      <c r="G26" s="1452">
        <f>G18</f>
        <v>1</v>
      </c>
      <c r="H26" s="2158" t="s">
        <v>4851</v>
      </c>
      <c r="I26" s="2249" t="s">
        <v>2541</v>
      </c>
      <c r="J26" s="2249">
        <v>0.5</v>
      </c>
      <c r="K26" s="2249" t="s">
        <v>1018</v>
      </c>
    </row>
    <row r="27" spans="2:11" ht="24.9" customHeight="1">
      <c r="C27" s="2082"/>
      <c r="D27" s="2246" t="str">
        <f>H27&amp;": "&amp;ROUND(J27,1)&amp;" "&amp;I27</f>
        <v>Bộ tiếp địa Trạm biến áp: 1 Bộ</v>
      </c>
      <c r="E27" s="2243">
        <f>E18</f>
        <v>2</v>
      </c>
      <c r="F27" s="2134" t="s">
        <v>4217</v>
      </c>
      <c r="G27" s="1452">
        <f>IF(SUM(G28:G31)&gt;0,1,"")</f>
        <v>1</v>
      </c>
      <c r="H27" s="1950" t="str">
        <f>CT_tram!F1033</f>
        <v>Bộ tiếp địa Trạm biến áp</v>
      </c>
      <c r="I27" s="1953" t="str">
        <f>CT_tram!G1033</f>
        <v>Bộ</v>
      </c>
      <c r="J27" s="1953">
        <f>CT_tram!H1033</f>
        <v>1</v>
      </c>
      <c r="K27" s="1953">
        <f>CT_tram!I1033</f>
        <v>1</v>
      </c>
    </row>
    <row r="28" spans="2:11" ht="24.9" customHeight="1">
      <c r="C28" s="2082"/>
      <c r="D28" s="2248" t="str">
        <f>H28&amp;": "&amp;ROUND(J28,1)&amp;" "&amp;I28</f>
        <v>Cáp đồng trần M25m: (0,224kg/1m) ( 2x12m dọc trụ +3mx17 lưới dưới đất): 20.6 Kg</v>
      </c>
      <c r="E28" s="2244"/>
      <c r="F28" s="2145"/>
      <c r="G28" s="1452">
        <f>IF(K28&gt;0,1,"")</f>
        <v>1</v>
      </c>
      <c r="H28" s="1951" t="str">
        <f>'Hoan cong VL-NC-MTC'!E195</f>
        <v>Cáp đồng trần M25m: (0,224kg/1m) ( 2x12m dọc trụ +3mx17 lưới dưới đất)</v>
      </c>
      <c r="I28" s="1954" t="str">
        <f>'Hoan cong VL-NC-MTC'!F195</f>
        <v>Kg</v>
      </c>
      <c r="J28" s="1954">
        <f>'Hoan cong VL-NC-MTC'!G195</f>
        <v>20.6</v>
      </c>
      <c r="K28" s="1954">
        <f>'Hoan cong VL-NC-MTC'!H195</f>
        <v>20.6</v>
      </c>
    </row>
    <row r="29" spans="2:11" ht="24.9" customHeight="1">
      <c r="C29" s="2082"/>
      <c r="D29" s="2248" t="str">
        <f>" - "&amp;H29&amp;": "&amp;ROUND(J29,1)&amp;" "&amp;I29</f>
        <v xml:space="preserve"> - Cọc tiếp đất Þ16x2400-Fe/Cu +kẹp cọc: 20 bộ</v>
      </c>
      <c r="E29" s="2244"/>
      <c r="F29" s="2145"/>
      <c r="G29" s="1452">
        <f t="shared" ref="G29:G35" si="6">IF(K29&gt;0,1,"")</f>
        <v>1</v>
      </c>
      <c r="H29" s="1951" t="str">
        <f>'Hoan cong VL-NC-MTC'!E196</f>
        <v>Cọc tiếp đất Þ16x2400-Fe/Cu +kẹp cọc</v>
      </c>
      <c r="I29" s="1954" t="str">
        <f>'Hoan cong VL-NC-MTC'!F196</f>
        <v>bộ</v>
      </c>
      <c r="J29" s="1954">
        <f>'Hoan cong VL-NC-MTC'!G196</f>
        <v>20</v>
      </c>
      <c r="K29" s="1954">
        <f>'Hoan cong VL-NC-MTC'!H196</f>
        <v>20</v>
      </c>
    </row>
    <row r="30" spans="2:11" ht="24.9" customHeight="1">
      <c r="C30" s="2082"/>
      <c r="D30" s="2248" t="str">
        <f t="shared" ref="D30:D41" si="7">" - "&amp;H30&amp;": "&amp;ROUND(J30,1)&amp;" "&amp;I30</f>
        <v xml:space="preserve"> - Cosse Cu 25mm² + Boulon Þ12x40/Zn + 2 long đền: 2 bộ</v>
      </c>
      <c r="E30" s="2244"/>
      <c r="F30" s="2145"/>
      <c r="G30" s="1452">
        <f t="shared" si="6"/>
        <v>1</v>
      </c>
      <c r="H30" s="1951" t="str">
        <f>'Hoan cong VL-NC-MTC'!E197</f>
        <v>Cosse Cu 25mm² + Boulon Þ12x40/Zn + 2 long đền</v>
      </c>
      <c r="I30" s="1954" t="str">
        <f>'Hoan cong VL-NC-MTC'!F197</f>
        <v>bộ</v>
      </c>
      <c r="J30" s="1954">
        <f>'Hoan cong VL-NC-MTC'!G197</f>
        <v>2</v>
      </c>
      <c r="K30" s="1954">
        <f>'Hoan cong VL-NC-MTC'!H197</f>
        <v>2</v>
      </c>
    </row>
    <row r="31" spans="2:11" ht="24.9" customHeight="1">
      <c r="C31" s="2082"/>
      <c r="D31" s="2248" t="str">
        <f t="shared" si="7"/>
        <v xml:space="preserve"> - Collier ốp ống PVC Þ21 vào trụ + Boulon Þ16x50/Zn+ 2long đền: 3 bộ</v>
      </c>
      <c r="E31" s="2244"/>
      <c r="F31" s="2145"/>
      <c r="G31" s="1452">
        <f t="shared" si="6"/>
        <v>1</v>
      </c>
      <c r="H31" s="1951" t="str">
        <f>'Hoan cong VL-NC-MTC'!E198</f>
        <v>Collier ốp ống PVC Þ21 vào trụ + Boulon Þ16x50/Zn+ 2long đền</v>
      </c>
      <c r="I31" s="1954" t="str">
        <f>'Hoan cong VL-NC-MTC'!F198</f>
        <v>bộ</v>
      </c>
      <c r="J31" s="1954">
        <f>'Hoan cong VL-NC-MTC'!G198</f>
        <v>3</v>
      </c>
      <c r="K31" s="1954">
        <f>'Hoan cong VL-NC-MTC'!H198</f>
        <v>3</v>
      </c>
    </row>
    <row r="32" spans="2:11" ht="24.9" customHeight="1">
      <c r="C32" s="2082"/>
      <c r="D32" s="2248" t="str">
        <f t="shared" si="7"/>
        <v xml:space="preserve"> - Ống PVC Þ21, dày 2,1mm: 4 m</v>
      </c>
      <c r="E32" s="2243"/>
      <c r="F32" s="2134"/>
      <c r="G32" s="1452">
        <f t="shared" si="6"/>
        <v>1</v>
      </c>
      <c r="H32" s="1951" t="str">
        <f>'Hoan cong VL-NC-MTC'!E199</f>
        <v>Ống PVC Þ21, dày 2,1mm</v>
      </c>
      <c r="I32" s="1954" t="str">
        <f>'Hoan cong VL-NC-MTC'!F199</f>
        <v>m</v>
      </c>
      <c r="J32" s="1954">
        <f>'Hoan cong VL-NC-MTC'!G199</f>
        <v>4</v>
      </c>
      <c r="K32" s="1954">
        <f>'Hoan cong VL-NC-MTC'!H199</f>
        <v>4</v>
      </c>
    </row>
    <row r="33" spans="3:11" ht="24.9" customHeight="1">
      <c r="C33" s="2082"/>
      <c r="D33" s="2248" t="str">
        <f t="shared" si="7"/>
        <v xml:space="preserve"> - Ốc siết cáp: 10 Cái</v>
      </c>
      <c r="E33" s="2243"/>
      <c r="F33" s="2134"/>
      <c r="G33" s="1452">
        <f t="shared" si="6"/>
        <v>1</v>
      </c>
      <c r="H33" s="1951" t="str">
        <f>'Hoan cong VL-NC-MTC'!E200</f>
        <v>Ốc siết cáp</v>
      </c>
      <c r="I33" s="1954" t="str">
        <f>'Hoan cong VL-NC-MTC'!F200</f>
        <v>Cái</v>
      </c>
      <c r="J33" s="1954">
        <f>'Hoan cong VL-NC-MTC'!G200</f>
        <v>10</v>
      </c>
      <c r="K33" s="1954">
        <f>'Hoan cong VL-NC-MTC'!H200</f>
        <v>10</v>
      </c>
    </row>
    <row r="34" spans="3:11" ht="24.9" hidden="1" customHeight="1">
      <c r="C34" s="2082"/>
      <c r="D34" s="2248" t="str">
        <f t="shared" si="7"/>
        <v xml:space="preserve"> - Kéo rãi và lắp tiếp địa cột điện: 0 </v>
      </c>
      <c r="E34" s="2245"/>
      <c r="F34" s="1996"/>
      <c r="G34" s="1452" t="str">
        <f t="shared" si="6"/>
        <v/>
      </c>
      <c r="H34" s="1949" t="str">
        <f>'Hoan cong VL-NC-MTC'!E201</f>
        <v>Kéo rãi và lắp tiếp địa cột điện</v>
      </c>
      <c r="I34" s="1466"/>
      <c r="J34" s="1466"/>
      <c r="K34" s="1466"/>
    </row>
    <row r="35" spans="3:11" ht="24.9" hidden="1" customHeight="1">
      <c r="C35" s="2082"/>
      <c r="D35" s="2248" t="str">
        <f t="shared" si="7"/>
        <v xml:space="preserve"> - Đóng cọc tiếp địa : 0 </v>
      </c>
      <c r="E35" s="2245"/>
      <c r="F35" s="1996"/>
      <c r="G35" s="1452" t="str">
        <f t="shared" si="6"/>
        <v/>
      </c>
      <c r="H35" s="1949" t="str">
        <f>'Hoan cong VL-NC-MTC'!E202</f>
        <v xml:space="preserve">Đóng cọc tiếp địa </v>
      </c>
      <c r="I35" s="1466"/>
      <c r="J35" s="1466"/>
      <c r="K35" s="1466"/>
    </row>
    <row r="36" spans="3:11" ht="24.9" customHeight="1">
      <c r="C36" s="2082"/>
      <c r="D36" s="2248" t="str">
        <f t="shared" ref="D36:D39" si="8">" - "&amp;H36&amp;": "&amp;ROUND(J36,1)&amp;" "&amp;I36</f>
        <v xml:space="preserve"> - Ép đầu cosse M25: 4 Cái</v>
      </c>
      <c r="E36" s="2245"/>
      <c r="F36" s="1996"/>
      <c r="G36" s="1452">
        <f t="shared" ref="G36:G39" si="9">IF(K36&gt;0,1,"")</f>
        <v>1</v>
      </c>
      <c r="H36" s="1949" t="str">
        <f>'Hoan cong VL-NC-MTC'!E203</f>
        <v>Ép đầu cosse M25</v>
      </c>
      <c r="I36" s="1466" t="str">
        <f>'Hoan cong VL-NC-MTC'!F203</f>
        <v>Cái</v>
      </c>
      <c r="J36" s="1466">
        <f>'Hoan cong VL-NC-MTC'!G203</f>
        <v>4</v>
      </c>
      <c r="K36" s="1466">
        <f>'Hoan cong VL-NC-MTC'!H203</f>
        <v>4</v>
      </c>
    </row>
    <row r="37" spans="3:11" ht="24.9" hidden="1" customHeight="1">
      <c r="C37" s="2082"/>
      <c r="D37" s="2248" t="str">
        <f t="shared" si="8"/>
        <v xml:space="preserve"> - : 0 </v>
      </c>
      <c r="E37" s="2245"/>
      <c r="F37" s="1996"/>
      <c r="G37" s="1452" t="str">
        <f t="shared" si="9"/>
        <v/>
      </c>
      <c r="H37" s="1949"/>
      <c r="I37" s="1466"/>
      <c r="J37" s="1466"/>
      <c r="K37" s="1466"/>
    </row>
    <row r="38" spans="3:11" ht="24.9" hidden="1" customHeight="1">
      <c r="C38" s="2082"/>
      <c r="D38" s="2248" t="str">
        <f t="shared" si="8"/>
        <v xml:space="preserve"> - : 0 </v>
      </c>
      <c r="E38" s="2245"/>
      <c r="F38" s="1996"/>
      <c r="G38" s="1452" t="str">
        <f t="shared" si="9"/>
        <v/>
      </c>
      <c r="H38" s="1949"/>
      <c r="I38" s="1466"/>
      <c r="J38" s="1466"/>
      <c r="K38" s="1466"/>
    </row>
    <row r="39" spans="3:11" ht="24.9" hidden="1" customHeight="1">
      <c r="C39" s="2082"/>
      <c r="D39" s="2248" t="str">
        <f t="shared" si="8"/>
        <v xml:space="preserve"> - : 0 </v>
      </c>
      <c r="E39" s="2245"/>
      <c r="F39" s="1996"/>
      <c r="G39" s="1452" t="str">
        <f t="shared" si="9"/>
        <v/>
      </c>
      <c r="H39" s="1949"/>
      <c r="I39" s="1466"/>
      <c r="J39" s="1466"/>
      <c r="K39" s="1466"/>
    </row>
    <row r="40" spans="3:11" ht="24.9" customHeight="1">
      <c r="C40" s="2082"/>
      <c r="D40" s="2248" t="str">
        <f t="shared" si="7"/>
        <v xml:space="preserve"> - Độ chôn sâu đầu cọc đến mặt đất: 0.5 mét</v>
      </c>
      <c r="E40" s="2244"/>
      <c r="F40" s="2145"/>
      <c r="G40" s="1452">
        <f>G27</f>
        <v>1</v>
      </c>
      <c r="H40" s="2158" t="s">
        <v>4851</v>
      </c>
      <c r="I40" s="2249" t="s">
        <v>2541</v>
      </c>
      <c r="J40" s="2249">
        <v>0.5</v>
      </c>
      <c r="K40" s="2249" t="s">
        <v>1018</v>
      </c>
    </row>
    <row r="41" spans="3:11" ht="24.9" customHeight="1">
      <c r="C41" s="2082"/>
      <c r="D41" s="2248" t="str">
        <f t="shared" si="7"/>
        <v xml:space="preserve"> - Khoảng cách cọc cách cọc: 3 mét</v>
      </c>
      <c r="E41" s="2244"/>
      <c r="F41" s="2145"/>
      <c r="G41" s="1452">
        <f>G27</f>
        <v>1</v>
      </c>
      <c r="H41" s="2158" t="s">
        <v>4852</v>
      </c>
      <c r="I41" s="2249" t="s">
        <v>2541</v>
      </c>
      <c r="J41" s="2249">
        <v>3</v>
      </c>
      <c r="K41" s="2249"/>
    </row>
    <row r="42" spans="3:11" ht="24.9" customHeight="1"/>
    <row r="43" spans="3:11" ht="24.9" customHeight="1"/>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sheetData>
  <autoFilter ref="G8:G41" xr:uid="{00000000-0009-0000-0000-00001E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K34"/>
  <sheetViews>
    <sheetView topLeftCell="C10" workbookViewId="0">
      <selection activeCell="H35" sqref="H35"/>
    </sheetView>
  </sheetViews>
  <sheetFormatPr defaultColWidth="8.90625" defaultRowHeight="24.9" customHeight="1"/>
  <cols>
    <col min="1" max="2" width="8.90625" style="1285"/>
    <col min="3" max="3" width="6.1796875" style="1285" customWidth="1"/>
    <col min="4" max="4" width="60.6328125" style="1451" customWidth="1"/>
    <col min="5" max="6" width="3.453125" style="1285" customWidth="1"/>
    <col min="7" max="7" width="3.453125" style="1971" customWidth="1"/>
    <col min="8" max="8" width="30.81640625" style="1451" customWidth="1"/>
    <col min="9" max="16384" width="8.90625" style="1285"/>
  </cols>
  <sheetData>
    <row r="1" spans="2:11" ht="16.8"/>
    <row r="2" spans="2:11" ht="16.8">
      <c r="F2" s="2266">
        <f>72/88</f>
        <v>0.81818181818181823</v>
      </c>
      <c r="G2" s="2458">
        <f>62/88</f>
        <v>0.70454545454545459</v>
      </c>
    </row>
    <row r="3" spans="2:11" ht="16.8">
      <c r="C3" s="1993"/>
      <c r="D3" s="2252"/>
      <c r="E3" s="1993"/>
      <c r="F3" s="1993"/>
    </row>
    <row r="4" spans="2:11" ht="16.8">
      <c r="C4" s="1993"/>
      <c r="D4" s="2252"/>
      <c r="E4" s="1993"/>
      <c r="F4" s="1993"/>
    </row>
    <row r="5" spans="2:11" ht="16.8">
      <c r="C5" s="1993"/>
      <c r="D5" s="2252"/>
      <c r="E5" s="1993"/>
      <c r="F5" s="1993"/>
    </row>
    <row r="6" spans="2:11" ht="16.8">
      <c r="C6" s="2780" t="s">
        <v>4231</v>
      </c>
      <c r="D6" s="2780"/>
      <c r="E6" s="2253"/>
      <c r="F6" s="2253"/>
    </row>
    <row r="7" spans="2:11" ht="16.8">
      <c r="C7" s="2254"/>
      <c r="D7" s="2208" t="s">
        <v>4238</v>
      </c>
      <c r="E7" s="2255"/>
      <c r="F7" s="2253"/>
      <c r="G7" s="2459">
        <v>1</v>
      </c>
      <c r="H7" s="2261" t="str">
        <f>chitiet!F1824</f>
        <v>Phụ kiện đấu nối đầu đường dây</v>
      </c>
      <c r="I7" s="2154">
        <f>chitiet!G1824</f>
        <v>0</v>
      </c>
      <c r="J7" s="2154">
        <f>chitiet!H1824</f>
        <v>0</v>
      </c>
      <c r="K7" s="2154">
        <f>chitiet!$P$1824</f>
        <v>0</v>
      </c>
    </row>
    <row r="8" spans="2:11" ht="24.9" customHeight="1">
      <c r="B8" s="86"/>
      <c r="C8" s="2254"/>
      <c r="D8" s="2209" t="str">
        <f>" - "&amp;H8&amp;": "&amp;K8&amp;" "&amp;I8&amp;"."</f>
        <v xml:space="preserve"> - Móc treo chữ U : 52 cái.</v>
      </c>
      <c r="E8" s="2255"/>
      <c r="F8" s="2253"/>
      <c r="G8" s="2459">
        <f>IF(K8&gt;0,1,"")</f>
        <v>1</v>
      </c>
      <c r="H8" s="2261" t="str">
        <f>'Hoan cong VL-NC-MTC'!E109</f>
        <v xml:space="preserve">Móc treo chữ U </v>
      </c>
      <c r="I8" s="2154" t="str">
        <f>'Hoan cong VL-NC-MTC'!F109</f>
        <v>cái</v>
      </c>
      <c r="J8" s="2154">
        <f>'Hoan cong VL-NC-MTC'!G109</f>
        <v>52</v>
      </c>
      <c r="K8" s="2154">
        <f>'Hoan cong VL-NC-MTC'!H109</f>
        <v>52</v>
      </c>
    </row>
    <row r="9" spans="2:11" ht="24.9" customHeight="1">
      <c r="B9" s="1594"/>
      <c r="C9" s="2254"/>
      <c r="D9" s="2209" t="str">
        <f t="shared" ref="D9:D17" si="0">" - "&amp;H9&amp;": "&amp;K9&amp;" "&amp;I9&amp;"."</f>
        <v xml:space="preserve"> - Giáp níu dừng dây bọc ACX50: 26 bộ.</v>
      </c>
      <c r="E9" s="2255"/>
      <c r="F9" s="2253"/>
      <c r="G9" s="2459">
        <f t="shared" ref="G9:G34" si="1">IF(K9&gt;0,1,"")</f>
        <v>1</v>
      </c>
      <c r="H9" s="2261" t="str">
        <f>'Hoan cong VL-NC-MTC'!E110</f>
        <v>Giáp níu dừng dây bọc ACX50</v>
      </c>
      <c r="I9" s="2154" t="str">
        <f>'Hoan cong VL-NC-MTC'!F110</f>
        <v>bộ</v>
      </c>
      <c r="J9" s="2154">
        <f>'Hoan cong VL-NC-MTC'!G110</f>
        <v>26</v>
      </c>
      <c r="K9" s="2154">
        <f>'Hoan cong VL-NC-MTC'!H110</f>
        <v>26</v>
      </c>
    </row>
    <row r="10" spans="2:11" ht="24.9" customHeight="1">
      <c r="C10" s="2254"/>
      <c r="D10" s="2209" t="str">
        <f t="shared" si="0"/>
        <v xml:space="preserve"> - Dây buộc đầu sứ từ tính dây 50: 90 sợi.</v>
      </c>
      <c r="E10" s="2255"/>
      <c r="F10" s="2253"/>
      <c r="G10" s="2459">
        <f t="shared" si="1"/>
        <v>1</v>
      </c>
      <c r="H10" s="2261" t="str">
        <f>'Hoan cong VL-NC-MTC'!E111</f>
        <v>Dây buộc đầu sứ từ tính dây 50</v>
      </c>
      <c r="I10" s="2154" t="str">
        <f>'Hoan cong VL-NC-MTC'!F111</f>
        <v>sợi</v>
      </c>
      <c r="J10" s="2154">
        <f>'Hoan cong VL-NC-MTC'!G111</f>
        <v>90</v>
      </c>
      <c r="K10" s="2154">
        <f>'Hoan cong VL-NC-MTC'!H111</f>
        <v>90</v>
      </c>
    </row>
    <row r="11" spans="2:11" ht="24.9" customHeight="1">
      <c r="B11" s="1587"/>
      <c r="C11" s="2254"/>
      <c r="D11" s="2209" t="str">
        <f t="shared" si="0"/>
        <v xml:space="preserve"> - Dây buộc cổ sứ từ tính dây 50: 6 sợi.</v>
      </c>
      <c r="E11" s="2255"/>
      <c r="F11" s="2253"/>
      <c r="G11" s="2459">
        <f t="shared" si="1"/>
        <v>1</v>
      </c>
      <c r="H11" s="2262" t="str">
        <f>'Hoan cong VL-NC-MTC'!E112</f>
        <v>Dây buộc cổ sứ từ tính dây 50</v>
      </c>
      <c r="I11" s="2154" t="str">
        <f>'Hoan cong VL-NC-MTC'!F112</f>
        <v>sợi</v>
      </c>
      <c r="J11" s="2154">
        <f>'Hoan cong VL-NC-MTC'!G112</f>
        <v>6</v>
      </c>
      <c r="K11" s="2154">
        <f>'Hoan cong VL-NC-MTC'!H112</f>
        <v>6</v>
      </c>
    </row>
    <row r="12" spans="2:11" ht="24.9" customHeight="1">
      <c r="C12" s="2254"/>
      <c r="D12" s="2209" t="str">
        <f t="shared" si="0"/>
        <v xml:space="preserve"> - Kẹp ép WR cỡ dây 50mm2: 10 cái.</v>
      </c>
      <c r="E12" s="2255"/>
      <c r="F12" s="2253"/>
      <c r="G12" s="2459">
        <f t="shared" si="1"/>
        <v>1</v>
      </c>
      <c r="H12" s="2261" t="str">
        <f>'Hoan cong VL-NC-MTC'!E113</f>
        <v>Kẹp ép WR cỡ dây 50mm2</v>
      </c>
      <c r="I12" s="2154" t="str">
        <f>'Hoan cong VL-NC-MTC'!F113</f>
        <v>cái</v>
      </c>
      <c r="J12" s="2154">
        <f>'Hoan cong VL-NC-MTC'!G113</f>
        <v>10</v>
      </c>
      <c r="K12" s="2154">
        <f>'Hoan cong VL-NC-MTC'!H113</f>
        <v>10</v>
      </c>
    </row>
    <row r="13" spans="2:11" ht="24.9" customHeight="1">
      <c r="C13" s="2254"/>
      <c r="D13" s="2209" t="str">
        <f t="shared" si="0"/>
        <v xml:space="preserve"> - Kẹp quai 2/0: 10 cái.</v>
      </c>
      <c r="E13" s="2255"/>
      <c r="F13" s="2253"/>
      <c r="G13" s="2459">
        <f t="shared" si="1"/>
        <v>1</v>
      </c>
      <c r="H13" s="2261" t="str">
        <f>'Hoan cong VL-NC-MTC'!E116</f>
        <v>Kẹp quai 2/0</v>
      </c>
      <c r="I13" s="2154" t="str">
        <f>'Hoan cong VL-NC-MTC'!F116</f>
        <v>cái</v>
      </c>
      <c r="J13" s="2154">
        <f>'Hoan cong VL-NC-MTC'!G116</f>
        <v>10</v>
      </c>
      <c r="K13" s="2154">
        <f>'Hoan cong VL-NC-MTC'!H116</f>
        <v>10</v>
      </c>
    </row>
    <row r="14" spans="2:11" ht="24.9" customHeight="1">
      <c r="C14" s="2254"/>
      <c r="D14" s="2209" t="str">
        <f t="shared" si="0"/>
        <v xml:space="preserve"> - Kẹp hotline 2/0: 10 cái.</v>
      </c>
      <c r="E14" s="2255"/>
      <c r="F14" s="2253"/>
      <c r="G14" s="2459">
        <f t="shared" si="1"/>
        <v>1</v>
      </c>
      <c r="H14" s="2261" t="str">
        <f>'Hoan cong VL-NC-MTC'!E117</f>
        <v>Kẹp hotline 2/0</v>
      </c>
      <c r="I14" s="2154" t="str">
        <f>'Hoan cong VL-NC-MTC'!F117</f>
        <v>cái</v>
      </c>
      <c r="J14" s="2154">
        <f>'Hoan cong VL-NC-MTC'!G117</f>
        <v>10</v>
      </c>
      <c r="K14" s="2154">
        <f>'Hoan cong VL-NC-MTC'!H117</f>
        <v>10</v>
      </c>
    </row>
    <row r="15" spans="2:11" ht="24.9" customHeight="1">
      <c r="C15" s="2254"/>
      <c r="D15" s="2209" t="str">
        <f t="shared" si="0"/>
        <v xml:space="preserve"> - Chụp Kẹp quai: 13 cái.</v>
      </c>
      <c r="E15" s="2255"/>
      <c r="F15" s="2253"/>
      <c r="G15" s="2459">
        <f t="shared" si="1"/>
        <v>1</v>
      </c>
      <c r="H15" s="1451" t="str">
        <f>'Hoan cong VL-NC-MTC'!E118</f>
        <v>Chụp Kẹp quai</v>
      </c>
      <c r="I15" s="1285" t="str">
        <f>'Hoan cong VL-NC-MTC'!F118</f>
        <v>cái</v>
      </c>
      <c r="J15" s="1285">
        <f>'Hoan cong VL-NC-MTC'!G118</f>
        <v>13</v>
      </c>
      <c r="K15" s="1285">
        <f>'Hoan cong VL-NC-MTC'!H118</f>
        <v>13</v>
      </c>
    </row>
    <row r="16" spans="2:11" ht="24.9" customHeight="1">
      <c r="C16" s="2254"/>
      <c r="D16" s="2209" t="str">
        <f t="shared" si="0"/>
        <v xml:space="preserve"> - Kẹp quai 4/0: 3 cái.</v>
      </c>
      <c r="E16" s="2255"/>
      <c r="F16" s="2253"/>
      <c r="G16" s="2459">
        <f t="shared" si="1"/>
        <v>1</v>
      </c>
      <c r="H16" s="1451" t="str">
        <f>'Hoan cong VL-NC-MTC'!E119</f>
        <v>Kẹp quai 4/0</v>
      </c>
      <c r="I16" s="1285" t="str">
        <f>'Hoan cong VL-NC-MTC'!F119</f>
        <v>cái</v>
      </c>
      <c r="J16" s="1285">
        <f>'Hoan cong VL-NC-MTC'!G119</f>
        <v>3</v>
      </c>
      <c r="K16" s="1285">
        <f>'Hoan cong VL-NC-MTC'!H119</f>
        <v>3</v>
      </c>
    </row>
    <row r="17" spans="2:11" ht="24.9" customHeight="1">
      <c r="C17" s="2254"/>
      <c r="D17" s="2209" t="str">
        <f t="shared" si="0"/>
        <v xml:space="preserve"> - Kẹp hotline 4/0: 3 cái.</v>
      </c>
      <c r="E17" s="2255"/>
      <c r="F17" s="2253"/>
      <c r="G17" s="2459">
        <f t="shared" si="1"/>
        <v>1</v>
      </c>
      <c r="H17" s="1451" t="str">
        <f>'Hoan cong VL-NC-MTC'!E120</f>
        <v>Kẹp hotline 4/0</v>
      </c>
      <c r="I17" s="1285" t="str">
        <f>'Hoan cong VL-NC-MTC'!F120</f>
        <v>cái</v>
      </c>
      <c r="J17" s="1285">
        <f>'Hoan cong VL-NC-MTC'!G120</f>
        <v>3</v>
      </c>
      <c r="K17" s="1285">
        <f>'Hoan cong VL-NC-MTC'!H120</f>
        <v>3</v>
      </c>
    </row>
    <row r="18" spans="2:11" ht="24.9" hidden="1" customHeight="1">
      <c r="C18" s="2254"/>
      <c r="D18" s="2209"/>
      <c r="E18" s="2255"/>
      <c r="F18" s="2253"/>
      <c r="G18" s="2459" t="str">
        <f t="shared" si="1"/>
        <v/>
      </c>
    </row>
    <row r="19" spans="2:11" ht="24.9" hidden="1" customHeight="1">
      <c r="C19" s="2254"/>
      <c r="D19" s="2209"/>
      <c r="E19" s="2255"/>
      <c r="F19" s="2253"/>
      <c r="G19" s="2459" t="str">
        <f t="shared" si="1"/>
        <v/>
      </c>
    </row>
    <row r="20" spans="2:11" ht="24.9" customHeight="1">
      <c r="B20" s="1587"/>
      <c r="C20" s="2256"/>
      <c r="D20" s="2208" t="s">
        <v>4589</v>
      </c>
      <c r="E20" s="2255"/>
      <c r="F20" s="2257"/>
      <c r="G20" s="2459">
        <f>IF(SUM(G21:G29)&gt;0,1,0)</f>
        <v>1</v>
      </c>
      <c r="H20" s="1285"/>
    </row>
    <row r="21" spans="2:11" ht="24.9" customHeight="1">
      <c r="B21" s="1587"/>
      <c r="C21" s="2256"/>
      <c r="D21" s="2209" t="str">
        <f>" - "&amp;H21&amp;": "&amp;K21&amp;" "&amp;I21&amp;"."</f>
        <v xml:space="preserve"> - Ghíp nối IPC 95-25 (2 bulong): 55 cái.</v>
      </c>
      <c r="E21" s="2255"/>
      <c r="F21" s="2257"/>
      <c r="G21" s="2459">
        <f t="shared" si="1"/>
        <v>1</v>
      </c>
      <c r="H21" s="1451" t="str">
        <f>'Hoan cong VL-NC-MTC'!E136</f>
        <v>Ghíp nối IPC 95-25 (2 bulong)</v>
      </c>
      <c r="I21" s="1285" t="str">
        <f>'Hoan cong VL-NC-MTC'!F136</f>
        <v>cái</v>
      </c>
      <c r="J21" s="1285">
        <f>'Hoan cong VL-NC-MTC'!G136</f>
        <v>55</v>
      </c>
      <c r="K21" s="1285">
        <f>'Hoan cong VL-NC-MTC'!H136</f>
        <v>55</v>
      </c>
    </row>
    <row r="22" spans="2:11" ht="24.9" customHeight="1">
      <c r="B22" s="1587"/>
      <c r="C22" s="2256"/>
      <c r="D22" s="2209" t="str">
        <f t="shared" ref="D22:D34" si="2">" - "&amp;H22&amp;": "&amp;K22&amp;" "&amp;I22&amp;"."</f>
        <v xml:space="preserve"> - Nắp bịt đầu cáp ABC95mm2: 8 cái.</v>
      </c>
      <c r="E22" s="2255"/>
      <c r="F22" s="2257"/>
      <c r="G22" s="2459">
        <f t="shared" si="1"/>
        <v>1</v>
      </c>
      <c r="H22" s="1451" t="str">
        <f>'Hoan cong VL-NC-MTC'!E141</f>
        <v>Nắp bịt đầu cáp ABC95mm2</v>
      </c>
      <c r="I22" s="1285" t="str">
        <f>'Hoan cong VL-NC-MTC'!F141</f>
        <v>cái</v>
      </c>
      <c r="J22" s="1285">
        <f>'Hoan cong VL-NC-MTC'!G141</f>
        <v>8</v>
      </c>
      <c r="K22" s="1285">
        <f>'Hoan cong VL-NC-MTC'!H141</f>
        <v>8</v>
      </c>
    </row>
    <row r="23" spans="2:11" ht="24.9" customHeight="1">
      <c r="B23" s="1744"/>
      <c r="C23" s="2256"/>
      <c r="D23" s="2209" t="str">
        <f t="shared" si="2"/>
        <v xml:space="preserve"> - Kẹp ngừng cáp ABC4x95mm2: 2 cái.</v>
      </c>
      <c r="E23" s="2255"/>
      <c r="F23" s="2257"/>
      <c r="G23" s="2459">
        <f t="shared" si="1"/>
        <v>1</v>
      </c>
      <c r="H23" s="1451" t="str">
        <f>'Hoan cong VL-NC-MTC'!E140</f>
        <v>Kẹp ngừng cáp ABC4x95mm2</v>
      </c>
      <c r="I23" s="1285" t="str">
        <f>'Hoan cong VL-NC-MTC'!F140</f>
        <v>cái</v>
      </c>
      <c r="J23" s="1285">
        <f>'Hoan cong VL-NC-MTC'!G140</f>
        <v>2</v>
      </c>
      <c r="K23" s="1285">
        <f>'Hoan cong VL-NC-MTC'!H140</f>
        <v>2</v>
      </c>
    </row>
    <row r="24" spans="2:11" ht="24.9" hidden="1" customHeight="1">
      <c r="C24" s="1993"/>
      <c r="D24" s="2209" t="str">
        <f t="shared" si="2"/>
        <v xml:space="preserve"> - :  .</v>
      </c>
      <c r="E24" s="1993"/>
      <c r="F24" s="1993"/>
      <c r="G24" s="2459" t="str">
        <f t="shared" si="1"/>
        <v/>
      </c>
    </row>
    <row r="25" spans="2:11" ht="24.9" hidden="1" customHeight="1">
      <c r="C25" s="1993"/>
      <c r="D25" s="2209" t="str">
        <f t="shared" si="2"/>
        <v xml:space="preserve"> - :  .</v>
      </c>
      <c r="E25" s="1993"/>
      <c r="F25" s="1993"/>
      <c r="G25" s="2459" t="str">
        <f t="shared" si="1"/>
        <v/>
      </c>
    </row>
    <row r="26" spans="2:11" ht="24.9" hidden="1" customHeight="1">
      <c r="C26" s="1993"/>
      <c r="D26" s="2209" t="str">
        <f t="shared" si="2"/>
        <v xml:space="preserve"> - :  .</v>
      </c>
      <c r="E26" s="1993"/>
      <c r="F26" s="1993"/>
      <c r="G26" s="2459" t="str">
        <f t="shared" si="1"/>
        <v/>
      </c>
    </row>
    <row r="27" spans="2:11" ht="24.9" hidden="1" customHeight="1">
      <c r="D27" s="2209" t="str">
        <f t="shared" si="2"/>
        <v xml:space="preserve"> - :  .</v>
      </c>
      <c r="G27" s="2459" t="str">
        <f t="shared" si="1"/>
        <v/>
      </c>
    </row>
    <row r="28" spans="2:11" ht="24.9" hidden="1" customHeight="1">
      <c r="D28" s="2209" t="str">
        <f t="shared" si="2"/>
        <v xml:space="preserve"> - :  .</v>
      </c>
      <c r="G28" s="2459" t="str">
        <f t="shared" si="1"/>
        <v/>
      </c>
    </row>
    <row r="29" spans="2:11" ht="24.9" hidden="1" customHeight="1">
      <c r="D29" s="2209" t="str">
        <f t="shared" si="2"/>
        <v xml:space="preserve"> - :  .</v>
      </c>
      <c r="G29" s="2459" t="str">
        <f t="shared" si="1"/>
        <v/>
      </c>
    </row>
    <row r="30" spans="2:11" ht="24.9" hidden="1" customHeight="1">
      <c r="D30" s="2209" t="str">
        <f t="shared" si="2"/>
        <v xml:space="preserve"> - :  .</v>
      </c>
      <c r="G30" s="1971" t="str">
        <f t="shared" si="1"/>
        <v/>
      </c>
    </row>
    <row r="31" spans="2:11" ht="24.9" hidden="1" customHeight="1">
      <c r="D31" s="2209" t="str">
        <f>" - "&amp;H31&amp;": "&amp;K31&amp;" "&amp;I31&amp;"."</f>
        <v xml:space="preserve"> - :  .</v>
      </c>
      <c r="G31" s="1971" t="str">
        <f t="shared" si="1"/>
        <v/>
      </c>
    </row>
    <row r="32" spans="2:11" ht="24.9" hidden="1" customHeight="1">
      <c r="D32" s="2209" t="str">
        <f t="shared" si="2"/>
        <v xml:space="preserve"> - :  .</v>
      </c>
      <c r="G32" s="1971" t="str">
        <f t="shared" si="1"/>
        <v/>
      </c>
    </row>
    <row r="33" spans="4:7" ht="24.9" hidden="1" customHeight="1">
      <c r="D33" s="2209" t="str">
        <f t="shared" si="2"/>
        <v xml:space="preserve"> - :  .</v>
      </c>
      <c r="G33" s="1971" t="str">
        <f t="shared" si="1"/>
        <v/>
      </c>
    </row>
    <row r="34" spans="4:7" ht="24.9" hidden="1" customHeight="1">
      <c r="D34" s="2209" t="str">
        <f t="shared" si="2"/>
        <v xml:space="preserve"> - :  .</v>
      </c>
      <c r="G34" s="1971" t="str">
        <f t="shared" si="1"/>
        <v/>
      </c>
    </row>
  </sheetData>
  <autoFilter ref="G6:G34" xr:uid="{00000000-0009-0000-0000-00001F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2:G275"/>
  <sheetViews>
    <sheetView workbookViewId="0">
      <pane ySplit="2" topLeftCell="A44" activePane="bottomLeft" state="frozen"/>
      <selection activeCell="B1" sqref="B1"/>
      <selection pane="bottomLeft" activeCell="G63" sqref="G63"/>
    </sheetView>
  </sheetViews>
  <sheetFormatPr defaultRowHeight="16.8"/>
  <cols>
    <col min="1" max="1" width="10.08984375" customWidth="1"/>
    <col min="2" max="2" width="12.1796875" style="1495" customWidth="1"/>
    <col min="3" max="3" width="48.54296875" style="1494" customWidth="1"/>
    <col min="4" max="4" width="7.81640625" customWidth="1"/>
    <col min="5" max="5" width="8.1796875" customWidth="1"/>
    <col min="6" max="6" width="10.453125" customWidth="1"/>
    <col min="7" max="7" width="50.08984375" style="1505" customWidth="1"/>
  </cols>
  <sheetData>
    <row r="2" spans="2:7">
      <c r="B2" s="1517" t="s">
        <v>4214</v>
      </c>
      <c r="C2" s="1518" t="s">
        <v>4522</v>
      </c>
      <c r="D2" s="1519" t="s">
        <v>1416</v>
      </c>
      <c r="E2" s="1520"/>
      <c r="F2" s="1285" t="s">
        <v>4214</v>
      </c>
    </row>
    <row r="3" spans="2:7">
      <c r="B3" s="1521">
        <v>43874</v>
      </c>
      <c r="C3" s="1522" t="s">
        <v>4520</v>
      </c>
      <c r="D3" s="1523" t="s">
        <v>512</v>
      </c>
      <c r="E3" s="1524"/>
      <c r="F3" s="1495"/>
      <c r="G3" s="1511" t="s">
        <v>4173</v>
      </c>
    </row>
    <row r="4" spans="2:7">
      <c r="B4" s="1521"/>
      <c r="C4" s="1522" t="s">
        <v>4521</v>
      </c>
      <c r="D4" s="1523" t="s">
        <v>512</v>
      </c>
      <c r="E4" s="1524"/>
      <c r="F4" s="1495"/>
      <c r="G4" s="1511" t="s">
        <v>4174</v>
      </c>
    </row>
    <row r="5" spans="2:7">
      <c r="B5" s="1521"/>
      <c r="C5" s="1522" t="s">
        <v>4523</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6">
      <c r="B72" s="1521"/>
      <c r="C72" s="1522" t="s">
        <v>4557</v>
      </c>
      <c r="D72" s="1523" t="s">
        <v>512</v>
      </c>
      <c r="E72" s="1524"/>
    </row>
    <row r="73" spans="2:7" ht="22.5" customHeight="1">
      <c r="B73" s="1521"/>
      <c r="C73" s="1522" t="s">
        <v>4562</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4525</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4524</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4563</v>
      </c>
      <c r="D123" s="1527" t="e">
        <f>SUM(D74,D85,D93)</f>
        <v>#REF!</v>
      </c>
      <c r="E123" s="1524"/>
      <c r="G123" s="1505"/>
    </row>
    <row r="124" spans="2:7" ht="32.25" customHeight="1">
      <c r="B124" s="1521">
        <f>B3+2</f>
        <v>43876</v>
      </c>
      <c r="C124" s="1522" t="s">
        <v>4558</v>
      </c>
      <c r="D124" s="1523">
        <f>SUM(D125:D181)</f>
        <v>185</v>
      </c>
      <c r="E124" s="1524"/>
    </row>
    <row r="125" spans="2:7" ht="33.6" hidden="1">
      <c r="B125" s="1521"/>
      <c r="C125" s="1525" t="str">
        <f>'6PK'!D4</f>
        <v>Bộ xà kép L75x75x8 dài 2.2m: X-22K-Đ - C810 (lắp trụ đơn)</v>
      </c>
      <c r="D125" s="1526">
        <f>'6PK'!G4</f>
        <v>1</v>
      </c>
      <c r="E125" s="2161" t="str">
        <f>'6PK'!E4</f>
        <v>Bộ</v>
      </c>
    </row>
    <row r="126" spans="2:7" ht="33.6" hidden="1">
      <c r="B126" s="1521"/>
      <c r="C126" s="1525" t="str">
        <f>'6PK'!D5</f>
        <v>Bộ xà kép L75x75x8 dài 2.2m: X-22K-K - C810 (lắp theo hướng trụ ghép)</v>
      </c>
      <c r="D126" s="1526">
        <f>'6PK'!G5</f>
        <v>1</v>
      </c>
      <c r="E126" s="2161" t="str">
        <f>'6PK'!E5</f>
        <v>Bộ</v>
      </c>
    </row>
    <row r="127" spans="2:7" hidden="1">
      <c r="B127" s="1521"/>
      <c r="C127" s="1525" t="str">
        <f>'6PK'!D6</f>
        <v>Bộ xà lệch đơn L75x75x8 dài 2,1m: X-21ĐL</v>
      </c>
      <c r="D127" s="1526">
        <f>'6PK'!G6</f>
        <v>28</v>
      </c>
      <c r="E127" s="2161" t="str">
        <f>'6PK'!E6</f>
        <v>Bộ</v>
      </c>
    </row>
    <row r="128" spans="2:7" hidden="1">
      <c r="B128" s="1521"/>
      <c r="C128" s="1525" t="str">
        <f>'6PK'!D7</f>
        <v>Bộ xà lệch kép L75x75x8 dài 2,1m: X-21KL</v>
      </c>
      <c r="D128" s="1526">
        <f>'6PK'!G7</f>
        <v>1</v>
      </c>
      <c r="E128" s="2161" t="str">
        <f>'6PK'!E7</f>
        <v>Bộ</v>
      </c>
    </row>
    <row r="129" spans="2:5" hidden="1">
      <c r="B129" s="1521"/>
      <c r="C129" s="1525" t="str">
        <f>'6PK'!D8</f>
        <v>Bộ đà composite 0,8m</v>
      </c>
      <c r="D129" s="1526">
        <f>'6PK'!G8</f>
        <v>1</v>
      </c>
      <c r="E129" s="2161" t="str">
        <f>'6PK'!E8</f>
        <v>bộ</v>
      </c>
    </row>
    <row r="130" spans="2:5" ht="18" customHeight="1">
      <c r="B130" s="1521"/>
      <c r="C130" s="1525" t="str">
        <f>'6PK'!D9</f>
        <v>Bộ Uclevis đỡ dây trung hòa: Đth-U</v>
      </c>
      <c r="D130" s="1526">
        <f>'6PK'!G9</f>
        <v>27</v>
      </c>
      <c r="E130" s="2161" t="str">
        <f>'6PK'!E9</f>
        <v>bộ</v>
      </c>
    </row>
    <row r="131" spans="2:5" hidden="1">
      <c r="B131" s="1521"/>
      <c r="C131" s="1525" t="str">
        <f>'6PK'!D10</f>
        <v>Bộ cách điện đứng+ty sứ : SĐU</v>
      </c>
      <c r="D131" s="1526">
        <f>'6PK'!G10</f>
        <v>89</v>
      </c>
      <c r="E131" s="2161" t="str">
        <f>'6PK'!E10</f>
        <v>bộ</v>
      </c>
    </row>
    <row r="132" spans="2:5" hidden="1">
      <c r="B132" s="1521"/>
      <c r="C132" s="1525" t="str">
        <f>'6PK'!D11</f>
        <v>Chuỗi sứ treo Polymer 25kV lắp vào xà : CĐT ply-X</v>
      </c>
      <c r="D132" s="1526">
        <f>'6PK'!G11</f>
        <v>26</v>
      </c>
      <c r="E132" s="2161" t="str">
        <f>'6PK'!E11</f>
        <v>bộ</v>
      </c>
    </row>
    <row r="133" spans="2:5" hidden="1">
      <c r="B133" s="1521"/>
      <c r="C133" s="1525" t="str">
        <f>'6PK'!D12</f>
        <v>Kẹp treo cáp ABC4x95mm2</v>
      </c>
      <c r="D133" s="1526">
        <f>'6PK'!G12</f>
        <v>9</v>
      </c>
      <c r="E133" s="2161" t="str">
        <f>'6PK'!E12</f>
        <v>cái</v>
      </c>
    </row>
    <row r="134" spans="2:5" hidden="1">
      <c r="B134" s="1521"/>
      <c r="C134" s="1525" t="str">
        <f>'6PK'!D13</f>
        <v>Kẹp ngừng cáp ABC4x95mm2</v>
      </c>
      <c r="D134" s="1526">
        <f>'6PK'!G13</f>
        <v>2</v>
      </c>
      <c r="E134" s="2161" t="str">
        <f>'6PK'!E13</f>
        <v>cái</v>
      </c>
    </row>
    <row r="135" spans="2:5" hidden="1">
      <c r="B135" s="1521"/>
      <c r="C135" s="1525" t="e">
        <f>'6PK'!D14</f>
        <v>#N/A</v>
      </c>
      <c r="D135" s="1526">
        <f>'6PK'!G14</f>
        <v>0</v>
      </c>
      <c r="E135" s="2161" t="e">
        <f>'6PK'!E14</f>
        <v>#N/A</v>
      </c>
    </row>
    <row r="136" spans="2:5" hidden="1">
      <c r="B136" s="1521"/>
      <c r="C136" s="1525" t="e">
        <f>'6PK'!D15</f>
        <v>#N/A</v>
      </c>
      <c r="D136" s="1526">
        <f>'6PK'!G15</f>
        <v>0</v>
      </c>
      <c r="E136" s="2161" t="e">
        <f>'6PK'!E15</f>
        <v>#N/A</v>
      </c>
    </row>
    <row r="137" spans="2:5" hidden="1">
      <c r="B137" s="1521"/>
      <c r="C137" s="1525" t="e">
        <f>'6PK'!D16</f>
        <v>#N/A</v>
      </c>
      <c r="D137" s="1526">
        <f>'6PK'!G16</f>
        <v>0</v>
      </c>
      <c r="E137" s="2161" t="e">
        <f>'6PK'!E16</f>
        <v>#N/A</v>
      </c>
    </row>
    <row r="138" spans="2:5" hidden="1">
      <c r="B138" s="1521"/>
      <c r="C138" s="1525" t="e">
        <f>'6PK'!D17</f>
        <v>#N/A</v>
      </c>
      <c r="D138" s="1526">
        <f>'6PK'!G17</f>
        <v>0</v>
      </c>
      <c r="E138" s="2161" t="e">
        <f>'6PK'!E17</f>
        <v>#N/A</v>
      </c>
    </row>
    <row r="139" spans="2:5" hidden="1">
      <c r="B139" s="1521"/>
      <c r="C139" s="1525" t="e">
        <f>'6PK'!D18</f>
        <v>#N/A</v>
      </c>
      <c r="D139" s="1526">
        <f>'6PK'!G18</f>
        <v>0</v>
      </c>
      <c r="E139" s="2161" t="e">
        <f>'6PK'!E18</f>
        <v>#N/A</v>
      </c>
    </row>
    <row r="140" spans="2:5" hidden="1">
      <c r="B140" s="1521"/>
      <c r="C140" s="1525" t="e">
        <f>'6PK'!D19</f>
        <v>#N/A</v>
      </c>
      <c r="D140" s="1526">
        <f>'6PK'!G19</f>
        <v>0</v>
      </c>
      <c r="E140" s="2161" t="e">
        <f>'6PK'!E19</f>
        <v>#N/A</v>
      </c>
    </row>
    <row r="141" spans="2:5" hidden="1">
      <c r="B141" s="1521"/>
      <c r="C141" s="1525" t="e">
        <f>'6PK'!D20</f>
        <v>#N/A</v>
      </c>
      <c r="D141" s="1526">
        <f>'6PK'!G20</f>
        <v>0</v>
      </c>
      <c r="E141" s="2161" t="e">
        <f>'6PK'!E20</f>
        <v>#N/A</v>
      </c>
    </row>
    <row r="142" spans="2:5" hidden="1">
      <c r="B142" s="1521"/>
      <c r="C142" s="1525" t="e">
        <f>'6PK'!D21</f>
        <v>#N/A</v>
      </c>
      <c r="D142" s="1526">
        <f>'6PK'!G21</f>
        <v>0</v>
      </c>
      <c r="E142" s="2161" t="e">
        <f>'6PK'!E21</f>
        <v>#N/A</v>
      </c>
    </row>
    <row r="143" spans="2:5" hidden="1">
      <c r="B143" s="1521"/>
      <c r="C143" s="1525" t="e">
        <f>'6PK'!D22</f>
        <v>#N/A</v>
      </c>
      <c r="D143" s="1526">
        <f>'6PK'!G22</f>
        <v>0</v>
      </c>
      <c r="E143" s="2161" t="e">
        <f>'6PK'!E22</f>
        <v>#N/A</v>
      </c>
    </row>
    <row r="144" spans="2:5" hidden="1">
      <c r="B144" s="1521"/>
      <c r="C144" s="1525" t="e">
        <f>'6PK'!D23</f>
        <v>#N/A</v>
      </c>
      <c r="D144" s="1526">
        <f>'6PK'!G23</f>
        <v>0</v>
      </c>
      <c r="E144" s="2161" t="e">
        <f>'6PK'!E23</f>
        <v>#N/A</v>
      </c>
    </row>
    <row r="145" spans="2:5" hidden="1">
      <c r="B145" s="1521"/>
      <c r="C145" s="1525" t="e">
        <f>'6PK'!D24</f>
        <v>#N/A</v>
      </c>
      <c r="D145" s="1526">
        <f>'6PK'!G24</f>
        <v>0</v>
      </c>
      <c r="E145" s="2161" t="e">
        <f>'6PK'!E24</f>
        <v>#N/A</v>
      </c>
    </row>
    <row r="146" spans="2:5" hidden="1">
      <c r="B146" s="1521"/>
      <c r="C146" s="1525" t="e">
        <f>'6PK'!D25</f>
        <v>#N/A</v>
      </c>
      <c r="D146" s="1526">
        <f>'6PK'!G25</f>
        <v>0</v>
      </c>
      <c r="E146" s="2161" t="e">
        <f>'6PK'!E25</f>
        <v>#N/A</v>
      </c>
    </row>
    <row r="147" spans="2:5" hidden="1">
      <c r="B147" s="1521"/>
      <c r="C147" s="1525" t="e">
        <f>'6PK'!D26</f>
        <v>#N/A</v>
      </c>
      <c r="D147" s="1526">
        <f>'6PK'!G26</f>
        <v>0</v>
      </c>
      <c r="E147" s="2161" t="e">
        <f>'6PK'!E26</f>
        <v>#N/A</v>
      </c>
    </row>
    <row r="148" spans="2:5" hidden="1">
      <c r="B148" s="1521"/>
      <c r="C148" s="1525" t="e">
        <f>'6PK'!D27</f>
        <v>#N/A</v>
      </c>
      <c r="D148" s="1526">
        <f>'6PK'!G27</f>
        <v>0</v>
      </c>
      <c r="E148" s="2161" t="e">
        <f>'6PK'!E27</f>
        <v>#N/A</v>
      </c>
    </row>
    <row r="149" spans="2:5" hidden="1">
      <c r="B149" s="1521"/>
      <c r="C149" s="1525" t="e">
        <f>'6PK'!D28</f>
        <v>#N/A</v>
      </c>
      <c r="D149" s="1526">
        <f>'6PK'!G28</f>
        <v>0</v>
      </c>
      <c r="E149" s="2161" t="e">
        <f>'6PK'!E28</f>
        <v>#N/A</v>
      </c>
    </row>
    <row r="150" spans="2:5" hidden="1">
      <c r="B150" s="1521"/>
      <c r="C150" s="1525" t="e">
        <f>'6PK'!D29</f>
        <v>#N/A</v>
      </c>
      <c r="D150" s="1526">
        <f>'6PK'!G29</f>
        <v>0</v>
      </c>
      <c r="E150" s="2161" t="e">
        <f>'6PK'!E29</f>
        <v>#N/A</v>
      </c>
    </row>
    <row r="151" spans="2:5" hidden="1">
      <c r="B151" s="1521"/>
      <c r="C151" s="1525" t="e">
        <f>'6PK'!D32</f>
        <v>#N/A</v>
      </c>
      <c r="D151" s="1526">
        <f>'6PK'!G32</f>
        <v>0</v>
      </c>
      <c r="E151" s="2161" t="e">
        <f>'6PK'!E32</f>
        <v>#N/A</v>
      </c>
    </row>
    <row r="152" spans="2:5" hidden="1">
      <c r="B152" s="1521"/>
      <c r="C152" s="1525" t="e">
        <f>'6PK'!D33</f>
        <v>#N/A</v>
      </c>
      <c r="D152" s="1526">
        <f>'6PK'!G33</f>
        <v>0</v>
      </c>
      <c r="E152" s="2161" t="e">
        <f>'6PK'!E33</f>
        <v>#N/A</v>
      </c>
    </row>
    <row r="153" spans="2:5" hidden="1">
      <c r="B153" s="1521"/>
      <c r="C153" s="1525" t="e">
        <f>'6PK'!D34</f>
        <v>#N/A</v>
      </c>
      <c r="D153" s="1526">
        <f>'6PK'!G34</f>
        <v>0</v>
      </c>
      <c r="E153" s="2161" t="e">
        <f>'6PK'!E34</f>
        <v>#N/A</v>
      </c>
    </row>
    <row r="154" spans="2:5" hidden="1">
      <c r="B154" s="1521"/>
      <c r="C154" s="1525" t="e">
        <f>'6PK'!D35</f>
        <v>#N/A</v>
      </c>
      <c r="D154" s="1526">
        <f>'6PK'!G35</f>
        <v>0</v>
      </c>
      <c r="E154" s="2161" t="e">
        <f>'6PK'!E35</f>
        <v>#N/A</v>
      </c>
    </row>
    <row r="155" spans="2:5" hidden="1">
      <c r="B155" s="1521"/>
      <c r="C155" s="1525" t="e">
        <f>'6PK'!D36</f>
        <v>#N/A</v>
      </c>
      <c r="D155" s="1526">
        <f>'6PK'!G36</f>
        <v>0</v>
      </c>
      <c r="E155" s="2161" t="e">
        <f>'6PK'!E36</f>
        <v>#N/A</v>
      </c>
    </row>
    <row r="156" spans="2:5" hidden="1">
      <c r="B156" s="1521"/>
      <c r="C156" s="1525" t="e">
        <f>'6PK'!D37</f>
        <v>#N/A</v>
      </c>
      <c r="D156" s="1526">
        <f>'6PK'!G37</f>
        <v>0</v>
      </c>
      <c r="E156" s="2161" t="e">
        <f>'6PK'!E37</f>
        <v>#N/A</v>
      </c>
    </row>
    <row r="157" spans="2:5" hidden="1">
      <c r="B157" s="1521"/>
      <c r="C157" s="1525" t="e">
        <f>'6PK'!D38</f>
        <v>#N/A</v>
      </c>
      <c r="D157" s="1526">
        <f>'6PK'!G38</f>
        <v>0</v>
      </c>
      <c r="E157" s="2161" t="e">
        <f>'6PK'!E38</f>
        <v>#N/A</v>
      </c>
    </row>
    <row r="158" spans="2:5" hidden="1">
      <c r="B158" s="1521"/>
      <c r="C158" s="1525" t="e">
        <f>'6PK'!D39</f>
        <v>#N/A</v>
      </c>
      <c r="D158" s="1526">
        <f>'6PK'!G39</f>
        <v>0</v>
      </c>
      <c r="E158" s="2161" t="e">
        <f>'6PK'!E39</f>
        <v>#N/A</v>
      </c>
    </row>
    <row r="159" spans="2:5" hidden="1">
      <c r="B159" s="1521"/>
      <c r="C159" s="1525" t="e">
        <f>'6PK'!D40</f>
        <v>#N/A</v>
      </c>
      <c r="D159" s="1526">
        <f>'6PK'!G40</f>
        <v>0</v>
      </c>
      <c r="E159" s="2161" t="e">
        <f>'6PK'!E40</f>
        <v>#N/A</v>
      </c>
    </row>
    <row r="160" spans="2:5" hidden="1">
      <c r="B160" s="1521"/>
      <c r="C160" s="1525" t="e">
        <f>'6PK'!D41</f>
        <v>#N/A</v>
      </c>
      <c r="D160" s="1526">
        <f>'6PK'!G41</f>
        <v>0</v>
      </c>
      <c r="E160" s="2161" t="e">
        <f>'6PK'!E41</f>
        <v>#N/A</v>
      </c>
    </row>
    <row r="161" spans="2:5" hidden="1">
      <c r="B161" s="1521"/>
      <c r="C161" s="1525" t="e">
        <f>'6PK'!D42</f>
        <v>#N/A</v>
      </c>
      <c r="D161" s="1526">
        <f>'6PK'!G42</f>
        <v>0</v>
      </c>
      <c r="E161" s="2161" t="e">
        <f>'6PK'!E42</f>
        <v>#N/A</v>
      </c>
    </row>
    <row r="162" spans="2:5" hidden="1">
      <c r="B162" s="1521"/>
      <c r="C162" s="1525" t="e">
        <f>'6PK'!D43</f>
        <v>#N/A</v>
      </c>
      <c r="D162" s="1526">
        <f>'6PK'!G43</f>
        <v>0</v>
      </c>
      <c r="E162" s="2161" t="e">
        <f>'6PK'!E43</f>
        <v>#N/A</v>
      </c>
    </row>
    <row r="163" spans="2:5" hidden="1">
      <c r="B163" s="1521"/>
      <c r="C163" s="1525" t="e">
        <f>'6PK'!D44</f>
        <v>#N/A</v>
      </c>
      <c r="D163" s="1526">
        <f>'6PK'!G44</f>
        <v>0</v>
      </c>
      <c r="E163" s="2161" t="e">
        <f>'6PK'!E44</f>
        <v>#N/A</v>
      </c>
    </row>
    <row r="164" spans="2:5" hidden="1">
      <c r="B164" s="1521"/>
      <c r="C164" s="1525" t="e">
        <f>'6PK'!D45</f>
        <v>#N/A</v>
      </c>
      <c r="D164" s="1526">
        <f>'6PK'!G45</f>
        <v>0</v>
      </c>
      <c r="E164" s="2161" t="e">
        <f>'6PK'!E45</f>
        <v>#N/A</v>
      </c>
    </row>
    <row r="165" spans="2:5">
      <c r="B165" s="1521"/>
      <c r="C165" s="1525" t="e">
        <f>'6PK'!D46</f>
        <v>#N/A</v>
      </c>
      <c r="D165" s="1526">
        <f>'6PK'!G46</f>
        <v>0</v>
      </c>
      <c r="E165" s="2161" t="e">
        <f>'6PK'!E46</f>
        <v>#N/A</v>
      </c>
    </row>
    <row r="166" spans="2:5" hidden="1">
      <c r="B166" s="1521"/>
      <c r="C166" s="1525" t="e">
        <f>'6PK'!D47</f>
        <v>#N/A</v>
      </c>
      <c r="D166" s="1526">
        <f>'6PK'!G47</f>
        <v>0</v>
      </c>
      <c r="E166" s="2161" t="e">
        <f>'6PK'!E47</f>
        <v>#N/A</v>
      </c>
    </row>
    <row r="167" spans="2:5" hidden="1">
      <c r="B167" s="1521"/>
      <c r="C167" s="1525" t="e">
        <f>'6PK'!D48</f>
        <v>#N/A</v>
      </c>
      <c r="D167" s="1526">
        <f>'6PK'!G48</f>
        <v>0</v>
      </c>
      <c r="E167" s="2161" t="e">
        <f>'6PK'!E48</f>
        <v>#N/A</v>
      </c>
    </row>
    <row r="168" spans="2:5" hidden="1">
      <c r="B168" s="1521"/>
      <c r="C168" s="1525" t="e">
        <f>'6PK'!D49</f>
        <v>#N/A</v>
      </c>
      <c r="D168" s="1526">
        <f>'6PK'!G49</f>
        <v>0</v>
      </c>
      <c r="E168" s="2161" t="e">
        <f>'6PK'!E49</f>
        <v>#N/A</v>
      </c>
    </row>
    <row r="169" spans="2:5" hidden="1">
      <c r="B169" s="1521"/>
      <c r="C169" s="1525" t="e">
        <f>'6PK'!D50</f>
        <v>#N/A</v>
      </c>
      <c r="D169" s="1526">
        <f>'6PK'!G50</f>
        <v>0</v>
      </c>
      <c r="E169" s="2161" t="e">
        <f>'6PK'!E50</f>
        <v>#N/A</v>
      </c>
    </row>
    <row r="170" spans="2:5" hidden="1">
      <c r="B170" s="1521"/>
      <c r="C170" s="1525" t="e">
        <f>'6PK'!D51</f>
        <v>#N/A</v>
      </c>
      <c r="D170" s="1526">
        <f>'6PK'!G51</f>
        <v>0</v>
      </c>
      <c r="E170" s="2161" t="e">
        <f>'6PK'!E51</f>
        <v>#N/A</v>
      </c>
    </row>
    <row r="171" spans="2:5" hidden="1">
      <c r="B171" s="1521"/>
      <c r="C171" s="1525" t="e">
        <f>'6PK'!D52</f>
        <v>#N/A</v>
      </c>
      <c r="D171" s="1526">
        <f>'6PK'!G52</f>
        <v>0</v>
      </c>
      <c r="E171" s="2161" t="e">
        <f>'6PK'!E52</f>
        <v>#N/A</v>
      </c>
    </row>
    <row r="172" spans="2:5" hidden="1">
      <c r="B172" s="1521"/>
      <c r="C172" s="1525" t="e">
        <f>'6PK'!D53</f>
        <v>#N/A</v>
      </c>
      <c r="D172" s="1526">
        <f>'6PK'!G53</f>
        <v>0</v>
      </c>
      <c r="E172" s="2161" t="e">
        <f>'6PK'!E53</f>
        <v>#N/A</v>
      </c>
    </row>
    <row r="173" spans="2:5" hidden="1">
      <c r="B173" s="1521"/>
      <c r="C173" s="1525" t="e">
        <f>'6PK'!D54</f>
        <v>#N/A</v>
      </c>
      <c r="D173" s="1526">
        <f>'6PK'!G54</f>
        <v>0</v>
      </c>
      <c r="E173" s="2161" t="e">
        <f>'6PK'!E54</f>
        <v>#N/A</v>
      </c>
    </row>
    <row r="174" spans="2:5" hidden="1">
      <c r="B174" s="1521"/>
      <c r="C174" s="1525" t="e">
        <f>'6PK'!D55</f>
        <v>#N/A</v>
      </c>
      <c r="D174" s="1526">
        <f>'6PK'!G55</f>
        <v>0</v>
      </c>
      <c r="E174" s="2161" t="e">
        <f>'6PK'!E55</f>
        <v>#N/A</v>
      </c>
    </row>
    <row r="175" spans="2:5" hidden="1">
      <c r="B175" s="1521"/>
      <c r="C175" s="1525" t="e">
        <f>'6PK'!D56</f>
        <v>#N/A</v>
      </c>
      <c r="D175" s="1526">
        <f>'6PK'!G56</f>
        <v>0</v>
      </c>
      <c r="E175" s="2161" t="e">
        <f>'6PK'!E56</f>
        <v>#N/A</v>
      </c>
    </row>
    <row r="176" spans="2:5" hidden="1">
      <c r="B176" s="1521"/>
      <c r="C176" s="1525" t="e">
        <f>'6PK'!D57</f>
        <v>#N/A</v>
      </c>
      <c r="D176" s="1526">
        <f>'6PK'!G57</f>
        <v>0</v>
      </c>
      <c r="E176" s="2161" t="e">
        <f>'6PK'!E57</f>
        <v>#N/A</v>
      </c>
    </row>
    <row r="177" spans="2:7" hidden="1">
      <c r="B177" s="1521"/>
      <c r="C177" s="1525" t="e">
        <f>'6PK'!D58</f>
        <v>#N/A</v>
      </c>
      <c r="D177" s="1526">
        <f>'6PK'!G58</f>
        <v>0</v>
      </c>
      <c r="E177" s="2161" t="e">
        <f>'6PK'!E58</f>
        <v>#N/A</v>
      </c>
    </row>
    <row r="178" spans="2:7">
      <c r="B178" s="1521"/>
      <c r="C178" s="1525" t="e">
        <f>'6PK'!D59</f>
        <v>#N/A</v>
      </c>
      <c r="D178" s="1526">
        <f>'6PK'!G59</f>
        <v>0</v>
      </c>
      <c r="E178" s="2161" t="e">
        <f>'6PK'!E59</f>
        <v>#N/A</v>
      </c>
    </row>
    <row r="179" spans="2:7" hidden="1">
      <c r="B179" s="1521"/>
      <c r="C179" s="1525" t="e">
        <f>'6PK'!D60</f>
        <v>#N/A</v>
      </c>
      <c r="D179" s="1526">
        <f>'6PK'!G60</f>
        <v>0</v>
      </c>
      <c r="E179" s="2161" t="e">
        <f>'6PK'!E60</f>
        <v>#N/A</v>
      </c>
    </row>
    <row r="180" spans="2:7" hidden="1">
      <c r="B180" s="1521"/>
      <c r="C180" s="1525" t="e">
        <f>'6PK'!D61</f>
        <v>#N/A</v>
      </c>
      <c r="D180" s="1526">
        <f>'6PK'!G61</f>
        <v>0</v>
      </c>
      <c r="E180" s="2161" t="e">
        <f>'6PK'!E61</f>
        <v>#N/A</v>
      </c>
    </row>
    <row r="181" spans="2:7" hidden="1">
      <c r="B181" s="1521"/>
      <c r="C181" s="1525" t="e">
        <f>'6PK'!D62</f>
        <v>#N/A</v>
      </c>
      <c r="D181" s="1526">
        <f>'6PK'!G62</f>
        <v>0</v>
      </c>
      <c r="E181" s="2161" t="e">
        <f>'6PK'!E62</f>
        <v>#N/A</v>
      </c>
    </row>
    <row r="182" spans="2:7" s="1285" customFormat="1" hidden="1">
      <c r="B182" s="1521"/>
      <c r="C182" s="1525" t="e">
        <f>'6PK'!D63</f>
        <v>#N/A</v>
      </c>
      <c r="D182" s="1526">
        <f>'6PK'!G63</f>
        <v>0</v>
      </c>
      <c r="E182" s="2161" t="e">
        <f>'6PK'!E63</f>
        <v>#N/A</v>
      </c>
      <c r="G182" s="1505"/>
    </row>
    <row r="183" spans="2:7" s="1285" customFormat="1" hidden="1">
      <c r="B183" s="1521"/>
      <c r="C183" s="1525" t="e">
        <f>'6PK'!D64</f>
        <v>#N/A</v>
      </c>
      <c r="D183" s="1526">
        <f>'6PK'!G64</f>
        <v>0</v>
      </c>
      <c r="E183" s="2161" t="e">
        <f>'6PK'!E64</f>
        <v>#N/A</v>
      </c>
      <c r="G183" s="1505"/>
    </row>
    <row r="184" spans="2:7" s="1285" customFormat="1" hidden="1">
      <c r="B184" s="1521"/>
      <c r="C184" s="1525" t="e">
        <f>'6PK'!D65</f>
        <v>#N/A</v>
      </c>
      <c r="D184" s="1526">
        <f>'6PK'!G65</f>
        <v>0</v>
      </c>
      <c r="E184" s="2161" t="e">
        <f>'6PK'!E65</f>
        <v>#N/A</v>
      </c>
      <c r="G184" s="1505"/>
    </row>
    <row r="185" spans="2:7" s="1285" customFormat="1" hidden="1">
      <c r="B185" s="1521"/>
      <c r="C185" s="1525" t="e">
        <f>'6PK'!D66</f>
        <v>#N/A</v>
      </c>
      <c r="D185" s="1526">
        <f>'6PK'!G66</f>
        <v>0</v>
      </c>
      <c r="E185" s="2161" t="e">
        <f>'6PK'!E66</f>
        <v>#N/A</v>
      </c>
      <c r="G185" s="1505"/>
    </row>
    <row r="186" spans="2:7" s="1285" customFormat="1" hidden="1">
      <c r="B186" s="1521"/>
      <c r="C186" s="1525" t="e">
        <f>'6PK'!D67</f>
        <v>#N/A</v>
      </c>
      <c r="D186" s="1526">
        <f>'6PK'!G67</f>
        <v>0</v>
      </c>
      <c r="E186" s="2161" t="e">
        <f>'6PK'!E67</f>
        <v>#N/A</v>
      </c>
      <c r="G186" s="1505"/>
    </row>
    <row r="187" spans="2:7" s="1285" customFormat="1" hidden="1">
      <c r="B187" s="1521"/>
      <c r="C187" s="1525" t="e">
        <f>'6PK'!D68</f>
        <v>#N/A</v>
      </c>
      <c r="D187" s="1526">
        <f>'6PK'!G68</f>
        <v>0</v>
      </c>
      <c r="E187" s="2161" t="e">
        <f>'6PK'!E68</f>
        <v>#N/A</v>
      </c>
      <c r="G187" s="1505"/>
    </row>
    <row r="188" spans="2:7" s="1285" customFormat="1" hidden="1">
      <c r="B188" s="1521"/>
      <c r="C188" s="1525" t="e">
        <f>'6PK'!D69</f>
        <v>#N/A</v>
      </c>
      <c r="D188" s="1526">
        <f>'6PK'!G69</f>
        <v>0</v>
      </c>
      <c r="E188" s="2161" t="e">
        <f>'6PK'!E69</f>
        <v>#N/A</v>
      </c>
      <c r="G188" s="1505"/>
    </row>
    <row r="189" spans="2:7" s="1285" customFormat="1" hidden="1">
      <c r="B189" s="1521"/>
      <c r="C189" s="1525" t="e">
        <f>'6PK'!D70</f>
        <v>#N/A</v>
      </c>
      <c r="D189" s="1526">
        <f>'6PK'!G70</f>
        <v>0</v>
      </c>
      <c r="E189" s="2161" t="e">
        <f>'6PK'!E70</f>
        <v>#N/A</v>
      </c>
      <c r="G189" s="1505"/>
    </row>
    <row r="190" spans="2:7" s="1285" customFormat="1" hidden="1">
      <c r="B190" s="1521"/>
      <c r="C190" s="1525" t="e">
        <f>'6PK'!D71</f>
        <v>#N/A</v>
      </c>
      <c r="D190" s="1526">
        <f>'6PK'!G71</f>
        <v>0</v>
      </c>
      <c r="E190" s="2161" t="e">
        <f>'6PK'!E71</f>
        <v>#N/A</v>
      </c>
      <c r="G190" s="1505"/>
    </row>
    <row r="191" spans="2:7" s="1285" customFormat="1" hidden="1">
      <c r="B191" s="1521"/>
      <c r="C191" s="1525" t="e">
        <f>'6PK'!D72</f>
        <v>#N/A</v>
      </c>
      <c r="D191" s="1526">
        <f>'6PK'!G72</f>
        <v>0</v>
      </c>
      <c r="E191" s="2161" t="e">
        <f>'6PK'!E72</f>
        <v>#N/A</v>
      </c>
      <c r="G191" s="1505"/>
    </row>
    <row r="192" spans="2:7" s="1285" customFormat="1" hidden="1">
      <c r="B192" s="1521"/>
      <c r="C192" s="1525" t="e">
        <f>'6PK'!D81</f>
        <v>#N/A</v>
      </c>
      <c r="D192" s="1526">
        <f>'6PK'!G81</f>
        <v>0</v>
      </c>
      <c r="E192" s="2161">
        <f>'6PK'!H73</f>
        <v>4</v>
      </c>
      <c r="G192" s="1505"/>
    </row>
    <row r="193" spans="2:7" s="1285" customFormat="1" hidden="1">
      <c r="B193" s="1521"/>
      <c r="C193" s="1525" t="e">
        <f>'6PK'!D82</f>
        <v>#N/A</v>
      </c>
      <c r="D193" s="1526">
        <f>'6PK'!G82</f>
        <v>0</v>
      </c>
      <c r="E193" s="2161">
        <f>'6PK'!H74</f>
        <v>4</v>
      </c>
      <c r="G193" s="1505"/>
    </row>
    <row r="194" spans="2:7" s="1285" customFormat="1" hidden="1">
      <c r="B194" s="1521"/>
      <c r="C194" s="1525" t="e">
        <f>'6PK'!D83</f>
        <v>#N/A</v>
      </c>
      <c r="D194" s="1526">
        <f>'6PK'!G83</f>
        <v>0</v>
      </c>
      <c r="E194" s="2161">
        <f>'6PK'!H75</f>
        <v>4</v>
      </c>
      <c r="G194" s="1505"/>
    </row>
    <row r="195" spans="2:7" s="1285" customFormat="1" hidden="1">
      <c r="B195" s="1521"/>
      <c r="C195" s="1525" t="e">
        <f>'6PK'!D84</f>
        <v>#N/A</v>
      </c>
      <c r="D195" s="1526">
        <f>'6PK'!G84</f>
        <v>0</v>
      </c>
      <c r="E195" s="2161">
        <f>'6PK'!H76</f>
        <v>4</v>
      </c>
      <c r="G195" s="1505"/>
    </row>
    <row r="196" spans="2:7" s="1285" customFormat="1" hidden="1">
      <c r="B196" s="1521"/>
      <c r="C196" s="1525" t="e">
        <f>'6PK'!D85</f>
        <v>#N/A</v>
      </c>
      <c r="D196" s="1526">
        <f>'6PK'!G85</f>
        <v>0</v>
      </c>
      <c r="E196" s="2161">
        <f>'6PK'!H77</f>
        <v>4</v>
      </c>
      <c r="G196" s="1505"/>
    </row>
    <row r="197" spans="2:7" s="1285" customFormat="1" hidden="1">
      <c r="B197" s="1521"/>
      <c r="C197" s="1525">
        <f>'6PK'!D86</f>
        <v>0</v>
      </c>
      <c r="D197" s="1526">
        <f>'6PK'!G86</f>
        <v>0</v>
      </c>
      <c r="E197" s="2161">
        <f>'6PK'!H78</f>
        <v>4</v>
      </c>
      <c r="G197" s="1505"/>
    </row>
    <row r="198" spans="2:7">
      <c r="B198" s="1521">
        <f>B124</f>
        <v>43876</v>
      </c>
      <c r="C198" s="1525" t="str">
        <f>"Kéo, rải, căng dây trung thế:"</f>
        <v>Kéo, rải, căng dây trung thế:</v>
      </c>
      <c r="D198" s="1523">
        <f>D124</f>
        <v>185</v>
      </c>
      <c r="E198" s="1524"/>
    </row>
    <row r="199" spans="2:7" s="1285" customFormat="1">
      <c r="B199" s="1521"/>
      <c r="C199" s="1525" t="str">
        <f>'7day'!E5&amp;" dài "&amp;'7day'!F5&amp;" mét."</f>
        <v>Cáp nhôm ABC 4x95mm2 dài 449 mét.</v>
      </c>
      <c r="D199" s="1523">
        <f>'7day'!G5</f>
        <v>449</v>
      </c>
      <c r="E199" s="1524"/>
      <c r="G199" s="1505"/>
    </row>
    <row r="200" spans="2:7" s="1285" customFormat="1" ht="33.6"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6">
      <c r="B203" s="1521"/>
      <c r="C203" s="1522" t="s">
        <v>4559</v>
      </c>
      <c r="D203" s="1523">
        <f>D198+D124</f>
        <v>370</v>
      </c>
      <c r="E203" s="1524"/>
    </row>
    <row r="204" spans="2:7">
      <c r="B204" s="1521">
        <f>B198</f>
        <v>43876</v>
      </c>
      <c r="C204" s="1522" t="str">
        <f>"Lắp đặt trạm biến áp"</f>
        <v>Lắp đặt trạm biến áp</v>
      </c>
      <c r="D204" s="1523">
        <f>'8TB'!F2</f>
        <v>1</v>
      </c>
      <c r="E204" s="1524"/>
    </row>
    <row r="205" spans="2:7" ht="33.6">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68</v>
      </c>
      <c r="E216" s="1528"/>
      <c r="G216" s="1505"/>
    </row>
    <row r="217" spans="2:7" s="1285" customFormat="1">
      <c r="B217" s="1521"/>
      <c r="C217" s="1522" t="e">
        <f>'8TB'!D14&amp;": "&amp;'8TB'!F14&amp;" "&amp;'8TB'!E14</f>
        <v>#N/A</v>
      </c>
      <c r="D217" s="1523">
        <f>'8TB'!F15</f>
        <v>68</v>
      </c>
      <c r="E217" s="1528"/>
      <c r="G217" s="1505"/>
    </row>
    <row r="218" spans="2:7" s="1285" customFormat="1">
      <c r="B218" s="1521"/>
      <c r="C218" s="1522" t="e">
        <f>'8TB'!D15&amp;": "&amp;'8TB'!F15&amp;" "&amp;'8TB'!E15</f>
        <v>#N/A</v>
      </c>
      <c r="D218" s="1523">
        <f>'8TB'!F16</f>
        <v>2</v>
      </c>
      <c r="E218" s="1528"/>
      <c r="G218" s="1505"/>
    </row>
    <row r="219" spans="2:7" s="1285" customFormat="1">
      <c r="B219" s="1521"/>
      <c r="C219" s="1522" t="e">
        <f>'8TB'!D16&amp;": "&amp;'8TB'!F16&amp;" "&amp;'8TB'!E16</f>
        <v>#N/A</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0</v>
      </c>
      <c r="E222" s="1528"/>
      <c r="G222" s="1505"/>
    </row>
    <row r="223" spans="2:7" s="1285" customFormat="1">
      <c r="B223" s="1521"/>
      <c r="C223" s="1522" t="str">
        <f>'8TB'!D20&amp;": "&amp;'8TB'!F20&amp;" "&amp;'8TB'!E20</f>
        <v>Vỏ tủ trạm giàn 2 ngăn + khóa tủ: 0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4560</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6"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ht="33.6">
      <c r="B246" s="1521"/>
      <c r="C246" s="1525" t="str">
        <f>'9TD'!D30</f>
        <v xml:space="preserve"> - Cosse Cu 25mm² + Boulon Þ12x40/Zn + 2 long đền: 2 bộ</v>
      </c>
      <c r="D246" s="1523">
        <f>'9TD'!J30</f>
        <v>2</v>
      </c>
      <c r="E246" s="1524"/>
      <c r="G246" s="1505"/>
    </row>
    <row r="247" spans="2:7" s="1285" customFormat="1" ht="33.6">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6" hidden="1">
      <c r="B257" s="1521"/>
      <c r="C257" s="1522" t="s">
        <v>4564</v>
      </c>
      <c r="D257" s="1523"/>
      <c r="E257" s="1524"/>
      <c r="G257" s="1505"/>
    </row>
    <row r="258" spans="2:7" ht="33.6">
      <c r="B258" s="1521">
        <f>B233</f>
        <v>43876</v>
      </c>
      <c r="C258" s="1522" t="s">
        <v>4561</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6" hidden="1">
      <c r="B275" s="1529"/>
      <c r="C275" s="1530" t="s">
        <v>4565</v>
      </c>
      <c r="D275" s="1531"/>
      <c r="E275" s="1532"/>
    </row>
  </sheetData>
  <autoFilter ref="D2:D275" xr:uid="{00000000-0009-0000-0000-000020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90625" defaultRowHeight="35.1" customHeight="1" outlineLevelCol="1"/>
  <cols>
    <col min="1" max="1" width="11.36328125" style="2195" customWidth="1"/>
    <col min="2" max="2" width="15.08984375" style="2195" customWidth="1"/>
    <col min="3" max="3" width="11.6328125" style="1285" customWidth="1"/>
    <col min="4" max="4" width="6.1796875" style="2195" customWidth="1"/>
    <col min="5" max="5" width="16.6328125" style="2195" customWidth="1"/>
    <col min="6" max="6" width="7.36328125" style="1285" customWidth="1"/>
    <col min="7" max="7" width="17.6328125" style="1971" customWidth="1"/>
    <col min="8" max="8" width="23.36328125" style="2086" customWidth="1" outlineLevel="1"/>
    <col min="9" max="9" width="26.81640625" style="2086" customWidth="1" outlineLevel="1"/>
    <col min="10" max="10" width="14.36328125" style="2087" customWidth="1" outlineLevel="1"/>
    <col min="11" max="11" width="11.1796875" style="2087" customWidth="1" outlineLevel="1"/>
    <col min="12" max="12" width="16.54296875" style="2190" customWidth="1"/>
    <col min="13" max="13" width="10.81640625" style="1451" customWidth="1"/>
    <col min="14" max="14" width="10.453125" style="1285" customWidth="1"/>
    <col min="15" max="16" width="13.36328125" style="1971" customWidth="1"/>
    <col min="17" max="17" width="8.90625" style="2195" customWidth="1"/>
    <col min="18" max="19" width="13.90625" style="1280" customWidth="1" outlineLevel="1"/>
    <col min="20" max="20" width="13.90625" style="1285" customWidth="1" outlineLevel="1"/>
    <col min="21" max="21" width="13.90625" style="1495" customWidth="1" outlineLevel="1"/>
    <col min="22" max="23" width="13.08984375" style="1285" customWidth="1" outlineLevel="1"/>
    <col min="24" max="25" width="8.90625" style="1285"/>
    <col min="26" max="26" width="27.6328125" style="1285" customWidth="1"/>
    <col min="27" max="32" width="8.90625" style="1285"/>
    <col min="33" max="33" width="8.90625" style="2195"/>
    <col min="34" max="34" width="45.453125" style="2195" customWidth="1"/>
    <col min="35" max="41" width="8.90625" style="2195"/>
    <col min="42" max="42" width="21.6328125" style="2195" customWidth="1"/>
    <col min="43" max="45" width="8.90625" style="2195"/>
    <col min="46" max="46" width="6" style="2195" customWidth="1"/>
    <col min="47" max="47" width="31.1796875" style="2195" customWidth="1"/>
    <col min="48" max="48" width="7.1796875" style="2195" customWidth="1"/>
    <col min="49" max="54" width="8.90625" style="2195"/>
    <col min="55" max="55" width="22.54296875" style="2195" bestFit="1" customWidth="1"/>
    <col min="56" max="56" width="12.54296875" style="2195" customWidth="1"/>
    <col min="57" max="62" width="8.90625" style="2195"/>
    <col min="63" max="63" width="22.1796875" style="2195" customWidth="1"/>
    <col min="64" max="64" width="20.54296875" style="2195" customWidth="1"/>
    <col min="65" max="72" width="8.90625" style="2195"/>
    <col min="73" max="73" width="28.81640625" style="2195" customWidth="1"/>
    <col min="74" max="74" width="8.90625" style="2195"/>
    <col min="75" max="75" width="14.1796875" style="2195" customWidth="1"/>
    <col min="76" max="16384" width="8.90625" style="2195"/>
  </cols>
  <sheetData>
    <row r="1" spans="1:26" s="2173" customFormat="1" ht="35.1" customHeight="1" thickBot="1">
      <c r="A1" s="2282" t="s">
        <v>4505</v>
      </c>
      <c r="B1" s="2283" t="s">
        <v>4514</v>
      </c>
      <c r="C1" s="2283" t="s">
        <v>4514</v>
      </c>
      <c r="D1" s="2283"/>
      <c r="E1" s="2283" t="s">
        <v>4898</v>
      </c>
      <c r="F1" s="2284"/>
      <c r="G1" s="2174" t="s">
        <v>2614</v>
      </c>
      <c r="H1" s="2175" t="s">
        <v>4210</v>
      </c>
      <c r="I1" s="2175" t="s">
        <v>4211</v>
      </c>
      <c r="J1" s="2176" t="s">
        <v>4519</v>
      </c>
      <c r="K1" s="2176" t="s">
        <v>4214</v>
      </c>
      <c r="L1" s="2177" t="s">
        <v>4517</v>
      </c>
      <c r="M1" s="2178" t="s">
        <v>4214</v>
      </c>
      <c r="N1" s="2178" t="s">
        <v>4215</v>
      </c>
      <c r="O1" s="2207" t="s">
        <v>4831</v>
      </c>
      <c r="P1" s="2251">
        <v>43796</v>
      </c>
      <c r="Q1" s="2088" t="s">
        <v>2614</v>
      </c>
      <c r="R1" s="2179" t="s">
        <v>4210</v>
      </c>
      <c r="S1" s="2179" t="s">
        <v>4211</v>
      </c>
      <c r="T1" s="2180" t="s">
        <v>4519</v>
      </c>
      <c r="U1" s="2181" t="s">
        <v>4214</v>
      </c>
      <c r="V1" s="2182" t="s">
        <v>4517</v>
      </c>
      <c r="W1" s="2183" t="s">
        <v>4214</v>
      </c>
      <c r="Z1" s="2184" t="s">
        <v>4323</v>
      </c>
    </row>
    <row r="2" spans="1:26" ht="40.200000000000003" customHeight="1">
      <c r="A2" s="2300" t="s">
        <v>4899</v>
      </c>
      <c r="B2" s="2301"/>
      <c r="C2" s="2302"/>
      <c r="D2" s="2301">
        <v>1</v>
      </c>
      <c r="E2" s="2303">
        <v>43936</v>
      </c>
      <c r="F2" s="2304"/>
      <c r="G2" s="2186" t="s">
        <v>943</v>
      </c>
      <c r="H2" s="2187" t="s">
        <v>4819</v>
      </c>
      <c r="I2" s="2187" t="s">
        <v>4819</v>
      </c>
      <c r="J2" s="2188">
        <v>21912008</v>
      </c>
      <c r="K2" s="2189">
        <v>43797</v>
      </c>
      <c r="L2" s="2263" t="s">
        <v>5210</v>
      </c>
      <c r="M2" s="2191">
        <v>43809</v>
      </c>
      <c r="N2" s="2089">
        <v>4252</v>
      </c>
      <c r="O2" s="1971" t="s">
        <v>5203</v>
      </c>
      <c r="P2" s="2089"/>
      <c r="Q2" s="2192" t="s">
        <v>115</v>
      </c>
      <c r="R2" s="2193" t="s">
        <v>4507</v>
      </c>
      <c r="S2" s="2193" t="s">
        <v>4507</v>
      </c>
      <c r="T2" s="1285" t="s">
        <v>4846</v>
      </c>
      <c r="U2" s="2194">
        <v>43864</v>
      </c>
      <c r="V2" s="1285" t="s">
        <v>4769</v>
      </c>
      <c r="W2" s="1495">
        <v>43462</v>
      </c>
      <c r="Z2" s="1451" t="s">
        <v>4507</v>
      </c>
    </row>
    <row r="3" spans="1:26" ht="35.1" customHeight="1">
      <c r="A3" s="2287" t="s">
        <v>3902</v>
      </c>
      <c r="B3" s="2288">
        <v>3</v>
      </c>
      <c r="C3" s="2289" t="str">
        <f>TEXT(B3,"00")</f>
        <v>03</v>
      </c>
      <c r="D3" s="2290">
        <f>IF(B3&lt;&gt;0,D2+1,D2)</f>
        <v>2</v>
      </c>
      <c r="E3" s="2285">
        <f>E2+F3</f>
        <v>43936</v>
      </c>
      <c r="F3" s="2286"/>
      <c r="G3" s="2186" t="s">
        <v>5173</v>
      </c>
      <c r="H3" s="2187" t="s">
        <v>4507</v>
      </c>
      <c r="I3" s="2187" t="s">
        <v>4507</v>
      </c>
      <c r="J3" s="2196" t="s">
        <v>5204</v>
      </c>
      <c r="K3" s="2197">
        <v>43676</v>
      </c>
      <c r="L3" s="2462" t="s">
        <v>5206</v>
      </c>
      <c r="M3" s="2250">
        <v>43539</v>
      </c>
      <c r="O3" s="1971">
        <f>VLOOKUP(G3,Q:X,8,0)</f>
        <v>0</v>
      </c>
      <c r="P3" s="2089"/>
      <c r="Q3" s="2192" t="s">
        <v>274</v>
      </c>
      <c r="R3" s="2198" t="s">
        <v>4226</v>
      </c>
      <c r="S3" s="2198" t="s">
        <v>4226</v>
      </c>
      <c r="T3" s="2188" t="s">
        <v>1018</v>
      </c>
      <c r="U3" s="2189" t="s">
        <v>1018</v>
      </c>
      <c r="X3" s="1285" t="s">
        <v>4833</v>
      </c>
      <c r="Z3" s="2199" t="s">
        <v>4554</v>
      </c>
    </row>
    <row r="4" spans="1:26" ht="35.1" customHeight="1">
      <c r="A4" s="2287" t="s">
        <v>2285</v>
      </c>
      <c r="B4" s="2288">
        <v>3</v>
      </c>
      <c r="C4" s="2289" t="str">
        <f t="shared" ref="C4:C8" si="0">TEXT(B4,"00")</f>
        <v>03</v>
      </c>
      <c r="D4" s="2290">
        <f t="shared" ref="D4:D8" si="1">IF(B4&lt;&gt;0,D3+1,D3)</f>
        <v>3</v>
      </c>
      <c r="E4" s="2285">
        <f t="shared" ref="E4:E8" si="2">E3+F4</f>
        <v>43940</v>
      </c>
      <c r="F4" s="2286">
        <v>4</v>
      </c>
      <c r="G4" s="2186" t="s">
        <v>876</v>
      </c>
      <c r="H4" s="2187" t="s">
        <v>4507</v>
      </c>
      <c r="I4" s="2187" t="s">
        <v>4507</v>
      </c>
      <c r="J4" s="2196" t="s">
        <v>5204</v>
      </c>
      <c r="K4" s="2197">
        <v>43676</v>
      </c>
      <c r="L4" s="2462" t="s">
        <v>5205</v>
      </c>
      <c r="M4" s="2250">
        <v>43539</v>
      </c>
      <c r="O4" s="1971" t="e">
        <f>VLOOKUP(G4,Q:X,8,0)</f>
        <v>#N/A</v>
      </c>
      <c r="P4" s="2264"/>
      <c r="Q4" s="2192" t="s">
        <v>1015</v>
      </c>
      <c r="R4" s="2198" t="s">
        <v>4226</v>
      </c>
      <c r="S4" s="2198" t="s">
        <v>4226</v>
      </c>
      <c r="T4" s="2200" t="s">
        <v>4670</v>
      </c>
      <c r="U4" s="2194">
        <v>43525</v>
      </c>
      <c r="X4" s="1285" t="s">
        <v>4833</v>
      </c>
      <c r="Z4" s="2199" t="s">
        <v>4216</v>
      </c>
    </row>
    <row r="5" spans="1:26" ht="35.1" customHeight="1">
      <c r="A5" s="2287" t="s">
        <v>4506</v>
      </c>
      <c r="B5" s="2288">
        <v>3</v>
      </c>
      <c r="C5" s="2289" t="str">
        <f t="shared" si="0"/>
        <v>03</v>
      </c>
      <c r="D5" s="2290">
        <f t="shared" si="1"/>
        <v>4</v>
      </c>
      <c r="E5" s="2285">
        <f t="shared" si="2"/>
        <v>43940</v>
      </c>
      <c r="F5" s="2286"/>
      <c r="G5" s="2186" t="s">
        <v>1660</v>
      </c>
      <c r="H5" s="2187" t="s">
        <v>4218</v>
      </c>
      <c r="I5" s="2187" t="s">
        <v>4219</v>
      </c>
      <c r="J5" s="2196"/>
      <c r="K5" s="2197"/>
      <c r="L5" s="2190" t="s">
        <v>5211</v>
      </c>
      <c r="M5" s="2250">
        <v>43796</v>
      </c>
      <c r="N5" s="1285">
        <v>1211</v>
      </c>
      <c r="O5" s="2463" t="s">
        <v>4844</v>
      </c>
      <c r="Q5" s="2192" t="s">
        <v>699</v>
      </c>
      <c r="R5" s="2198" t="s">
        <v>4226</v>
      </c>
      <c r="S5" s="2198" t="s">
        <v>4226</v>
      </c>
      <c r="T5" s="2200" t="s">
        <v>4668</v>
      </c>
      <c r="U5" s="2194">
        <v>43494</v>
      </c>
      <c r="X5" s="1285" t="s">
        <v>4834</v>
      </c>
      <c r="Z5" s="2199" t="s">
        <v>4219</v>
      </c>
    </row>
    <row r="6" spans="1:26" ht="35.1" customHeight="1">
      <c r="A6" s="2291" t="s">
        <v>4508</v>
      </c>
      <c r="B6" s="2288"/>
      <c r="C6" s="2289" t="str">
        <f t="shared" si="0"/>
        <v>00</v>
      </c>
      <c r="D6" s="2290">
        <f t="shared" si="1"/>
        <v>4</v>
      </c>
      <c r="E6" s="2285">
        <f t="shared" si="2"/>
        <v>43940</v>
      </c>
      <c r="F6" s="2286"/>
      <c r="G6" s="2186" t="s">
        <v>1378</v>
      </c>
      <c r="H6" s="2187" t="s">
        <v>4661</v>
      </c>
      <c r="I6" s="2187" t="s">
        <v>4219</v>
      </c>
      <c r="J6" s="2196"/>
      <c r="K6" s="2197"/>
      <c r="L6" s="2190" t="s">
        <v>5212</v>
      </c>
      <c r="M6" s="2250">
        <v>43796</v>
      </c>
      <c r="N6" s="1285">
        <v>1212</v>
      </c>
      <c r="O6" s="1971" t="str">
        <f>VLOOKUP(G6,Q:X,8,0)</f>
        <v>/BB-LA</v>
      </c>
      <c r="Q6" s="2192" t="s">
        <v>360</v>
      </c>
      <c r="R6" s="2198" t="s">
        <v>4226</v>
      </c>
      <c r="S6" s="2198" t="s">
        <v>4226</v>
      </c>
      <c r="T6" s="2200" t="s">
        <v>4667</v>
      </c>
      <c r="U6" s="2194">
        <v>43665</v>
      </c>
      <c r="X6" s="1285" t="s">
        <v>4834</v>
      </c>
      <c r="Z6" s="2199" t="s">
        <v>4324</v>
      </c>
    </row>
    <row r="7" spans="1:26" ht="35.1" customHeight="1">
      <c r="A7" s="2291" t="s">
        <v>4509</v>
      </c>
      <c r="B7" s="2288">
        <v>4</v>
      </c>
      <c r="C7" s="2289" t="str">
        <f t="shared" si="0"/>
        <v>04</v>
      </c>
      <c r="D7" s="2290">
        <f t="shared" si="1"/>
        <v>5</v>
      </c>
      <c r="E7" s="2285">
        <f t="shared" si="2"/>
        <v>43943</v>
      </c>
      <c r="F7" s="2286">
        <v>3</v>
      </c>
      <c r="G7" s="2186" t="s">
        <v>1565</v>
      </c>
      <c r="H7" s="2187" t="s">
        <v>4221</v>
      </c>
      <c r="I7" s="2187" t="s">
        <v>4222</v>
      </c>
      <c r="J7" s="2196"/>
      <c r="K7" s="2197"/>
      <c r="L7" s="2190" t="s">
        <v>5213</v>
      </c>
      <c r="M7" s="2250">
        <v>43796</v>
      </c>
      <c r="N7" s="1285">
        <v>1213</v>
      </c>
      <c r="O7" s="1971" t="str">
        <f>VLOOKUP(G7,Q:X,8,0)</f>
        <v>/BB-MCCB</v>
      </c>
      <c r="Q7" s="2192" t="s">
        <v>103</v>
      </c>
      <c r="R7" s="2198" t="s">
        <v>4226</v>
      </c>
      <c r="S7" s="2198" t="s">
        <v>4226</v>
      </c>
      <c r="T7" s="2200" t="s">
        <v>4666</v>
      </c>
      <c r="U7" s="2194">
        <v>43525</v>
      </c>
      <c r="V7" s="1285" t="s">
        <v>4773</v>
      </c>
      <c r="W7" s="1495">
        <v>43522</v>
      </c>
      <c r="Z7" s="2199" t="s">
        <v>4222</v>
      </c>
    </row>
    <row r="8" spans="1:26" ht="35.1" customHeight="1">
      <c r="A8" s="2287" t="s">
        <v>4909</v>
      </c>
      <c r="B8" s="2288">
        <f>B9</f>
        <v>2</v>
      </c>
      <c r="C8" s="2289" t="str">
        <f t="shared" si="0"/>
        <v>02</v>
      </c>
      <c r="D8" s="2290">
        <f t="shared" si="1"/>
        <v>6</v>
      </c>
      <c r="E8" s="2285">
        <f t="shared" si="2"/>
        <v>43943</v>
      </c>
      <c r="F8" s="2286"/>
      <c r="G8" s="2186" t="s">
        <v>88</v>
      </c>
      <c r="H8" s="2187" t="s">
        <v>4226</v>
      </c>
      <c r="I8" s="2187" t="s">
        <v>4226</v>
      </c>
      <c r="J8" s="2196" t="s">
        <v>5235</v>
      </c>
      <c r="K8" s="2197">
        <v>43781</v>
      </c>
      <c r="M8" s="2250"/>
      <c r="O8" s="1971">
        <f>VLOOKUP(G8,Q:X,8,0)</f>
        <v>0</v>
      </c>
      <c r="Q8" s="2195" t="s">
        <v>2284</v>
      </c>
      <c r="R8" s="2198" t="s">
        <v>4226</v>
      </c>
      <c r="S8" s="2198" t="s">
        <v>4226</v>
      </c>
      <c r="T8" s="2200" t="s">
        <v>4669</v>
      </c>
      <c r="U8" s="2194">
        <v>43494</v>
      </c>
      <c r="X8" s="1285" t="s">
        <v>4833</v>
      </c>
      <c r="Z8" s="2199" t="s">
        <v>4228</v>
      </c>
    </row>
    <row r="9" spans="1:26" ht="35.1" customHeight="1">
      <c r="A9" s="2292" t="s">
        <v>4158</v>
      </c>
      <c r="B9" s="2288">
        <v>2</v>
      </c>
      <c r="C9" s="2289" t="str">
        <f t="shared" ref="C9:C10" si="3">TEXT(B9,"00")</f>
        <v>02</v>
      </c>
      <c r="D9" s="2290">
        <f t="shared" ref="D9:D10" si="4">IF(B9&lt;&gt;0,D8+1,D8)</f>
        <v>7</v>
      </c>
      <c r="E9" s="2285">
        <f t="shared" ref="E9:E10" si="5">E8+F9</f>
        <v>43943</v>
      </c>
      <c r="F9" s="2286"/>
      <c r="G9" s="2186" t="s">
        <v>5177</v>
      </c>
      <c r="H9" s="2187" t="s">
        <v>4224</v>
      </c>
      <c r="I9" s="2187" t="s">
        <v>4224</v>
      </c>
      <c r="J9" s="2196" t="s">
        <v>5222</v>
      </c>
      <c r="K9" s="2197">
        <v>43729</v>
      </c>
      <c r="L9" s="2190" t="s">
        <v>5213</v>
      </c>
      <c r="M9" s="2250">
        <v>43796</v>
      </c>
      <c r="N9" s="1285">
        <v>1221</v>
      </c>
      <c r="O9" s="1971" t="s">
        <v>4836</v>
      </c>
      <c r="Q9" s="2192" t="s">
        <v>88</v>
      </c>
      <c r="R9" s="2198" t="s">
        <v>4226</v>
      </c>
      <c r="S9" s="2198" t="s">
        <v>4226</v>
      </c>
      <c r="T9" s="2200" t="s">
        <v>4771</v>
      </c>
      <c r="U9" s="2194">
        <v>43665</v>
      </c>
      <c r="V9" s="1285" t="s">
        <v>4770</v>
      </c>
      <c r="W9" s="1495">
        <v>42387</v>
      </c>
      <c r="Z9" s="2199" t="s">
        <v>4502</v>
      </c>
    </row>
    <row r="10" spans="1:26" ht="35.1" customHeight="1">
      <c r="A10" s="2292" t="s">
        <v>4513</v>
      </c>
      <c r="B10" s="2288">
        <v>6</v>
      </c>
      <c r="C10" s="2289" t="str">
        <f t="shared" si="3"/>
        <v>06</v>
      </c>
      <c r="D10" s="2290">
        <f t="shared" si="4"/>
        <v>8</v>
      </c>
      <c r="E10" s="2285">
        <f t="shared" si="5"/>
        <v>43943</v>
      </c>
      <c r="F10" s="2286"/>
      <c r="G10" s="2186" t="s">
        <v>1031</v>
      </c>
      <c r="H10" s="2187" t="s">
        <v>4225</v>
      </c>
      <c r="I10" s="2187" t="s">
        <v>4219</v>
      </c>
      <c r="J10" s="2196"/>
      <c r="K10" s="2197"/>
      <c r="L10" s="2190" t="s">
        <v>5214</v>
      </c>
      <c r="M10" s="2250">
        <v>43796</v>
      </c>
      <c r="N10" s="1285">
        <v>1210</v>
      </c>
      <c r="O10" s="1971" t="str">
        <f>VLOOKUP(G10,Q:X,8,0)</f>
        <v>/BB-SCĐ</v>
      </c>
      <c r="Q10" s="2192" t="s">
        <v>1364</v>
      </c>
      <c r="R10" s="2198" t="s">
        <v>4226</v>
      </c>
      <c r="S10" s="2198" t="s">
        <v>4226</v>
      </c>
      <c r="T10" s="2200" t="s">
        <v>4665</v>
      </c>
      <c r="U10" s="2194">
        <v>43665</v>
      </c>
      <c r="V10" s="1285" t="s">
        <v>4772</v>
      </c>
      <c r="W10" s="1495">
        <v>42445</v>
      </c>
      <c r="Z10" s="2199" t="s">
        <v>4226</v>
      </c>
    </row>
    <row r="11" spans="1:26" ht="35.1" customHeight="1" thickBot="1">
      <c r="A11" s="2293" t="s">
        <v>4526</v>
      </c>
      <c r="B11" s="2294">
        <v>3</v>
      </c>
      <c r="C11" s="2295" t="str">
        <f t="shared" ref="C11" si="6">TEXT(B11,"00")</f>
        <v>03</v>
      </c>
      <c r="D11" s="2296">
        <f t="shared" ref="D11" si="7">IF(B11&lt;&gt;0,D10+1,D10)</f>
        <v>9</v>
      </c>
      <c r="E11" s="2297">
        <f t="shared" ref="E11" si="8">E10+F11</f>
        <v>43948</v>
      </c>
      <c r="F11" s="2298">
        <v>5</v>
      </c>
      <c r="G11" s="2186" t="s">
        <v>34</v>
      </c>
      <c r="H11" s="2187" t="s">
        <v>4226</v>
      </c>
      <c r="I11" s="2187" t="s">
        <v>4226</v>
      </c>
      <c r="J11" s="2196" t="s">
        <v>5224</v>
      </c>
      <c r="K11" s="2197">
        <v>43781</v>
      </c>
      <c r="L11" s="2190" t="s">
        <v>5215</v>
      </c>
      <c r="M11" s="2250">
        <v>43796</v>
      </c>
      <c r="N11" s="1285">
        <v>1217</v>
      </c>
      <c r="O11" s="1971" t="s">
        <v>4833</v>
      </c>
      <c r="Q11" s="2202" t="s">
        <v>5178</v>
      </c>
      <c r="R11" s="2198" t="s">
        <v>4219</v>
      </c>
      <c r="S11" s="2198" t="s">
        <v>4219</v>
      </c>
      <c r="T11" s="2188" t="s">
        <v>4662</v>
      </c>
      <c r="U11" s="2189">
        <v>43525</v>
      </c>
      <c r="Z11" s="2199" t="s">
        <v>4225</v>
      </c>
    </row>
    <row r="12" spans="1:26" ht="35.1" customHeight="1">
      <c r="A12"/>
      <c r="B12"/>
      <c r="C12"/>
      <c r="D12"/>
      <c r="E12"/>
      <c r="F12"/>
      <c r="G12" s="2186" t="s">
        <v>1531</v>
      </c>
      <c r="H12" s="2187" t="s">
        <v>4226</v>
      </c>
      <c r="I12" s="2187" t="s">
        <v>4226</v>
      </c>
      <c r="J12" s="2196" t="s">
        <v>5231</v>
      </c>
      <c r="K12" s="2197">
        <v>43781</v>
      </c>
      <c r="L12" s="2190" t="s">
        <v>5216</v>
      </c>
      <c r="M12" s="2250">
        <v>43796</v>
      </c>
      <c r="N12" s="1285">
        <v>1219</v>
      </c>
      <c r="O12" s="1971" t="str">
        <f>VLOOKUP(G12,Q:X,8,0)</f>
        <v>/BB-LVC</v>
      </c>
      <c r="Q12" s="2195" t="s">
        <v>753</v>
      </c>
      <c r="R12" s="2203" t="s">
        <v>4418</v>
      </c>
      <c r="S12" s="2203" t="s">
        <v>4418</v>
      </c>
      <c r="T12" s="1285" t="s">
        <v>1018</v>
      </c>
      <c r="U12" s="1495" t="s">
        <v>1018</v>
      </c>
      <c r="Z12" s="2199" t="s">
        <v>4223</v>
      </c>
    </row>
    <row r="13" spans="1:26" ht="35.1" customHeight="1">
      <c r="A13" s="2201"/>
      <c r="D13" s="2185"/>
      <c r="E13" s="1285"/>
      <c r="G13" s="2186" t="s">
        <v>60</v>
      </c>
      <c r="H13" s="2187" t="s">
        <v>4226</v>
      </c>
      <c r="I13" s="2187" t="s">
        <v>4226</v>
      </c>
      <c r="J13" s="2196" t="s">
        <v>5225</v>
      </c>
      <c r="K13" s="2197">
        <v>43781</v>
      </c>
      <c r="L13" s="2190" t="s">
        <v>5226</v>
      </c>
      <c r="M13" s="2250">
        <v>43796</v>
      </c>
      <c r="N13" s="1285">
        <v>1218</v>
      </c>
      <c r="O13" s="1971" t="s">
        <v>4833</v>
      </c>
      <c r="Q13" s="2195" t="s">
        <v>4447</v>
      </c>
      <c r="R13" s="2203" t="s">
        <v>4663</v>
      </c>
      <c r="S13" s="2203" t="s">
        <v>4663</v>
      </c>
      <c r="T13" s="1285" t="s">
        <v>1018</v>
      </c>
      <c r="U13" s="1495" t="s">
        <v>1018</v>
      </c>
      <c r="Z13" s="2199" t="s">
        <v>4221</v>
      </c>
    </row>
    <row r="14" spans="1:26" ht="35.1" customHeight="1">
      <c r="A14" s="2201"/>
      <c r="D14" s="2185"/>
      <c r="E14" s="1285"/>
      <c r="G14" s="2186" t="s">
        <v>1828</v>
      </c>
      <c r="H14" s="2187" t="s">
        <v>4226</v>
      </c>
      <c r="I14" s="2187" t="s">
        <v>4226</v>
      </c>
      <c r="J14" s="2196" t="s">
        <v>5227</v>
      </c>
      <c r="K14" s="2197">
        <v>43781</v>
      </c>
      <c r="L14" s="2190" t="s">
        <v>5217</v>
      </c>
      <c r="M14" s="2250">
        <v>43796</v>
      </c>
      <c r="N14" s="1285">
        <v>1216</v>
      </c>
      <c r="O14" s="1971" t="s">
        <v>4833</v>
      </c>
      <c r="Q14" s="2195" t="s">
        <v>869</v>
      </c>
      <c r="R14" s="2203" t="s">
        <v>4663</v>
      </c>
      <c r="S14" s="2203" t="s">
        <v>4663</v>
      </c>
      <c r="T14" s="1285" t="s">
        <v>1018</v>
      </c>
      <c r="U14" s="1495" t="s">
        <v>1018</v>
      </c>
      <c r="Z14" s="2199" t="s">
        <v>4661</v>
      </c>
    </row>
    <row r="15" spans="1:26" ht="35.1" customHeight="1">
      <c r="A15" s="1451"/>
      <c r="D15" s="2185"/>
      <c r="E15" s="1285"/>
      <c r="G15" s="2186" t="s">
        <v>699</v>
      </c>
      <c r="H15" s="2187" t="s">
        <v>4226</v>
      </c>
      <c r="I15" s="2187" t="s">
        <v>4226</v>
      </c>
      <c r="J15" s="2196" t="s">
        <v>5229</v>
      </c>
      <c r="K15" s="2197">
        <v>43781</v>
      </c>
      <c r="L15" s="2190" t="s">
        <v>5218</v>
      </c>
      <c r="M15" s="2250">
        <v>43796</v>
      </c>
      <c r="N15" s="1285">
        <v>1214</v>
      </c>
      <c r="O15" s="1971" t="str">
        <f>VLOOKUP(G15,Q:X,8,0)</f>
        <v>/BB-MVC</v>
      </c>
      <c r="Q15" s="2195" t="s">
        <v>955</v>
      </c>
      <c r="R15" s="2198" t="s">
        <v>4221</v>
      </c>
      <c r="S15" s="2198" t="s">
        <v>4222</v>
      </c>
      <c r="T15" s="1285" t="s">
        <v>1018</v>
      </c>
      <c r="U15" s="1495">
        <v>43525</v>
      </c>
      <c r="X15" s="1285" t="s">
        <v>4835</v>
      </c>
      <c r="Z15" s="2199" t="s">
        <v>4224</v>
      </c>
    </row>
    <row r="16" spans="1:26" ht="35.1" customHeight="1">
      <c r="A16" s="1451"/>
      <c r="D16" s="2185"/>
      <c r="E16" s="1285"/>
      <c r="G16" s="2186" t="s">
        <v>5174</v>
      </c>
      <c r="H16" s="2187" t="s">
        <v>4226</v>
      </c>
      <c r="I16" s="2187" t="s">
        <v>4226</v>
      </c>
      <c r="J16" s="2196" t="s">
        <v>5234</v>
      </c>
      <c r="K16" s="2197">
        <v>43781</v>
      </c>
      <c r="L16" s="2190" t="s">
        <v>5219</v>
      </c>
      <c r="M16" s="2191">
        <v>43796</v>
      </c>
      <c r="N16" s="1285">
        <v>1222</v>
      </c>
      <c r="O16" s="1971" t="s">
        <v>4833</v>
      </c>
      <c r="Q16" s="2195" t="s">
        <v>698</v>
      </c>
      <c r="R16" s="2198" t="s">
        <v>4224</v>
      </c>
      <c r="S16" s="2198" t="s">
        <v>4224</v>
      </c>
      <c r="T16" s="1285" t="s">
        <v>4768</v>
      </c>
      <c r="U16" s="1495">
        <v>43525</v>
      </c>
      <c r="X16" s="1285" t="s">
        <v>4836</v>
      </c>
      <c r="Z16" s="2199" t="s">
        <v>4220</v>
      </c>
    </row>
    <row r="17" spans="1:26" ht="35.1" customHeight="1">
      <c r="A17" s="2201"/>
      <c r="D17" s="2185"/>
      <c r="E17" s="2204"/>
      <c r="G17" s="2186" t="s">
        <v>360</v>
      </c>
      <c r="H17" s="2187" t="s">
        <v>4226</v>
      </c>
      <c r="I17" s="2187" t="s">
        <v>4226</v>
      </c>
      <c r="J17" s="2196" t="s">
        <v>5228</v>
      </c>
      <c r="K17" s="2197">
        <v>43781</v>
      </c>
      <c r="L17" s="2190" t="s">
        <v>5220</v>
      </c>
      <c r="M17" s="2191">
        <v>43796</v>
      </c>
      <c r="N17" s="1285">
        <v>1215</v>
      </c>
      <c r="O17" s="1971" t="str">
        <f>VLOOKUP(G17,Q:X,8,0)</f>
        <v>/BB-MVC</v>
      </c>
      <c r="Q17" s="2195" t="s">
        <v>1224</v>
      </c>
      <c r="R17" s="2198" t="s">
        <v>4226</v>
      </c>
      <c r="S17" s="2198" t="s">
        <v>4226</v>
      </c>
      <c r="T17" s="2200" t="s">
        <v>4774</v>
      </c>
      <c r="U17" s="1495">
        <v>43626</v>
      </c>
      <c r="X17" s="1285" t="s">
        <v>4833</v>
      </c>
      <c r="Z17" s="2199" t="s">
        <v>4570</v>
      </c>
    </row>
    <row r="18" spans="1:26" ht="35.1" customHeight="1">
      <c r="A18" s="2201"/>
      <c r="D18" s="2185"/>
      <c r="G18" s="2186" t="s">
        <v>1153</v>
      </c>
      <c r="H18" s="2187" t="s">
        <v>4226</v>
      </c>
      <c r="I18" s="2187" t="s">
        <v>4226</v>
      </c>
      <c r="J18" s="2196" t="s">
        <v>5230</v>
      </c>
      <c r="K18" s="2197">
        <v>43781</v>
      </c>
      <c r="L18" s="2190" t="s">
        <v>5221</v>
      </c>
      <c r="M18" s="2191">
        <v>43796</v>
      </c>
      <c r="N18" s="1285">
        <v>1220</v>
      </c>
      <c r="O18" s="1971" t="s">
        <v>4833</v>
      </c>
      <c r="Q18" s="2195" t="s">
        <v>1565</v>
      </c>
      <c r="R18" s="1280" t="s">
        <v>4221</v>
      </c>
      <c r="S18" s="1280" t="s">
        <v>4222</v>
      </c>
      <c r="T18" s="1285" t="s">
        <v>1018</v>
      </c>
      <c r="X18" s="1285" t="s">
        <v>4835</v>
      </c>
      <c r="Z18" s="2199" t="s">
        <v>4819</v>
      </c>
    </row>
    <row r="19" spans="1:26" ht="35.1" customHeight="1">
      <c r="A19" s="2201"/>
      <c r="D19" s="2185"/>
      <c r="E19" s="1285"/>
      <c r="G19" s="2186" t="s">
        <v>1035</v>
      </c>
      <c r="H19" s="2187" t="s">
        <v>4226</v>
      </c>
      <c r="I19" s="2187" t="s">
        <v>4226</v>
      </c>
      <c r="J19" s="2196" t="s">
        <v>5232</v>
      </c>
      <c r="K19" s="2197">
        <v>43781</v>
      </c>
      <c r="L19" s="2190" t="s">
        <v>4425</v>
      </c>
      <c r="M19" s="2191"/>
      <c r="O19" s="1971">
        <f t="shared" ref="O19:O50" si="9">VLOOKUP(G19,Q:X,8,0)</f>
        <v>0</v>
      </c>
      <c r="Q19" s="2195" t="s">
        <v>1411</v>
      </c>
      <c r="R19" s="2198" t="s">
        <v>4226</v>
      </c>
      <c r="S19" s="2198" t="s">
        <v>4226</v>
      </c>
      <c r="T19" s="1285" t="s">
        <v>4837</v>
      </c>
      <c r="U19" s="1495">
        <v>43356</v>
      </c>
      <c r="X19" s="1285" t="s">
        <v>4833</v>
      </c>
      <c r="Z19" s="2199" t="s">
        <v>4218</v>
      </c>
    </row>
    <row r="20" spans="1:26" s="1285" customFormat="1" ht="35.1" customHeight="1">
      <c r="D20" s="2185"/>
      <c r="E20" s="2195"/>
      <c r="G20" s="2186">
        <f>'NT-VT'!A24</f>
        <v>19</v>
      </c>
      <c r="H20" s="2187" t="s">
        <v>4226</v>
      </c>
      <c r="I20" s="2187" t="s">
        <v>4226</v>
      </c>
      <c r="J20" s="2196" t="s">
        <v>5233</v>
      </c>
      <c r="K20" s="2197">
        <v>43781</v>
      </c>
      <c r="L20" s="2087"/>
      <c r="M20" s="1451"/>
      <c r="O20" s="1971" t="e">
        <f t="shared" si="9"/>
        <v>#N/A</v>
      </c>
      <c r="P20" s="1971"/>
      <c r="Q20" s="2195" t="s">
        <v>1511</v>
      </c>
      <c r="R20" s="2198" t="s">
        <v>4225</v>
      </c>
      <c r="S20" s="2198" t="s">
        <v>4219</v>
      </c>
      <c r="T20" s="1285" t="s">
        <v>1018</v>
      </c>
      <c r="U20" s="1495" t="s">
        <v>1018</v>
      </c>
      <c r="X20" s="1285" t="s">
        <v>4836</v>
      </c>
    </row>
    <row r="21" spans="1:26" s="1285" customFormat="1" ht="35.1" customHeight="1">
      <c r="D21" s="2185"/>
      <c r="E21" s="2195"/>
      <c r="G21" s="2186">
        <f>'NT-VT'!A25</f>
        <v>20</v>
      </c>
      <c r="H21" s="2187" t="str">
        <f t="shared" ref="H21:H52" si="10">IFERROR(VLOOKUP(G21,$Q:$U,2,0),"nt")</f>
        <v>nt</v>
      </c>
      <c r="I21" s="2187" t="str">
        <f t="shared" ref="I21:I52" si="11">IFERROR(VLOOKUP(G21,$Q:$U,3,0),"nt")</f>
        <v>nt</v>
      </c>
      <c r="J21" s="2196" t="str">
        <f t="shared" ref="J21:J52" si="12">IFERROR(VLOOKUP(G21,$Q:$U,4,0),"nt")</f>
        <v>nt</v>
      </c>
      <c r="K21" s="2197" t="str">
        <f t="shared" ref="K21:K52" si="13">IFERROR(VLOOKUP(G21,$Q:$U,5,0),"nt")</f>
        <v>nt</v>
      </c>
      <c r="L21" s="2087"/>
      <c r="M21" s="1451"/>
      <c r="O21" s="1971" t="e">
        <f t="shared" si="9"/>
        <v>#N/A</v>
      </c>
      <c r="P21" s="1971"/>
      <c r="Q21" s="2195" t="s">
        <v>4805</v>
      </c>
      <c r="R21" s="2198" t="s">
        <v>4226</v>
      </c>
      <c r="S21" s="2198" t="s">
        <v>4226</v>
      </c>
      <c r="T21" s="1285" t="s">
        <v>1018</v>
      </c>
      <c r="U21" s="1495" t="s">
        <v>1018</v>
      </c>
      <c r="X21" s="1285" t="s">
        <v>4833</v>
      </c>
    </row>
    <row r="22" spans="1:26" s="1285" customFormat="1" ht="35.1" customHeight="1">
      <c r="E22" s="2195"/>
      <c r="G22" s="2186">
        <f>'NT-VT'!A26</f>
        <v>21</v>
      </c>
      <c r="H22" s="2187" t="str">
        <f t="shared" si="10"/>
        <v>nt</v>
      </c>
      <c r="I22" s="2187" t="str">
        <f t="shared" si="11"/>
        <v>nt</v>
      </c>
      <c r="J22" s="2196" t="str">
        <f t="shared" si="12"/>
        <v>nt</v>
      </c>
      <c r="K22" s="2197" t="str">
        <f t="shared" si="13"/>
        <v>nt</v>
      </c>
      <c r="L22" s="2087"/>
      <c r="M22" s="1451"/>
      <c r="O22" s="1971" t="e">
        <f t="shared" si="9"/>
        <v>#N/A</v>
      </c>
      <c r="P22" s="1971"/>
      <c r="Q22" s="2195" t="s">
        <v>4823</v>
      </c>
      <c r="R22" s="2198" t="s">
        <v>4226</v>
      </c>
      <c r="S22" s="2198" t="s">
        <v>4226</v>
      </c>
      <c r="T22" s="1285" t="s">
        <v>1018</v>
      </c>
      <c r="U22" s="1495" t="s">
        <v>4824</v>
      </c>
      <c r="X22" s="1285" t="s">
        <v>4833</v>
      </c>
    </row>
    <row r="23" spans="1:26" s="1285" customFormat="1" ht="35.1" customHeight="1">
      <c r="E23" s="2195"/>
      <c r="G23" s="2186">
        <f>'NT-VT'!A27</f>
        <v>22</v>
      </c>
      <c r="H23" s="2187" t="str">
        <f t="shared" si="10"/>
        <v>nt</v>
      </c>
      <c r="I23" s="2187" t="str">
        <f t="shared" si="11"/>
        <v>nt</v>
      </c>
      <c r="J23" s="2196" t="str">
        <f t="shared" si="12"/>
        <v>nt</v>
      </c>
      <c r="K23" s="2197" t="str">
        <f t="shared" si="13"/>
        <v>nt</v>
      </c>
      <c r="L23" s="2087"/>
      <c r="M23" s="1451"/>
      <c r="O23" s="1971" t="e">
        <f t="shared" si="9"/>
        <v>#N/A</v>
      </c>
      <c r="P23" s="1971"/>
      <c r="Q23" s="2195" t="s">
        <v>4838</v>
      </c>
      <c r="R23" s="2198" t="s">
        <v>4226</v>
      </c>
      <c r="S23" s="2198" t="s">
        <v>4226</v>
      </c>
      <c r="T23" s="1285" t="s">
        <v>4839</v>
      </c>
      <c r="U23" s="1495">
        <v>43721</v>
      </c>
      <c r="X23" s="1285" t="s">
        <v>4833</v>
      </c>
    </row>
    <row r="24" spans="1:26" s="1285" customFormat="1" ht="35.1" customHeight="1">
      <c r="E24" s="2195"/>
      <c r="G24" s="2186">
        <f>'NT-VT'!A28</f>
        <v>23</v>
      </c>
      <c r="H24" s="2187" t="str">
        <f t="shared" si="10"/>
        <v>nt</v>
      </c>
      <c r="I24" s="2187" t="str">
        <f t="shared" si="11"/>
        <v>nt</v>
      </c>
      <c r="J24" s="2196" t="str">
        <f t="shared" si="12"/>
        <v>nt</v>
      </c>
      <c r="K24" s="2197" t="str">
        <f t="shared" si="13"/>
        <v>nt</v>
      </c>
      <c r="L24" s="2087"/>
      <c r="M24" s="1451"/>
      <c r="O24" s="1971" t="e">
        <f t="shared" si="9"/>
        <v>#N/A</v>
      </c>
      <c r="P24" s="1971"/>
      <c r="Q24" s="2195" t="s">
        <v>4552</v>
      </c>
      <c r="R24" s="2198" t="s">
        <v>4226</v>
      </c>
      <c r="S24" s="2198" t="s">
        <v>4226</v>
      </c>
      <c r="T24" s="1285" t="s">
        <v>4840</v>
      </c>
      <c r="U24" s="1495">
        <v>43805</v>
      </c>
      <c r="X24" s="1285" t="s">
        <v>4833</v>
      </c>
    </row>
    <row r="25" spans="1:26" s="1285" customFormat="1" ht="35.1" customHeight="1">
      <c r="E25" s="2195"/>
      <c r="G25" s="2186">
        <f>'NT-VT'!A29</f>
        <v>24</v>
      </c>
      <c r="H25" s="2187" t="str">
        <f t="shared" si="10"/>
        <v>nt</v>
      </c>
      <c r="I25" s="2187" t="str">
        <f t="shared" si="11"/>
        <v>nt</v>
      </c>
      <c r="J25" s="2196" t="str">
        <f t="shared" si="12"/>
        <v>nt</v>
      </c>
      <c r="K25" s="2197" t="str">
        <f t="shared" si="13"/>
        <v>nt</v>
      </c>
      <c r="L25" s="2087"/>
      <c r="M25" s="1451"/>
      <c r="O25" s="1971" t="e">
        <f t="shared" si="9"/>
        <v>#N/A</v>
      </c>
      <c r="P25" s="1971"/>
      <c r="Q25" s="2195" t="s">
        <v>4841</v>
      </c>
      <c r="R25" s="2198" t="s">
        <v>4226</v>
      </c>
      <c r="S25" s="2198" t="s">
        <v>4226</v>
      </c>
      <c r="T25" s="1285" t="s">
        <v>4842</v>
      </c>
      <c r="U25" s="1495">
        <v>43668</v>
      </c>
      <c r="X25" s="1285" t="s">
        <v>4833</v>
      </c>
    </row>
    <row r="26" spans="1:26" s="1285" customFormat="1" ht="35.1" customHeight="1">
      <c r="E26" s="2195"/>
      <c r="G26" s="2186">
        <f>'NT-VT'!A30</f>
        <v>25</v>
      </c>
      <c r="H26" s="2187" t="str">
        <f t="shared" si="10"/>
        <v>nt</v>
      </c>
      <c r="I26" s="2187" t="str">
        <f t="shared" si="11"/>
        <v>nt</v>
      </c>
      <c r="J26" s="2196" t="str">
        <f t="shared" si="12"/>
        <v>nt</v>
      </c>
      <c r="K26" s="2197" t="str">
        <f t="shared" si="13"/>
        <v>nt</v>
      </c>
      <c r="L26" s="2087"/>
      <c r="M26" s="1451"/>
      <c r="O26" s="1971" t="e">
        <f t="shared" si="9"/>
        <v>#N/A</v>
      </c>
      <c r="P26" s="1971"/>
      <c r="Q26" s="2195" t="s">
        <v>32</v>
      </c>
      <c r="R26" s="2198" t="s">
        <v>4226</v>
      </c>
      <c r="S26" s="2198" t="s">
        <v>4226</v>
      </c>
      <c r="T26" s="1285" t="s">
        <v>4843</v>
      </c>
      <c r="U26" s="1495">
        <v>43356</v>
      </c>
      <c r="X26" s="1285" t="s">
        <v>4833</v>
      </c>
    </row>
    <row r="27" spans="1:26" s="1285" customFormat="1" ht="35.1" customHeight="1">
      <c r="E27" s="2195"/>
      <c r="G27" s="2186">
        <f>'NT-VT'!A31</f>
        <v>26</v>
      </c>
      <c r="H27" s="2187" t="str">
        <f t="shared" si="10"/>
        <v>nt</v>
      </c>
      <c r="I27" s="2187" t="str">
        <f t="shared" si="11"/>
        <v>nt</v>
      </c>
      <c r="J27" s="2196" t="str">
        <f t="shared" si="12"/>
        <v>nt</v>
      </c>
      <c r="K27" s="2197" t="str">
        <f t="shared" si="13"/>
        <v>nt</v>
      </c>
      <c r="L27" s="2087"/>
      <c r="M27" s="1451"/>
      <c r="O27" s="1971" t="e">
        <f t="shared" si="9"/>
        <v>#N/A</v>
      </c>
      <c r="P27" s="1971"/>
      <c r="Q27" s="2195" t="s">
        <v>107</v>
      </c>
      <c r="R27" s="1280" t="s">
        <v>4507</v>
      </c>
      <c r="S27" s="1280" t="s">
        <v>4507</v>
      </c>
      <c r="T27" s="1285" t="s">
        <v>4832</v>
      </c>
      <c r="U27" s="1495">
        <v>43525</v>
      </c>
    </row>
    <row r="28" spans="1:26" s="1285" customFormat="1" ht="35.1" customHeight="1">
      <c r="E28" s="2195"/>
      <c r="G28" s="2186">
        <f>'NT-VT'!A32</f>
        <v>27</v>
      </c>
      <c r="H28" s="2187" t="str">
        <f t="shared" si="10"/>
        <v>nt</v>
      </c>
      <c r="I28" s="2187" t="str">
        <f t="shared" si="11"/>
        <v>nt</v>
      </c>
      <c r="J28" s="2196" t="str">
        <f t="shared" si="12"/>
        <v>nt</v>
      </c>
      <c r="K28" s="2197" t="str">
        <f t="shared" si="13"/>
        <v>nt</v>
      </c>
      <c r="L28" s="2087"/>
      <c r="M28" s="1451"/>
      <c r="O28" s="1971" t="e">
        <f t="shared" si="9"/>
        <v>#N/A</v>
      </c>
      <c r="P28" s="1971"/>
      <c r="Q28" s="2195" t="s">
        <v>1657</v>
      </c>
      <c r="R28" s="2187" t="s">
        <v>4218</v>
      </c>
      <c r="S28" s="1280" t="s">
        <v>4219</v>
      </c>
      <c r="T28" s="1285" t="s">
        <v>1018</v>
      </c>
      <c r="U28" s="1495" t="s">
        <v>1018</v>
      </c>
      <c r="X28" s="1285" t="s">
        <v>4844</v>
      </c>
    </row>
    <row r="29" spans="1:26" s="1285" customFormat="1" ht="35.1" customHeight="1">
      <c r="E29" s="2195"/>
      <c r="G29" s="2186">
        <f>'NT-VT'!A33</f>
        <v>28</v>
      </c>
      <c r="H29" s="2187" t="str">
        <f t="shared" si="10"/>
        <v>nt</v>
      </c>
      <c r="I29" s="2187" t="str">
        <f t="shared" si="11"/>
        <v>nt</v>
      </c>
      <c r="J29" s="2196" t="str">
        <f t="shared" si="12"/>
        <v>nt</v>
      </c>
      <c r="K29" s="2197" t="str">
        <f t="shared" si="13"/>
        <v>nt</v>
      </c>
      <c r="L29" s="2087"/>
      <c r="M29" s="1451"/>
      <c r="O29" s="1971" t="e">
        <f t="shared" si="9"/>
        <v>#N/A</v>
      </c>
      <c r="P29" s="1971"/>
      <c r="Q29" s="2195" t="s">
        <v>1378</v>
      </c>
      <c r="R29" s="2187" t="s">
        <v>4661</v>
      </c>
      <c r="S29" s="1280" t="s">
        <v>4219</v>
      </c>
      <c r="T29" s="1285" t="s">
        <v>1018</v>
      </c>
      <c r="U29" s="1495" t="s">
        <v>1018</v>
      </c>
      <c r="X29" s="1285" t="s">
        <v>4845</v>
      </c>
    </row>
    <row r="30" spans="1:26" s="1285" customFormat="1" ht="35.1" customHeight="1">
      <c r="E30" s="2195"/>
      <c r="G30" s="2186">
        <f>'NT-VT'!A34</f>
        <v>29</v>
      </c>
      <c r="H30" s="2187" t="str">
        <f t="shared" si="10"/>
        <v>nt</v>
      </c>
      <c r="I30" s="2187" t="str">
        <f t="shared" si="11"/>
        <v>nt</v>
      </c>
      <c r="J30" s="2196" t="str">
        <f t="shared" si="12"/>
        <v>nt</v>
      </c>
      <c r="K30" s="2197" t="str">
        <f t="shared" si="13"/>
        <v>nt</v>
      </c>
      <c r="L30" s="2087"/>
      <c r="M30" s="1451"/>
      <c r="O30" s="1971" t="e">
        <f t="shared" si="9"/>
        <v>#N/A</v>
      </c>
      <c r="P30" s="1971"/>
      <c r="Q30" s="2195" t="s">
        <v>1424</v>
      </c>
      <c r="R30" s="2198" t="s">
        <v>4221</v>
      </c>
      <c r="S30" s="2198" t="s">
        <v>4222</v>
      </c>
      <c r="T30" s="1285" t="s">
        <v>1018</v>
      </c>
      <c r="U30" s="1495">
        <v>43525</v>
      </c>
      <c r="X30" s="1285" t="s">
        <v>4835</v>
      </c>
    </row>
    <row r="31" spans="1:26" s="1285" customFormat="1" ht="35.1" customHeight="1">
      <c r="E31" s="2195"/>
      <c r="G31" s="2186">
        <f>'NT-VT'!A35</f>
        <v>30</v>
      </c>
      <c r="H31" s="2187" t="str">
        <f t="shared" si="10"/>
        <v>nt</v>
      </c>
      <c r="I31" s="2187" t="str">
        <f t="shared" si="11"/>
        <v>nt</v>
      </c>
      <c r="J31" s="2196" t="str">
        <f t="shared" si="12"/>
        <v>nt</v>
      </c>
      <c r="K31" s="2197" t="str">
        <f t="shared" si="13"/>
        <v>nt</v>
      </c>
      <c r="L31" s="2087"/>
      <c r="M31" s="1451"/>
      <c r="O31" s="1971" t="e">
        <f t="shared" si="9"/>
        <v>#N/A</v>
      </c>
      <c r="P31" s="1971"/>
      <c r="Q31" s="2195" t="s">
        <v>237</v>
      </c>
      <c r="R31" s="2198" t="s">
        <v>4226</v>
      </c>
      <c r="S31" s="2198" t="s">
        <v>4226</v>
      </c>
      <c r="T31" s="1285" t="s">
        <v>4847</v>
      </c>
      <c r="U31" s="1495">
        <v>43805</v>
      </c>
      <c r="X31" s="1285" t="s">
        <v>4833</v>
      </c>
    </row>
    <row r="32" spans="1:26" s="1285" customFormat="1" ht="35.1" customHeight="1">
      <c r="E32" s="2195"/>
      <c r="G32" s="2186">
        <f>'NT-VT'!A36</f>
        <v>31</v>
      </c>
      <c r="H32" s="2187" t="str">
        <f t="shared" si="10"/>
        <v>nt</v>
      </c>
      <c r="I32" s="2187" t="str">
        <f t="shared" si="11"/>
        <v>nt</v>
      </c>
      <c r="J32" s="2196" t="str">
        <f t="shared" si="12"/>
        <v>nt</v>
      </c>
      <c r="K32" s="2197" t="str">
        <f t="shared" si="13"/>
        <v>nt</v>
      </c>
      <c r="L32" s="2087"/>
      <c r="M32" s="1451"/>
      <c r="O32" s="1971" t="e">
        <f t="shared" si="9"/>
        <v>#N/A</v>
      </c>
      <c r="P32" s="1971"/>
      <c r="Q32" s="2195" t="s">
        <v>1464</v>
      </c>
      <c r="R32" s="2198" t="s">
        <v>4221</v>
      </c>
      <c r="S32" s="2198" t="s">
        <v>4222</v>
      </c>
      <c r="T32" s="1285" t="s">
        <v>1018</v>
      </c>
      <c r="U32" s="1495">
        <v>43525</v>
      </c>
      <c r="X32" s="1285" t="s">
        <v>4835</v>
      </c>
    </row>
    <row r="33" spans="5:21" s="1285" customFormat="1" ht="35.1" customHeight="1">
      <c r="E33" s="2195"/>
      <c r="G33" s="2186">
        <f>'NT-VT'!A37</f>
        <v>32</v>
      </c>
      <c r="H33" s="2187" t="str">
        <f t="shared" si="10"/>
        <v>nt</v>
      </c>
      <c r="I33" s="2187" t="str">
        <f t="shared" si="11"/>
        <v>nt</v>
      </c>
      <c r="J33" s="2196" t="str">
        <f t="shared" si="12"/>
        <v>nt</v>
      </c>
      <c r="K33" s="2197" t="str">
        <f t="shared" si="13"/>
        <v>nt</v>
      </c>
      <c r="L33" s="2087"/>
      <c r="M33" s="1451"/>
      <c r="O33" s="1971" t="e">
        <f t="shared" si="9"/>
        <v>#N/A</v>
      </c>
      <c r="P33" s="1971"/>
      <c r="Q33" s="2195"/>
      <c r="R33" s="1280"/>
      <c r="S33" s="1280"/>
      <c r="U33" s="1495"/>
    </row>
    <row r="34" spans="5:21" s="1285" customFormat="1" ht="35.1" customHeight="1">
      <c r="E34" s="2195"/>
      <c r="G34" s="2186">
        <f>'NT-VT'!A38</f>
        <v>33</v>
      </c>
      <c r="H34" s="2187" t="str">
        <f t="shared" si="10"/>
        <v>nt</v>
      </c>
      <c r="I34" s="2187" t="str">
        <f t="shared" si="11"/>
        <v>nt</v>
      </c>
      <c r="J34" s="2196" t="str">
        <f t="shared" si="12"/>
        <v>nt</v>
      </c>
      <c r="K34" s="2197" t="str">
        <f t="shared" si="13"/>
        <v>nt</v>
      </c>
      <c r="L34" s="2087"/>
      <c r="M34" s="1451"/>
      <c r="O34" s="1971" t="e">
        <f t="shared" si="9"/>
        <v>#N/A</v>
      </c>
      <c r="P34" s="1971"/>
      <c r="Q34" s="2195"/>
      <c r="R34" s="1280"/>
      <c r="S34" s="1280"/>
      <c r="U34" s="1495"/>
    </row>
    <row r="35" spans="5:21" s="1285" customFormat="1" ht="35.1" customHeight="1">
      <c r="E35" s="2195"/>
      <c r="G35" s="2186">
        <f>'NT-VT'!A39</f>
        <v>34</v>
      </c>
      <c r="H35" s="2187" t="str">
        <f t="shared" si="10"/>
        <v>nt</v>
      </c>
      <c r="I35" s="2187" t="str">
        <f t="shared" si="11"/>
        <v>nt</v>
      </c>
      <c r="J35" s="2196" t="str">
        <f t="shared" si="12"/>
        <v>nt</v>
      </c>
      <c r="K35" s="2197" t="str">
        <f t="shared" si="13"/>
        <v>nt</v>
      </c>
      <c r="L35" s="2087"/>
      <c r="M35" s="1451"/>
      <c r="O35" s="1971" t="e">
        <f t="shared" si="9"/>
        <v>#N/A</v>
      </c>
      <c r="P35" s="1971"/>
      <c r="Q35" s="2195"/>
      <c r="R35" s="1280"/>
      <c r="S35" s="1280"/>
      <c r="U35" s="1495"/>
    </row>
    <row r="36" spans="5:21" s="1285" customFormat="1" ht="35.1" customHeight="1">
      <c r="E36" s="2195"/>
      <c r="G36" s="2186">
        <f>'NT-VT'!A40</f>
        <v>35</v>
      </c>
      <c r="H36" s="2187" t="str">
        <f t="shared" si="10"/>
        <v>nt</v>
      </c>
      <c r="I36" s="2187" t="str">
        <f t="shared" si="11"/>
        <v>nt</v>
      </c>
      <c r="J36" s="2196" t="str">
        <f t="shared" si="12"/>
        <v>nt</v>
      </c>
      <c r="K36" s="2197" t="str">
        <f t="shared" si="13"/>
        <v>nt</v>
      </c>
      <c r="L36" s="2087"/>
      <c r="M36" s="1451"/>
      <c r="O36" s="1971" t="e">
        <f t="shared" si="9"/>
        <v>#N/A</v>
      </c>
      <c r="P36" s="1971"/>
      <c r="Q36" s="2195"/>
      <c r="R36" s="1280"/>
      <c r="S36" s="1280"/>
      <c r="U36" s="1495"/>
    </row>
    <row r="37" spans="5:21" s="1285" customFormat="1" ht="35.1" customHeight="1">
      <c r="E37" s="2195"/>
      <c r="G37" s="2186">
        <f>'NT-VT'!A41</f>
        <v>36</v>
      </c>
      <c r="H37" s="2187" t="str">
        <f t="shared" si="10"/>
        <v>nt</v>
      </c>
      <c r="I37" s="2187" t="str">
        <f t="shared" si="11"/>
        <v>nt</v>
      </c>
      <c r="J37" s="2196" t="str">
        <f t="shared" si="12"/>
        <v>nt</v>
      </c>
      <c r="K37" s="2197" t="str">
        <f t="shared" si="13"/>
        <v>nt</v>
      </c>
      <c r="L37" s="2087"/>
      <c r="M37" s="1451"/>
      <c r="O37" s="1971" t="e">
        <f t="shared" si="9"/>
        <v>#N/A</v>
      </c>
      <c r="P37" s="1971"/>
      <c r="Q37" s="2195"/>
      <c r="R37" s="1280"/>
      <c r="S37" s="1280"/>
      <c r="U37" s="1495"/>
    </row>
    <row r="38" spans="5:21" s="1285" customFormat="1" ht="35.1" customHeight="1">
      <c r="E38" s="2195"/>
      <c r="G38" s="2186">
        <f>'NT-VT'!A42</f>
        <v>37</v>
      </c>
      <c r="H38" s="2187" t="str">
        <f t="shared" si="10"/>
        <v>nt</v>
      </c>
      <c r="I38" s="2187" t="str">
        <f t="shared" si="11"/>
        <v>nt</v>
      </c>
      <c r="J38" s="2196" t="str">
        <f t="shared" si="12"/>
        <v>nt</v>
      </c>
      <c r="K38" s="2197" t="str">
        <f t="shared" si="13"/>
        <v>nt</v>
      </c>
      <c r="L38" s="2087"/>
      <c r="M38" s="1451"/>
      <c r="O38" s="1971" t="e">
        <f t="shared" si="9"/>
        <v>#N/A</v>
      </c>
      <c r="P38" s="1971"/>
      <c r="Q38" s="2195"/>
      <c r="R38" s="1280"/>
      <c r="S38" s="1280"/>
      <c r="U38" s="1495"/>
    </row>
    <row r="39" spans="5:21" s="1285" customFormat="1" ht="35.1" customHeight="1">
      <c r="E39" s="2195"/>
      <c r="G39" s="2186">
        <f>'NT-VT'!A43</f>
        <v>38</v>
      </c>
      <c r="H39" s="2187" t="str">
        <f t="shared" si="10"/>
        <v>nt</v>
      </c>
      <c r="I39" s="2187" t="str">
        <f t="shared" si="11"/>
        <v>nt</v>
      </c>
      <c r="J39" s="2196" t="str">
        <f t="shared" si="12"/>
        <v>nt</v>
      </c>
      <c r="K39" s="2197" t="str">
        <f t="shared" si="13"/>
        <v>nt</v>
      </c>
      <c r="L39" s="2087"/>
      <c r="M39" s="1451"/>
      <c r="O39" s="1971" t="e">
        <f t="shared" si="9"/>
        <v>#N/A</v>
      </c>
      <c r="P39" s="1971"/>
      <c r="Q39" s="2195"/>
      <c r="R39" s="1280"/>
      <c r="S39" s="1280"/>
      <c r="U39" s="1495"/>
    </row>
    <row r="40" spans="5:21" s="1285" customFormat="1" ht="35.1" customHeight="1">
      <c r="E40" s="2195"/>
      <c r="G40" s="2186">
        <f>'NT-VT'!A44</f>
        <v>39</v>
      </c>
      <c r="H40" s="2187" t="str">
        <f t="shared" si="10"/>
        <v>nt</v>
      </c>
      <c r="I40" s="2187" t="str">
        <f t="shared" si="11"/>
        <v>nt</v>
      </c>
      <c r="J40" s="2196" t="str">
        <f t="shared" si="12"/>
        <v>nt</v>
      </c>
      <c r="K40" s="2197" t="str">
        <f t="shared" si="13"/>
        <v>nt</v>
      </c>
      <c r="L40" s="2087"/>
      <c r="M40" s="1451"/>
      <c r="O40" s="1971" t="e">
        <f t="shared" si="9"/>
        <v>#N/A</v>
      </c>
      <c r="P40" s="1971"/>
      <c r="Q40" s="2195"/>
      <c r="R40" s="1280"/>
      <c r="S40" s="1280"/>
      <c r="U40" s="1495"/>
    </row>
    <row r="41" spans="5:21" s="1285" customFormat="1" ht="35.1" customHeight="1">
      <c r="E41" s="2195"/>
      <c r="G41" s="2186">
        <f>'NT-VT'!A45</f>
        <v>40</v>
      </c>
      <c r="H41" s="2187" t="str">
        <f t="shared" si="10"/>
        <v>nt</v>
      </c>
      <c r="I41" s="2187" t="str">
        <f t="shared" si="11"/>
        <v>nt</v>
      </c>
      <c r="J41" s="2196" t="str">
        <f t="shared" si="12"/>
        <v>nt</v>
      </c>
      <c r="K41" s="2197" t="str">
        <f t="shared" si="13"/>
        <v>nt</v>
      </c>
      <c r="L41" s="2087"/>
      <c r="M41" s="1451"/>
      <c r="O41" s="1971" t="e">
        <f t="shared" si="9"/>
        <v>#N/A</v>
      </c>
      <c r="P41" s="1971"/>
      <c r="Q41" s="2195"/>
      <c r="R41" s="1280"/>
      <c r="S41" s="1280"/>
      <c r="U41" s="1495"/>
    </row>
    <row r="42" spans="5:21" s="1285" customFormat="1" ht="35.1" customHeight="1">
      <c r="E42" s="2195"/>
      <c r="G42" s="2186">
        <f>'NT-VT'!A46</f>
        <v>41</v>
      </c>
      <c r="H42" s="2187" t="str">
        <f t="shared" si="10"/>
        <v>nt</v>
      </c>
      <c r="I42" s="2187" t="str">
        <f t="shared" si="11"/>
        <v>nt</v>
      </c>
      <c r="J42" s="2196" t="str">
        <f t="shared" si="12"/>
        <v>nt</v>
      </c>
      <c r="K42" s="2197" t="str">
        <f t="shared" si="13"/>
        <v>nt</v>
      </c>
      <c r="L42" s="2087"/>
      <c r="M42" s="1451"/>
      <c r="O42" s="1971" t="e">
        <f t="shared" si="9"/>
        <v>#N/A</v>
      </c>
      <c r="P42" s="1971"/>
      <c r="Q42" s="2195"/>
      <c r="R42" s="1280"/>
      <c r="S42" s="1280"/>
      <c r="U42" s="1495"/>
    </row>
    <row r="43" spans="5:21" s="1285" customFormat="1" ht="35.1" customHeight="1">
      <c r="E43" s="2195"/>
      <c r="G43" s="2186">
        <f>'NT-VT'!A47</f>
        <v>42</v>
      </c>
      <c r="H43" s="2187" t="str">
        <f t="shared" si="10"/>
        <v>nt</v>
      </c>
      <c r="I43" s="2187" t="str">
        <f t="shared" si="11"/>
        <v>nt</v>
      </c>
      <c r="J43" s="2196" t="str">
        <f t="shared" si="12"/>
        <v>nt</v>
      </c>
      <c r="K43" s="2197" t="str">
        <f t="shared" si="13"/>
        <v>nt</v>
      </c>
      <c r="L43" s="2087"/>
      <c r="M43" s="1451"/>
      <c r="O43" s="1971" t="e">
        <f t="shared" si="9"/>
        <v>#N/A</v>
      </c>
      <c r="P43" s="1971"/>
      <c r="Q43" s="2195"/>
      <c r="R43" s="1280"/>
      <c r="S43" s="1280"/>
      <c r="U43" s="1495"/>
    </row>
    <row r="44" spans="5:21" s="1285" customFormat="1" ht="35.1" customHeight="1">
      <c r="E44" s="2195"/>
      <c r="G44" s="2186">
        <f>'NT-VT'!A48</f>
        <v>43</v>
      </c>
      <c r="H44" s="2187" t="str">
        <f t="shared" si="10"/>
        <v>nt</v>
      </c>
      <c r="I44" s="2187" t="str">
        <f t="shared" si="11"/>
        <v>nt</v>
      </c>
      <c r="J44" s="2196" t="str">
        <f t="shared" si="12"/>
        <v>nt</v>
      </c>
      <c r="K44" s="2197" t="str">
        <f t="shared" si="13"/>
        <v>nt</v>
      </c>
      <c r="L44" s="2087"/>
      <c r="M44" s="2205"/>
      <c r="O44" s="1971" t="e">
        <f t="shared" si="9"/>
        <v>#N/A</v>
      </c>
      <c r="P44" s="1971"/>
      <c r="Q44" s="2195"/>
      <c r="R44" s="1280"/>
      <c r="S44" s="1280"/>
      <c r="U44" s="1495"/>
    </row>
    <row r="45" spans="5:21" s="1285" customFormat="1" ht="35.1" customHeight="1">
      <c r="E45" s="2195"/>
      <c r="G45" s="2186">
        <f>'NT-VT'!A49</f>
        <v>44</v>
      </c>
      <c r="H45" s="2187" t="str">
        <f t="shared" si="10"/>
        <v>nt</v>
      </c>
      <c r="I45" s="2187" t="str">
        <f t="shared" si="11"/>
        <v>nt</v>
      </c>
      <c r="J45" s="2196" t="str">
        <f t="shared" si="12"/>
        <v>nt</v>
      </c>
      <c r="K45" s="2197" t="str">
        <f t="shared" si="13"/>
        <v>nt</v>
      </c>
      <c r="L45" s="2087"/>
      <c r="M45" s="2191"/>
      <c r="O45" s="1971" t="e">
        <f t="shared" si="9"/>
        <v>#N/A</v>
      </c>
      <c r="P45" s="1971"/>
      <c r="Q45" s="2195"/>
      <c r="R45" s="1280"/>
      <c r="S45" s="1280"/>
      <c r="U45" s="1495"/>
    </row>
    <row r="46" spans="5:21" s="1285" customFormat="1" ht="35.1" customHeight="1">
      <c r="E46" s="2195"/>
      <c r="G46" s="2186">
        <f>'NT-VT'!A50</f>
        <v>45</v>
      </c>
      <c r="H46" s="2187" t="str">
        <f t="shared" si="10"/>
        <v>nt</v>
      </c>
      <c r="I46" s="2187" t="str">
        <f t="shared" si="11"/>
        <v>nt</v>
      </c>
      <c r="J46" s="2196" t="str">
        <f t="shared" si="12"/>
        <v>nt</v>
      </c>
      <c r="K46" s="2197" t="str">
        <f t="shared" si="13"/>
        <v>nt</v>
      </c>
      <c r="L46" s="2087"/>
      <c r="M46" s="2191"/>
      <c r="O46" s="1971" t="e">
        <f t="shared" si="9"/>
        <v>#N/A</v>
      </c>
      <c r="P46" s="1971"/>
      <c r="Q46" s="2195"/>
      <c r="R46" s="1280"/>
      <c r="S46" s="1280"/>
      <c r="U46" s="1495"/>
    </row>
    <row r="47" spans="5:21" s="1285" customFormat="1" ht="35.1" customHeight="1">
      <c r="E47" s="2195"/>
      <c r="G47" s="2186">
        <f>'NT-VT'!A51</f>
        <v>46</v>
      </c>
      <c r="H47" s="2187" t="str">
        <f t="shared" si="10"/>
        <v>nt</v>
      </c>
      <c r="I47" s="2187" t="str">
        <f t="shared" si="11"/>
        <v>nt</v>
      </c>
      <c r="J47" s="2196" t="str">
        <f t="shared" si="12"/>
        <v>nt</v>
      </c>
      <c r="K47" s="2197" t="str">
        <f t="shared" si="13"/>
        <v>nt</v>
      </c>
      <c r="L47" s="2087"/>
      <c r="M47" s="2191"/>
      <c r="O47" s="1971" t="e">
        <f t="shared" si="9"/>
        <v>#N/A</v>
      </c>
      <c r="P47" s="1971"/>
      <c r="Q47" s="2195"/>
      <c r="R47" s="1280"/>
      <c r="S47" s="1280"/>
      <c r="U47" s="1495"/>
    </row>
    <row r="48" spans="5:21" ht="35.1" customHeight="1">
      <c r="G48" s="2186">
        <f>'NT-VT'!A52</f>
        <v>47</v>
      </c>
      <c r="H48" s="2187" t="str">
        <f t="shared" si="10"/>
        <v>nt</v>
      </c>
      <c r="I48" s="2187" t="str">
        <f t="shared" si="11"/>
        <v>nt</v>
      </c>
      <c r="J48" s="2196" t="str">
        <f t="shared" si="12"/>
        <v>nt</v>
      </c>
      <c r="K48" s="2197" t="str">
        <f t="shared" si="13"/>
        <v>nt</v>
      </c>
      <c r="L48" s="2087"/>
      <c r="M48" s="2206"/>
      <c r="O48" s="1971" t="e">
        <f t="shared" si="9"/>
        <v>#N/A</v>
      </c>
    </row>
    <row r="49" spans="5:21" ht="35.1" customHeight="1">
      <c r="G49" s="2186">
        <f>'NT-VT'!A53</f>
        <v>48</v>
      </c>
      <c r="H49" s="2187" t="str">
        <f t="shared" si="10"/>
        <v>nt</v>
      </c>
      <c r="I49" s="2187" t="str">
        <f t="shared" si="11"/>
        <v>nt</v>
      </c>
      <c r="J49" s="2196" t="str">
        <f t="shared" si="12"/>
        <v>nt</v>
      </c>
      <c r="K49" s="2197" t="str">
        <f t="shared" si="13"/>
        <v>nt</v>
      </c>
      <c r="L49" s="2087"/>
      <c r="M49" s="2206"/>
      <c r="O49" s="1971" t="e">
        <f t="shared" si="9"/>
        <v>#N/A</v>
      </c>
    </row>
    <row r="50" spans="5:21" s="1285" customFormat="1" ht="35.1" customHeight="1">
      <c r="E50" s="2195"/>
      <c r="G50" s="2186">
        <f>'NT-VT'!A54</f>
        <v>49</v>
      </c>
      <c r="H50" s="2187" t="str">
        <f t="shared" si="10"/>
        <v>nt</v>
      </c>
      <c r="I50" s="2187" t="str">
        <f t="shared" si="11"/>
        <v>nt</v>
      </c>
      <c r="J50" s="2196" t="str">
        <f t="shared" si="12"/>
        <v>nt</v>
      </c>
      <c r="K50" s="2197" t="str">
        <f t="shared" si="13"/>
        <v>nt</v>
      </c>
      <c r="L50" s="2087"/>
      <c r="M50" s="2206"/>
      <c r="O50" s="1971" t="e">
        <f t="shared" si="9"/>
        <v>#N/A</v>
      </c>
      <c r="P50" s="1971"/>
      <c r="Q50" s="2195"/>
      <c r="R50" s="1280"/>
      <c r="S50" s="1280"/>
      <c r="U50" s="1495"/>
    </row>
    <row r="51" spans="5:21" s="1285" customFormat="1" ht="35.1" customHeight="1">
      <c r="E51" s="2195"/>
      <c r="G51" s="2186">
        <f>'NT-VT'!A55</f>
        <v>50</v>
      </c>
      <c r="H51" s="2187" t="str">
        <f t="shared" si="10"/>
        <v>nt</v>
      </c>
      <c r="I51" s="2187" t="str">
        <f t="shared" si="11"/>
        <v>nt</v>
      </c>
      <c r="J51" s="2196" t="str">
        <f t="shared" si="12"/>
        <v>nt</v>
      </c>
      <c r="K51" s="2197" t="str">
        <f t="shared" si="13"/>
        <v>nt</v>
      </c>
      <c r="L51" s="2087" t="s">
        <v>5223</v>
      </c>
      <c r="M51" s="2205"/>
      <c r="O51" s="1971" t="e">
        <f t="shared" ref="O51:O82" si="14">VLOOKUP(G51,Q:X,8,0)</f>
        <v>#N/A</v>
      </c>
      <c r="P51" s="1971"/>
      <c r="Q51" s="2195"/>
      <c r="R51" s="1280"/>
      <c r="S51" s="1280"/>
      <c r="U51" s="1495"/>
    </row>
    <row r="52" spans="5:21" s="1285" customFormat="1" ht="35.1" customHeight="1">
      <c r="E52" s="2195"/>
      <c r="G52" s="2186">
        <f>'NT-VT'!A56</f>
        <v>51</v>
      </c>
      <c r="H52" s="2187" t="str">
        <f t="shared" si="10"/>
        <v>nt</v>
      </c>
      <c r="I52" s="2187" t="str">
        <f t="shared" si="11"/>
        <v>nt</v>
      </c>
      <c r="J52" s="2196" t="str">
        <f t="shared" si="12"/>
        <v>nt</v>
      </c>
      <c r="K52" s="2197" t="str">
        <f t="shared" si="13"/>
        <v>nt</v>
      </c>
      <c r="L52" s="2190"/>
      <c r="M52" s="2191"/>
      <c r="O52" s="1971" t="e">
        <f t="shared" si="14"/>
        <v>#N/A</v>
      </c>
      <c r="P52" s="1971"/>
      <c r="Q52" s="2195"/>
      <c r="R52" s="1280"/>
      <c r="S52" s="1280"/>
      <c r="U52" s="1495"/>
    </row>
    <row r="53" spans="5:21" s="1285" customFormat="1" ht="35.1" customHeight="1">
      <c r="E53" s="2195"/>
      <c r="G53" s="2186">
        <f>'NT-VT'!A57</f>
        <v>52</v>
      </c>
      <c r="H53" s="2187" t="str">
        <f t="shared" ref="H53:H84" si="15">IFERROR(VLOOKUP(G53,$Q:$U,2,0),"nt")</f>
        <v>nt</v>
      </c>
      <c r="I53" s="2187" t="str">
        <f t="shared" ref="I53:I89" si="16">IFERROR(VLOOKUP(G53,$Q:$U,3,0),"nt")</f>
        <v>nt</v>
      </c>
      <c r="J53" s="2196" t="str">
        <f t="shared" ref="J53:J89" si="17">IFERROR(VLOOKUP(G53,$Q:$U,4,0),"nt")</f>
        <v>nt</v>
      </c>
      <c r="K53" s="2197" t="str">
        <f t="shared" ref="K53:K89" si="18">IFERROR(VLOOKUP(G53,$Q:$U,5,0),"nt")</f>
        <v>nt</v>
      </c>
      <c r="L53" s="2087"/>
      <c r="M53" s="2191"/>
      <c r="O53" s="1971" t="e">
        <f t="shared" si="14"/>
        <v>#N/A</v>
      </c>
      <c r="P53" s="1971"/>
      <c r="Q53" s="2195"/>
      <c r="R53" s="1280"/>
      <c r="S53" s="1280"/>
      <c r="U53" s="1495"/>
    </row>
    <row r="54" spans="5:21" s="1285" customFormat="1" ht="35.1" customHeight="1">
      <c r="E54" s="2195"/>
      <c r="G54" s="2186">
        <f>'NT-VT'!A58</f>
        <v>53</v>
      </c>
      <c r="H54" s="2187" t="str">
        <f t="shared" si="15"/>
        <v>nt</v>
      </c>
      <c r="I54" s="2187" t="str">
        <f t="shared" si="16"/>
        <v>nt</v>
      </c>
      <c r="J54" s="2196" t="str">
        <f t="shared" si="17"/>
        <v>nt</v>
      </c>
      <c r="K54" s="2197" t="str">
        <f t="shared" si="18"/>
        <v>nt</v>
      </c>
      <c r="L54" s="2087"/>
      <c r="M54" s="2205"/>
      <c r="O54" s="1971" t="e">
        <f t="shared" si="14"/>
        <v>#N/A</v>
      </c>
      <c r="P54" s="1971"/>
      <c r="Q54" s="2195"/>
      <c r="R54" s="1280"/>
      <c r="S54" s="1280"/>
      <c r="U54" s="1495"/>
    </row>
    <row r="55" spans="5:21" s="1285" customFormat="1" ht="35.1" customHeight="1">
      <c r="E55" s="2195"/>
      <c r="G55" s="2186">
        <f>'NT-VT'!A59</f>
        <v>54</v>
      </c>
      <c r="H55" s="2187" t="str">
        <f t="shared" si="15"/>
        <v>nt</v>
      </c>
      <c r="I55" s="2187" t="str">
        <f t="shared" si="16"/>
        <v>nt</v>
      </c>
      <c r="J55" s="2196" t="str">
        <f t="shared" si="17"/>
        <v>nt</v>
      </c>
      <c r="K55" s="2197" t="str">
        <f t="shared" si="18"/>
        <v>nt</v>
      </c>
      <c r="L55" s="2087"/>
      <c r="M55" s="2205"/>
      <c r="O55" s="1971" t="e">
        <f t="shared" si="14"/>
        <v>#N/A</v>
      </c>
      <c r="P55" s="1971"/>
      <c r="Q55" s="2195"/>
      <c r="R55" s="1280"/>
      <c r="S55" s="1280"/>
      <c r="U55" s="1495"/>
    </row>
    <row r="56" spans="5:21" s="1285" customFormat="1" ht="35.1" customHeight="1">
      <c r="E56" s="2195"/>
      <c r="G56" s="2186">
        <f>'NT-VT'!A60</f>
        <v>55</v>
      </c>
      <c r="H56" s="2187" t="str">
        <f t="shared" si="15"/>
        <v>nt</v>
      </c>
      <c r="I56" s="2187" t="str">
        <f t="shared" si="16"/>
        <v>nt</v>
      </c>
      <c r="J56" s="2196" t="str">
        <f t="shared" si="17"/>
        <v>nt</v>
      </c>
      <c r="K56" s="2197" t="str">
        <f t="shared" si="18"/>
        <v>nt</v>
      </c>
      <c r="L56" s="2087"/>
      <c r="M56" s="2205"/>
      <c r="O56" s="1971" t="e">
        <f t="shared" si="14"/>
        <v>#N/A</v>
      </c>
      <c r="P56" s="1971"/>
      <c r="Q56" s="2195"/>
      <c r="R56" s="1280"/>
      <c r="S56" s="1280"/>
      <c r="U56" s="1495"/>
    </row>
    <row r="57" spans="5:21" s="1285" customFormat="1" ht="35.1" customHeight="1">
      <c r="E57" s="2195"/>
      <c r="G57" s="2186">
        <f>'NT-VT'!A61</f>
        <v>56</v>
      </c>
      <c r="H57" s="2187" t="str">
        <f t="shared" si="15"/>
        <v>nt</v>
      </c>
      <c r="I57" s="2187" t="str">
        <f t="shared" si="16"/>
        <v>nt</v>
      </c>
      <c r="J57" s="2196" t="str">
        <f t="shared" si="17"/>
        <v>nt</v>
      </c>
      <c r="K57" s="2197" t="str">
        <f t="shared" si="18"/>
        <v>nt</v>
      </c>
      <c r="L57" s="2087"/>
      <c r="M57" s="2205"/>
      <c r="O57" s="1971" t="e">
        <f t="shared" si="14"/>
        <v>#N/A</v>
      </c>
      <c r="P57" s="1971"/>
      <c r="Q57" s="2195"/>
      <c r="R57" s="1280"/>
      <c r="S57" s="1280"/>
      <c r="U57" s="1495"/>
    </row>
    <row r="58" spans="5:21" s="1285" customFormat="1" ht="35.1" customHeight="1">
      <c r="E58" s="2195"/>
      <c r="G58" s="2186">
        <f>'NT-VT'!A62</f>
        <v>57</v>
      </c>
      <c r="H58" s="2187" t="str">
        <f t="shared" si="15"/>
        <v>nt</v>
      </c>
      <c r="I58" s="2187" t="str">
        <f t="shared" si="16"/>
        <v>nt</v>
      </c>
      <c r="J58" s="2196" t="str">
        <f t="shared" si="17"/>
        <v>nt</v>
      </c>
      <c r="K58" s="2197" t="str">
        <f t="shared" si="18"/>
        <v>nt</v>
      </c>
      <c r="L58" s="2087"/>
      <c r="M58" s="1451"/>
      <c r="O58" s="1971" t="e">
        <f t="shared" si="14"/>
        <v>#N/A</v>
      </c>
      <c r="P58" s="1971"/>
      <c r="Q58" s="2195"/>
      <c r="R58" s="1280"/>
      <c r="S58" s="1280"/>
      <c r="U58" s="1495"/>
    </row>
    <row r="59" spans="5:21" s="1285" customFormat="1" ht="35.1" customHeight="1">
      <c r="E59" s="2195"/>
      <c r="G59" s="2186">
        <f>'NT-VT'!A63</f>
        <v>58</v>
      </c>
      <c r="H59" s="2187" t="str">
        <f t="shared" si="15"/>
        <v>nt</v>
      </c>
      <c r="I59" s="2187" t="str">
        <f t="shared" si="16"/>
        <v>nt</v>
      </c>
      <c r="J59" s="2196" t="str">
        <f t="shared" si="17"/>
        <v>nt</v>
      </c>
      <c r="K59" s="2197" t="str">
        <f t="shared" si="18"/>
        <v>nt</v>
      </c>
      <c r="L59" s="2087"/>
      <c r="M59" s="1451"/>
      <c r="O59" s="1971" t="e">
        <f t="shared" si="14"/>
        <v>#N/A</v>
      </c>
      <c r="P59" s="1971"/>
      <c r="Q59" s="2195"/>
      <c r="R59" s="1280"/>
      <c r="S59" s="1280"/>
      <c r="U59" s="1495"/>
    </row>
    <row r="60" spans="5:21" s="1285" customFormat="1" ht="35.1" customHeight="1">
      <c r="E60" s="2195"/>
      <c r="G60" s="2186">
        <f>'NT-VT'!A64</f>
        <v>59</v>
      </c>
      <c r="H60" s="2187" t="str">
        <f t="shared" si="15"/>
        <v>nt</v>
      </c>
      <c r="I60" s="2187" t="str">
        <f t="shared" si="16"/>
        <v>nt</v>
      </c>
      <c r="J60" s="2196" t="str">
        <f t="shared" si="17"/>
        <v>nt</v>
      </c>
      <c r="K60" s="2197" t="str">
        <f t="shared" si="18"/>
        <v>nt</v>
      </c>
      <c r="L60" s="2087"/>
      <c r="M60" s="1451"/>
      <c r="O60" s="1971" t="e">
        <f t="shared" si="14"/>
        <v>#N/A</v>
      </c>
      <c r="P60" s="1971"/>
      <c r="Q60" s="2195"/>
      <c r="R60" s="1280"/>
      <c r="S60" s="1280"/>
      <c r="U60" s="1495"/>
    </row>
    <row r="61" spans="5:21" s="1285" customFormat="1" ht="35.1" customHeight="1">
      <c r="E61" s="2195"/>
      <c r="G61" s="2186">
        <f>'NT-VT'!A65</f>
        <v>60</v>
      </c>
      <c r="H61" s="2187" t="str">
        <f t="shared" si="15"/>
        <v>nt</v>
      </c>
      <c r="I61" s="2187" t="str">
        <f t="shared" si="16"/>
        <v>nt</v>
      </c>
      <c r="J61" s="2196" t="str">
        <f t="shared" si="17"/>
        <v>nt</v>
      </c>
      <c r="K61" s="2197" t="str">
        <f t="shared" si="18"/>
        <v>nt</v>
      </c>
      <c r="L61" s="2087"/>
      <c r="M61" s="1451"/>
      <c r="O61" s="1971" t="e">
        <f t="shared" si="14"/>
        <v>#N/A</v>
      </c>
      <c r="P61" s="1971"/>
      <c r="Q61" s="2195"/>
      <c r="R61" s="1280"/>
      <c r="S61" s="1280"/>
      <c r="U61" s="1495"/>
    </row>
    <row r="62" spans="5:21" s="1285" customFormat="1" ht="35.1" customHeight="1">
      <c r="E62" s="2195"/>
      <c r="G62" s="2186">
        <f>'NT-VT'!A66</f>
        <v>61</v>
      </c>
      <c r="H62" s="2187" t="str">
        <f t="shared" si="15"/>
        <v>nt</v>
      </c>
      <c r="I62" s="2187" t="str">
        <f t="shared" si="16"/>
        <v>nt</v>
      </c>
      <c r="J62" s="2196" t="str">
        <f t="shared" si="17"/>
        <v>nt</v>
      </c>
      <c r="K62" s="2197" t="str">
        <f t="shared" si="18"/>
        <v>nt</v>
      </c>
      <c r="L62" s="2087"/>
      <c r="M62" s="1451"/>
      <c r="O62" s="1971" t="e">
        <f t="shared" si="14"/>
        <v>#N/A</v>
      </c>
      <c r="P62" s="1971"/>
      <c r="Q62" s="2195"/>
      <c r="R62" s="1280"/>
      <c r="S62" s="1280"/>
      <c r="U62" s="1495"/>
    </row>
    <row r="63" spans="5:21" s="1285" customFormat="1" ht="35.1" customHeight="1">
      <c r="E63" s="2195"/>
      <c r="G63" s="2186">
        <f>'NT-VT'!A67</f>
        <v>62</v>
      </c>
      <c r="H63" s="2187" t="str">
        <f t="shared" si="15"/>
        <v>nt</v>
      </c>
      <c r="I63" s="2187" t="str">
        <f t="shared" si="16"/>
        <v>nt</v>
      </c>
      <c r="J63" s="2196" t="str">
        <f t="shared" si="17"/>
        <v>nt</v>
      </c>
      <c r="K63" s="2197" t="str">
        <f t="shared" si="18"/>
        <v>nt</v>
      </c>
      <c r="L63" s="2087"/>
      <c r="M63" s="1451"/>
      <c r="O63" s="1971" t="e">
        <f t="shared" si="14"/>
        <v>#N/A</v>
      </c>
      <c r="P63" s="1971"/>
      <c r="Q63" s="2195"/>
      <c r="R63" s="1280"/>
      <c r="S63" s="1280"/>
      <c r="U63" s="1495"/>
    </row>
    <row r="64" spans="5:21" s="1285" customFormat="1" ht="35.1" customHeight="1">
      <c r="E64" s="2195"/>
      <c r="G64" s="2186">
        <f>'NT-VT'!A68</f>
        <v>63</v>
      </c>
      <c r="H64" s="2187" t="str">
        <f t="shared" si="15"/>
        <v>nt</v>
      </c>
      <c r="I64" s="2187" t="str">
        <f t="shared" si="16"/>
        <v>nt</v>
      </c>
      <c r="J64" s="2196" t="str">
        <f t="shared" si="17"/>
        <v>nt</v>
      </c>
      <c r="K64" s="2197" t="str">
        <f t="shared" si="18"/>
        <v>nt</v>
      </c>
      <c r="L64" s="2087"/>
      <c r="M64" s="1451"/>
      <c r="O64" s="1971" t="e">
        <f t="shared" si="14"/>
        <v>#N/A</v>
      </c>
      <c r="P64" s="1971"/>
      <c r="Q64" s="2195"/>
      <c r="R64" s="1280"/>
      <c r="S64" s="1280"/>
      <c r="U64" s="1495"/>
    </row>
    <row r="65" spans="5:21" s="1285" customFormat="1" ht="35.1" customHeight="1">
      <c r="E65" s="2195"/>
      <c r="G65" s="2186">
        <f>'NT-VT'!A69</f>
        <v>64</v>
      </c>
      <c r="H65" s="2187" t="str">
        <f t="shared" si="15"/>
        <v>nt</v>
      </c>
      <c r="I65" s="2187" t="str">
        <f t="shared" si="16"/>
        <v>nt</v>
      </c>
      <c r="J65" s="2196" t="str">
        <f t="shared" si="17"/>
        <v>nt</v>
      </c>
      <c r="K65" s="2197" t="str">
        <f t="shared" si="18"/>
        <v>nt</v>
      </c>
      <c r="L65" s="2087"/>
      <c r="M65" s="1451"/>
      <c r="O65" s="1971" t="e">
        <f t="shared" si="14"/>
        <v>#N/A</v>
      </c>
      <c r="P65" s="1971"/>
      <c r="Q65" s="2195"/>
      <c r="R65" s="1280"/>
      <c r="S65" s="1280"/>
      <c r="U65" s="1495"/>
    </row>
    <row r="66" spans="5:21" s="1285" customFormat="1" ht="35.1" customHeight="1">
      <c r="E66" s="2195"/>
      <c r="G66" s="2186">
        <f>'NT-VT'!A70</f>
        <v>65</v>
      </c>
      <c r="H66" s="2187" t="str">
        <f t="shared" si="15"/>
        <v>nt</v>
      </c>
      <c r="I66" s="2187" t="str">
        <f t="shared" si="16"/>
        <v>nt</v>
      </c>
      <c r="J66" s="2196" t="str">
        <f t="shared" si="17"/>
        <v>nt</v>
      </c>
      <c r="K66" s="2197" t="str">
        <f t="shared" si="18"/>
        <v>nt</v>
      </c>
      <c r="L66" s="2087"/>
      <c r="M66" s="1451"/>
      <c r="O66" s="1971" t="e">
        <f t="shared" si="14"/>
        <v>#N/A</v>
      </c>
      <c r="P66" s="1971"/>
      <c r="Q66" s="2195"/>
      <c r="R66" s="1280"/>
      <c r="S66" s="1280"/>
      <c r="U66" s="1495"/>
    </row>
    <row r="67" spans="5:21" s="1285" customFormat="1" ht="35.1" customHeight="1">
      <c r="E67" s="2195"/>
      <c r="G67" s="2186">
        <f>'NT-VT'!A71</f>
        <v>66</v>
      </c>
      <c r="H67" s="2187" t="str">
        <f t="shared" si="15"/>
        <v>nt</v>
      </c>
      <c r="I67" s="2187" t="str">
        <f t="shared" si="16"/>
        <v>nt</v>
      </c>
      <c r="J67" s="2196" t="str">
        <f t="shared" si="17"/>
        <v>nt</v>
      </c>
      <c r="K67" s="2197" t="str">
        <f t="shared" si="18"/>
        <v>nt</v>
      </c>
      <c r="L67" s="2087"/>
      <c r="M67" s="1451"/>
      <c r="O67" s="1971" t="e">
        <f t="shared" si="14"/>
        <v>#N/A</v>
      </c>
      <c r="P67" s="1971"/>
      <c r="Q67" s="2195"/>
      <c r="R67" s="1280"/>
      <c r="S67" s="1280"/>
      <c r="U67" s="1495"/>
    </row>
    <row r="68" spans="5:21" s="1285" customFormat="1" ht="35.1" customHeight="1">
      <c r="E68" s="2195"/>
      <c r="G68" s="2186">
        <f>'NT-VT'!A72</f>
        <v>67</v>
      </c>
      <c r="H68" s="2187" t="str">
        <f t="shared" si="15"/>
        <v>nt</v>
      </c>
      <c r="I68" s="2187" t="str">
        <f t="shared" si="16"/>
        <v>nt</v>
      </c>
      <c r="J68" s="2196" t="str">
        <f t="shared" si="17"/>
        <v>nt</v>
      </c>
      <c r="K68" s="2197" t="str">
        <f t="shared" si="18"/>
        <v>nt</v>
      </c>
      <c r="L68" s="2087"/>
      <c r="M68" s="1451"/>
      <c r="O68" s="1971" t="e">
        <f t="shared" si="14"/>
        <v>#N/A</v>
      </c>
      <c r="P68" s="1971"/>
      <c r="Q68" s="2195"/>
      <c r="R68" s="1280"/>
      <c r="S68" s="1280"/>
      <c r="U68" s="1495"/>
    </row>
    <row r="69" spans="5:21" s="1285" customFormat="1" ht="35.1" customHeight="1">
      <c r="E69" s="2195"/>
      <c r="G69" s="2186">
        <f>'NT-VT'!A73</f>
        <v>68</v>
      </c>
      <c r="H69" s="2187" t="str">
        <f t="shared" si="15"/>
        <v>nt</v>
      </c>
      <c r="I69" s="2187" t="str">
        <f t="shared" si="16"/>
        <v>nt</v>
      </c>
      <c r="J69" s="2196" t="str">
        <f t="shared" si="17"/>
        <v>nt</v>
      </c>
      <c r="K69" s="2197" t="str">
        <f t="shared" si="18"/>
        <v>nt</v>
      </c>
      <c r="L69" s="2087"/>
      <c r="M69" s="1451"/>
      <c r="O69" s="1971" t="e">
        <f t="shared" si="14"/>
        <v>#N/A</v>
      </c>
      <c r="P69" s="1971"/>
      <c r="Q69" s="2195"/>
      <c r="R69" s="1280"/>
      <c r="S69" s="1280"/>
      <c r="U69" s="1495"/>
    </row>
    <row r="70" spans="5:21" s="1285" customFormat="1" ht="35.1" customHeight="1">
      <c r="E70" s="2195"/>
      <c r="G70" s="2186">
        <f>'NT-VT'!A74</f>
        <v>69</v>
      </c>
      <c r="H70" s="2187" t="str">
        <f t="shared" si="15"/>
        <v>nt</v>
      </c>
      <c r="I70" s="2187" t="str">
        <f t="shared" si="16"/>
        <v>nt</v>
      </c>
      <c r="J70" s="2196" t="str">
        <f t="shared" si="17"/>
        <v>nt</v>
      </c>
      <c r="K70" s="2197" t="str">
        <f t="shared" si="18"/>
        <v>nt</v>
      </c>
      <c r="L70" s="2087"/>
      <c r="M70" s="1451"/>
      <c r="O70" s="1971" t="e">
        <f t="shared" si="14"/>
        <v>#N/A</v>
      </c>
      <c r="P70" s="1971"/>
      <c r="Q70" s="2195"/>
      <c r="R70" s="1280"/>
      <c r="S70" s="1280"/>
      <c r="U70" s="1495"/>
    </row>
    <row r="71" spans="5:21" s="1285" customFormat="1" ht="35.1" customHeight="1">
      <c r="E71" s="2195"/>
      <c r="G71" s="2186">
        <f>'NT-VT'!A75</f>
        <v>70</v>
      </c>
      <c r="H71" s="2187" t="str">
        <f t="shared" si="15"/>
        <v>nt</v>
      </c>
      <c r="I71" s="2187" t="str">
        <f t="shared" si="16"/>
        <v>nt</v>
      </c>
      <c r="J71" s="2196" t="str">
        <f t="shared" si="17"/>
        <v>nt</v>
      </c>
      <c r="K71" s="2197" t="str">
        <f t="shared" si="18"/>
        <v>nt</v>
      </c>
      <c r="L71" s="2087"/>
      <c r="M71" s="1451"/>
      <c r="O71" s="1971" t="e">
        <f t="shared" si="14"/>
        <v>#N/A</v>
      </c>
      <c r="P71" s="1971"/>
      <c r="Q71" s="2195"/>
      <c r="R71" s="1280"/>
      <c r="S71" s="1280"/>
      <c r="U71" s="1495"/>
    </row>
    <row r="72" spans="5:21" s="1285" customFormat="1" ht="35.1" customHeight="1">
      <c r="E72" s="2195"/>
      <c r="G72" s="2186">
        <f>'NT-VT'!A76</f>
        <v>71</v>
      </c>
      <c r="H72" s="2187" t="str">
        <f t="shared" si="15"/>
        <v>nt</v>
      </c>
      <c r="I72" s="2187" t="str">
        <f t="shared" si="16"/>
        <v>nt</v>
      </c>
      <c r="J72" s="2196" t="str">
        <f t="shared" si="17"/>
        <v>nt</v>
      </c>
      <c r="K72" s="2197" t="str">
        <f t="shared" si="18"/>
        <v>nt</v>
      </c>
      <c r="L72" s="2087"/>
      <c r="M72" s="1451"/>
      <c r="O72" s="1971" t="e">
        <f t="shared" si="14"/>
        <v>#N/A</v>
      </c>
      <c r="P72" s="1971"/>
      <c r="Q72" s="2195"/>
      <c r="R72" s="1280"/>
      <c r="S72" s="1280"/>
      <c r="U72" s="1495"/>
    </row>
    <row r="73" spans="5:21" s="1285" customFormat="1" ht="35.1" customHeight="1">
      <c r="E73" s="2195"/>
      <c r="G73" s="2186">
        <f>'NT-VT'!A77</f>
        <v>72</v>
      </c>
      <c r="H73" s="2187" t="str">
        <f t="shared" si="15"/>
        <v>nt</v>
      </c>
      <c r="I73" s="2187" t="str">
        <f t="shared" si="16"/>
        <v>nt</v>
      </c>
      <c r="J73" s="2196" t="str">
        <f t="shared" si="17"/>
        <v>nt</v>
      </c>
      <c r="K73" s="2197" t="str">
        <f t="shared" si="18"/>
        <v>nt</v>
      </c>
      <c r="L73" s="2087"/>
      <c r="M73" s="1451"/>
      <c r="O73" s="1971" t="e">
        <f t="shared" si="14"/>
        <v>#N/A</v>
      </c>
      <c r="P73" s="1971"/>
      <c r="Q73" s="2195"/>
      <c r="R73" s="1280"/>
      <c r="S73" s="1280"/>
      <c r="U73" s="1495"/>
    </row>
    <row r="74" spans="5:21" s="1285" customFormat="1" ht="35.1" customHeight="1">
      <c r="E74" s="2195"/>
      <c r="G74" s="2186">
        <f>'NT-VT'!A78</f>
        <v>73</v>
      </c>
      <c r="H74" s="2187" t="str">
        <f t="shared" si="15"/>
        <v>nt</v>
      </c>
      <c r="I74" s="2187" t="str">
        <f t="shared" si="16"/>
        <v>nt</v>
      </c>
      <c r="J74" s="2196" t="str">
        <f t="shared" si="17"/>
        <v>nt</v>
      </c>
      <c r="K74" s="2197" t="str">
        <f t="shared" si="18"/>
        <v>nt</v>
      </c>
      <c r="L74" s="2087"/>
      <c r="M74" s="1451"/>
      <c r="O74" s="1971" t="e">
        <f t="shared" si="14"/>
        <v>#N/A</v>
      </c>
      <c r="P74" s="1971"/>
      <c r="Q74" s="2195"/>
      <c r="R74" s="1280"/>
      <c r="S74" s="1280"/>
      <c r="U74" s="1495"/>
    </row>
    <row r="75" spans="5:21" s="1285" customFormat="1" ht="35.1" customHeight="1">
      <c r="E75" s="2195"/>
      <c r="G75" s="2186">
        <f>'NT-VT'!A79</f>
        <v>74</v>
      </c>
      <c r="H75" s="2187" t="str">
        <f t="shared" si="15"/>
        <v>nt</v>
      </c>
      <c r="I75" s="2187" t="str">
        <f t="shared" si="16"/>
        <v>nt</v>
      </c>
      <c r="J75" s="2196" t="str">
        <f t="shared" si="17"/>
        <v>nt</v>
      </c>
      <c r="K75" s="2197" t="str">
        <f t="shared" si="18"/>
        <v>nt</v>
      </c>
      <c r="L75" s="2087"/>
      <c r="M75" s="1451"/>
      <c r="O75" s="1971" t="e">
        <f t="shared" si="14"/>
        <v>#N/A</v>
      </c>
      <c r="P75" s="1971"/>
      <c r="Q75" s="2195"/>
      <c r="R75" s="1280"/>
      <c r="S75" s="1280"/>
      <c r="U75" s="1495"/>
    </row>
    <row r="76" spans="5:21" s="1285" customFormat="1" ht="35.1" customHeight="1">
      <c r="E76" s="2195"/>
      <c r="G76" s="2186">
        <f>'NT-VT'!A80</f>
        <v>75</v>
      </c>
      <c r="H76" s="2187" t="str">
        <f t="shared" si="15"/>
        <v>nt</v>
      </c>
      <c r="I76" s="2187" t="str">
        <f t="shared" si="16"/>
        <v>nt</v>
      </c>
      <c r="J76" s="2196" t="str">
        <f t="shared" si="17"/>
        <v>nt</v>
      </c>
      <c r="K76" s="2197" t="str">
        <f t="shared" si="18"/>
        <v>nt</v>
      </c>
      <c r="L76" s="2087"/>
      <c r="M76" s="1451"/>
      <c r="O76" s="1971" t="e">
        <f t="shared" si="14"/>
        <v>#N/A</v>
      </c>
      <c r="P76" s="1971"/>
      <c r="Q76" s="2195"/>
      <c r="R76" s="1280"/>
      <c r="S76" s="1280"/>
      <c r="U76" s="1495"/>
    </row>
    <row r="77" spans="5:21" s="1285" customFormat="1" ht="35.1" customHeight="1">
      <c r="E77" s="2195"/>
      <c r="G77" s="2186">
        <f>'NT-VT'!A81</f>
        <v>76</v>
      </c>
      <c r="H77" s="2187" t="str">
        <f t="shared" si="15"/>
        <v>nt</v>
      </c>
      <c r="I77" s="2187" t="str">
        <f t="shared" si="16"/>
        <v>nt</v>
      </c>
      <c r="J77" s="2196" t="str">
        <f t="shared" si="17"/>
        <v>nt</v>
      </c>
      <c r="K77" s="2197" t="str">
        <f t="shared" si="18"/>
        <v>nt</v>
      </c>
      <c r="L77" s="2087"/>
      <c r="M77" s="1451"/>
      <c r="O77" s="1971" t="e">
        <f t="shared" si="14"/>
        <v>#N/A</v>
      </c>
      <c r="P77" s="1971"/>
      <c r="Q77" s="2195"/>
      <c r="R77" s="1280"/>
      <c r="S77" s="1280"/>
      <c r="U77" s="1495"/>
    </row>
    <row r="78" spans="5:21" s="1285" customFormat="1" ht="35.1" customHeight="1">
      <c r="E78" s="2195"/>
      <c r="G78" s="2186">
        <f>'NT-VT'!A82</f>
        <v>77</v>
      </c>
      <c r="H78" s="2187" t="str">
        <f t="shared" si="15"/>
        <v>nt</v>
      </c>
      <c r="I78" s="2187" t="str">
        <f t="shared" si="16"/>
        <v>nt</v>
      </c>
      <c r="J78" s="2196" t="str">
        <f t="shared" si="17"/>
        <v>nt</v>
      </c>
      <c r="K78" s="2197" t="str">
        <f t="shared" si="18"/>
        <v>nt</v>
      </c>
      <c r="L78" s="2087"/>
      <c r="M78" s="1451"/>
      <c r="O78" s="1971" t="e">
        <f t="shared" si="14"/>
        <v>#N/A</v>
      </c>
      <c r="P78" s="1971"/>
      <c r="Q78" s="2195"/>
      <c r="R78" s="1280"/>
      <c r="S78" s="1280"/>
      <c r="U78" s="1495"/>
    </row>
    <row r="79" spans="5:21" s="1285" customFormat="1" ht="35.1" customHeight="1">
      <c r="E79" s="2195"/>
      <c r="G79" s="2186">
        <f>'NT-VT'!A83</f>
        <v>78</v>
      </c>
      <c r="H79" s="2187" t="str">
        <f t="shared" si="15"/>
        <v>nt</v>
      </c>
      <c r="I79" s="2187" t="str">
        <f t="shared" si="16"/>
        <v>nt</v>
      </c>
      <c r="J79" s="2196" t="str">
        <f t="shared" si="17"/>
        <v>nt</v>
      </c>
      <c r="K79" s="2197" t="str">
        <f t="shared" si="18"/>
        <v>nt</v>
      </c>
      <c r="L79" s="2087"/>
      <c r="M79" s="1451"/>
      <c r="O79" s="1971" t="e">
        <f t="shared" si="14"/>
        <v>#N/A</v>
      </c>
      <c r="P79" s="1971"/>
      <c r="Q79" s="2195"/>
      <c r="R79" s="1280"/>
      <c r="S79" s="1280"/>
      <c r="U79" s="1495"/>
    </row>
    <row r="80" spans="5:21" s="1285" customFormat="1" ht="35.1" customHeight="1">
      <c r="E80" s="2195"/>
      <c r="G80" s="2186">
        <f>'NT-VT'!A84</f>
        <v>79</v>
      </c>
      <c r="H80" s="2187" t="str">
        <f t="shared" si="15"/>
        <v>nt</v>
      </c>
      <c r="I80" s="2187" t="str">
        <f t="shared" si="16"/>
        <v>nt</v>
      </c>
      <c r="J80" s="2196" t="str">
        <f t="shared" si="17"/>
        <v>nt</v>
      </c>
      <c r="K80" s="2197" t="str">
        <f t="shared" si="18"/>
        <v>nt</v>
      </c>
      <c r="L80" s="2087"/>
      <c r="M80" s="1451"/>
      <c r="O80" s="1971" t="e">
        <f t="shared" si="14"/>
        <v>#N/A</v>
      </c>
      <c r="P80" s="1971"/>
      <c r="Q80" s="2195"/>
      <c r="R80" s="1280"/>
      <c r="S80" s="1280"/>
      <c r="U80" s="1495"/>
    </row>
    <row r="81" spans="5:21" s="1285" customFormat="1" ht="35.1" customHeight="1">
      <c r="E81" s="2195"/>
      <c r="G81" s="2186">
        <f>'NT-VT'!A85</f>
        <v>80</v>
      </c>
      <c r="H81" s="2187" t="str">
        <f t="shared" si="15"/>
        <v>nt</v>
      </c>
      <c r="I81" s="2187" t="str">
        <f t="shared" si="16"/>
        <v>nt</v>
      </c>
      <c r="J81" s="2196" t="str">
        <f t="shared" si="17"/>
        <v>nt</v>
      </c>
      <c r="K81" s="2197" t="str">
        <f t="shared" si="18"/>
        <v>nt</v>
      </c>
      <c r="L81" s="2087"/>
      <c r="M81" s="1451"/>
      <c r="O81" s="1971" t="e">
        <f t="shared" si="14"/>
        <v>#N/A</v>
      </c>
      <c r="P81" s="1971"/>
      <c r="Q81" s="2195"/>
      <c r="R81" s="1280"/>
      <c r="S81" s="1280"/>
      <c r="U81" s="1495"/>
    </row>
    <row r="82" spans="5:21" s="1285" customFormat="1" ht="35.1" customHeight="1">
      <c r="E82" s="2195"/>
      <c r="G82" s="2186">
        <f>'NT-VT'!A86</f>
        <v>81</v>
      </c>
      <c r="H82" s="2187" t="str">
        <f t="shared" si="15"/>
        <v>nt</v>
      </c>
      <c r="I82" s="2187" t="str">
        <f t="shared" si="16"/>
        <v>nt</v>
      </c>
      <c r="J82" s="2196" t="str">
        <f t="shared" si="17"/>
        <v>nt</v>
      </c>
      <c r="K82" s="2197" t="str">
        <f t="shared" si="18"/>
        <v>nt</v>
      </c>
      <c r="L82" s="2087"/>
      <c r="M82" s="1451"/>
      <c r="O82" s="1971" t="e">
        <f t="shared" si="14"/>
        <v>#N/A</v>
      </c>
      <c r="P82" s="1971"/>
      <c r="Q82" s="2195"/>
      <c r="R82" s="1280"/>
      <c r="S82" s="1280"/>
      <c r="U82" s="1495"/>
    </row>
    <row r="83" spans="5:21" s="1285" customFormat="1" ht="35.1" customHeight="1">
      <c r="E83" s="2195"/>
      <c r="G83" s="2186">
        <f>'NT-VT'!A87</f>
        <v>82</v>
      </c>
      <c r="H83" s="2187" t="str">
        <f t="shared" si="15"/>
        <v>nt</v>
      </c>
      <c r="I83" s="2187" t="str">
        <f t="shared" si="16"/>
        <v>nt</v>
      </c>
      <c r="J83" s="2196" t="str">
        <f t="shared" si="17"/>
        <v>nt</v>
      </c>
      <c r="K83" s="2197" t="str">
        <f t="shared" si="18"/>
        <v>nt</v>
      </c>
      <c r="L83" s="2087"/>
      <c r="M83" s="1451"/>
      <c r="O83" s="1971"/>
      <c r="P83" s="1971"/>
      <c r="Q83" s="2195"/>
      <c r="R83" s="1280"/>
      <c r="S83" s="1280"/>
      <c r="U83" s="1495"/>
    </row>
    <row r="84" spans="5:21" s="1285" customFormat="1" ht="35.1" customHeight="1">
      <c r="E84" s="2195"/>
      <c r="G84" s="2186">
        <f>'NT-VT'!A88</f>
        <v>83</v>
      </c>
      <c r="H84" s="2187" t="str">
        <f t="shared" si="15"/>
        <v>nt</v>
      </c>
      <c r="I84" s="2187" t="str">
        <f t="shared" si="16"/>
        <v>nt</v>
      </c>
      <c r="J84" s="2196" t="str">
        <f t="shared" si="17"/>
        <v>nt</v>
      </c>
      <c r="K84" s="2197" t="str">
        <f t="shared" si="18"/>
        <v>nt</v>
      </c>
      <c r="L84" s="2087"/>
      <c r="M84" s="1451"/>
      <c r="O84" s="1971"/>
      <c r="P84" s="1971"/>
      <c r="Q84" s="2195"/>
      <c r="R84" s="1280"/>
      <c r="S84" s="1280"/>
      <c r="U84" s="1495"/>
    </row>
    <row r="85" spans="5:21" s="1285" customFormat="1" ht="35.1" customHeight="1">
      <c r="E85" s="2195"/>
      <c r="G85" s="2186" t="s">
        <v>5178</v>
      </c>
      <c r="H85" s="2187" t="str">
        <f t="shared" ref="H85:H89" si="19">IFERROR(VLOOKUP(G85,$Q:$U,2,0),"nt")</f>
        <v>Cty TNHH MTV Đại Thiên An</v>
      </c>
      <c r="I85" s="2187" t="str">
        <f t="shared" si="16"/>
        <v>Cty TNHH MTV Đại Thiên An</v>
      </c>
      <c r="J85" s="2196" t="str">
        <f t="shared" si="17"/>
        <v>01.2019/BBXX/DTA-TL</v>
      </c>
      <c r="K85" s="2197">
        <f t="shared" si="18"/>
        <v>43525</v>
      </c>
      <c r="L85" s="2087"/>
      <c r="M85" s="1451"/>
      <c r="O85" s="1971"/>
      <c r="P85" s="1971"/>
      <c r="Q85" s="2195"/>
      <c r="R85" s="1280"/>
      <c r="S85" s="1280"/>
      <c r="U85" s="1495"/>
    </row>
    <row r="86" spans="5:21" s="1285" customFormat="1" ht="35.1" customHeight="1">
      <c r="E86" s="2195"/>
      <c r="G86" s="2186">
        <f>'NT-VT'!A90</f>
        <v>85</v>
      </c>
      <c r="H86" s="2187" t="str">
        <f t="shared" si="19"/>
        <v>nt</v>
      </c>
      <c r="I86" s="2187" t="str">
        <f t="shared" si="16"/>
        <v>nt</v>
      </c>
      <c r="J86" s="2196" t="str">
        <f t="shared" si="17"/>
        <v>nt</v>
      </c>
      <c r="K86" s="2197" t="str">
        <f t="shared" si="18"/>
        <v>nt</v>
      </c>
      <c r="L86" s="2087"/>
      <c r="M86" s="1451"/>
      <c r="O86" s="1971"/>
      <c r="P86" s="1971"/>
      <c r="Q86" s="2195"/>
      <c r="R86" s="1280"/>
      <c r="S86" s="1280"/>
      <c r="U86" s="1495"/>
    </row>
    <row r="87" spans="5:21" s="1285" customFormat="1" ht="35.1" customHeight="1">
      <c r="E87" s="2195"/>
      <c r="G87" s="2186">
        <f>'NT-VT'!A91</f>
        <v>86</v>
      </c>
      <c r="H87" s="2187" t="str">
        <f t="shared" si="19"/>
        <v>nt</v>
      </c>
      <c r="I87" s="2187" t="str">
        <f t="shared" si="16"/>
        <v>nt</v>
      </c>
      <c r="J87" s="2196" t="str">
        <f t="shared" si="17"/>
        <v>nt</v>
      </c>
      <c r="K87" s="2197" t="str">
        <f t="shared" si="18"/>
        <v>nt</v>
      </c>
      <c r="L87" s="2087"/>
      <c r="M87" s="1451"/>
      <c r="O87" s="1971"/>
      <c r="P87" s="1971"/>
      <c r="Q87" s="2195"/>
      <c r="R87" s="1280"/>
      <c r="S87" s="1280"/>
      <c r="U87" s="1495"/>
    </row>
    <row r="88" spans="5:21" s="1285" customFormat="1" ht="35.1" customHeight="1">
      <c r="E88" s="2195"/>
      <c r="G88" s="2186">
        <f>'NT-VT'!A92</f>
        <v>87</v>
      </c>
      <c r="H88" s="2187" t="str">
        <f t="shared" si="19"/>
        <v>nt</v>
      </c>
      <c r="I88" s="2187" t="str">
        <f t="shared" si="16"/>
        <v>nt</v>
      </c>
      <c r="J88" s="2196" t="str">
        <f t="shared" si="17"/>
        <v>nt</v>
      </c>
      <c r="K88" s="2197" t="str">
        <f t="shared" si="18"/>
        <v>nt</v>
      </c>
      <c r="L88" s="2087"/>
      <c r="M88" s="1451"/>
      <c r="O88" s="1971"/>
      <c r="P88" s="1971"/>
      <c r="Q88" s="2195"/>
      <c r="R88" s="1280"/>
      <c r="S88" s="1280"/>
      <c r="U88" s="1495"/>
    </row>
    <row r="89" spans="5:21" s="1285" customFormat="1" ht="35.1" customHeight="1">
      <c r="E89" s="2195"/>
      <c r="G89" s="2186">
        <f>'NT-VT'!A93</f>
        <v>88</v>
      </c>
      <c r="H89" s="2187" t="str">
        <f t="shared" si="19"/>
        <v>nt</v>
      </c>
      <c r="I89" s="2187" t="str">
        <f t="shared" si="16"/>
        <v>nt</v>
      </c>
      <c r="J89" s="2196" t="str">
        <f t="shared" si="17"/>
        <v>nt</v>
      </c>
      <c r="K89" s="2197" t="str">
        <f t="shared" si="18"/>
        <v>nt</v>
      </c>
      <c r="L89" s="2087"/>
      <c r="M89" s="1451"/>
      <c r="O89" s="1971"/>
      <c r="P89" s="1971"/>
      <c r="Q89" s="2195"/>
      <c r="R89" s="1280"/>
      <c r="S89" s="1280"/>
      <c r="U89" s="1495"/>
    </row>
    <row r="90" spans="5:21" s="1285" customFormat="1" ht="35.1" customHeight="1">
      <c r="E90" s="2195"/>
      <c r="G90" s="2186">
        <f>'NT-VT'!A94</f>
        <v>89</v>
      </c>
      <c r="H90" s="2187" t="str">
        <f t="shared" ref="H90:H134" si="20">IFERROR(VLOOKUP(G90,$Q:$U,2,0),"nt")</f>
        <v>nt</v>
      </c>
      <c r="I90" s="2187" t="str">
        <f t="shared" ref="I90:I134" si="21">IFERROR(VLOOKUP(G90,$Q:$U,3,0),"nt")</f>
        <v>nt</v>
      </c>
      <c r="J90" s="2196" t="str">
        <f t="shared" ref="J90:J134" si="22">IFERROR(VLOOKUP(G90,$Q:$U,4,0),"nt")</f>
        <v>nt</v>
      </c>
      <c r="K90" s="2197" t="str">
        <f t="shared" ref="K90:K134" si="23">IFERROR(VLOOKUP(G90,$Q:$U,5,0),"nt")</f>
        <v>nt</v>
      </c>
      <c r="L90" s="2087"/>
      <c r="M90" s="1451"/>
      <c r="O90" s="1971"/>
      <c r="P90" s="1971"/>
      <c r="Q90" s="2195"/>
      <c r="R90" s="1280"/>
      <c r="S90" s="1280"/>
      <c r="U90" s="1495"/>
    </row>
    <row r="91" spans="5:21" s="1285" customFormat="1" ht="35.1" customHeight="1">
      <c r="E91" s="2195"/>
      <c r="G91" s="2186">
        <f>'NT-VT'!A95</f>
        <v>90</v>
      </c>
      <c r="H91" s="2187" t="str">
        <f t="shared" si="20"/>
        <v>nt</v>
      </c>
      <c r="I91" s="2187" t="str">
        <f t="shared" si="21"/>
        <v>nt</v>
      </c>
      <c r="J91" s="2196" t="str">
        <f t="shared" si="22"/>
        <v>nt</v>
      </c>
      <c r="K91" s="2197" t="str">
        <f t="shared" si="23"/>
        <v>nt</v>
      </c>
      <c r="L91" s="2087"/>
      <c r="M91" s="1451"/>
      <c r="O91" s="1971"/>
      <c r="P91" s="1971"/>
      <c r="Q91" s="2195"/>
      <c r="R91" s="1280"/>
      <c r="S91" s="1280"/>
      <c r="U91" s="1495"/>
    </row>
    <row r="92" spans="5:21" s="1285" customFormat="1" ht="35.1" customHeight="1">
      <c r="E92" s="2195"/>
      <c r="G92" s="2186">
        <f>'NT-VT'!A96</f>
        <v>91</v>
      </c>
      <c r="H92" s="2187" t="str">
        <f t="shared" si="20"/>
        <v>nt</v>
      </c>
      <c r="I92" s="2187" t="str">
        <f t="shared" si="21"/>
        <v>nt</v>
      </c>
      <c r="J92" s="2196" t="str">
        <f t="shared" si="22"/>
        <v>nt</v>
      </c>
      <c r="K92" s="2197" t="str">
        <f t="shared" si="23"/>
        <v>nt</v>
      </c>
      <c r="L92" s="2087"/>
      <c r="M92" s="1451"/>
      <c r="O92" s="1971"/>
      <c r="P92" s="1971"/>
      <c r="Q92" s="2195"/>
      <c r="R92" s="1280"/>
      <c r="S92" s="1280"/>
      <c r="U92" s="1495"/>
    </row>
    <row r="93" spans="5:21" s="1285" customFormat="1" ht="35.1" customHeight="1">
      <c r="E93" s="2195"/>
      <c r="G93" s="2186">
        <f>'NT-VT'!A97</f>
        <v>92</v>
      </c>
      <c r="H93" s="2187" t="str">
        <f t="shared" si="20"/>
        <v>nt</v>
      </c>
      <c r="I93" s="2187" t="str">
        <f t="shared" si="21"/>
        <v>nt</v>
      </c>
      <c r="J93" s="2196" t="str">
        <f t="shared" si="22"/>
        <v>nt</v>
      </c>
      <c r="K93" s="2197" t="str">
        <f t="shared" si="23"/>
        <v>nt</v>
      </c>
      <c r="L93" s="2087"/>
      <c r="M93" s="1451"/>
      <c r="O93" s="1971"/>
      <c r="P93" s="1971"/>
      <c r="Q93" s="2195"/>
      <c r="R93" s="1280"/>
      <c r="S93" s="1280"/>
      <c r="U93" s="1495"/>
    </row>
    <row r="94" spans="5:21" s="1285" customFormat="1" ht="35.1" customHeight="1">
      <c r="E94" s="2195"/>
      <c r="G94" s="2186">
        <f>'NT-VT'!A98</f>
        <v>93</v>
      </c>
      <c r="H94" s="2187" t="str">
        <f t="shared" si="20"/>
        <v>nt</v>
      </c>
      <c r="I94" s="2187" t="str">
        <f t="shared" si="21"/>
        <v>nt</v>
      </c>
      <c r="J94" s="2196" t="str">
        <f t="shared" si="22"/>
        <v>nt</v>
      </c>
      <c r="K94" s="2197" t="str">
        <f t="shared" si="23"/>
        <v>nt</v>
      </c>
      <c r="L94" s="2087"/>
      <c r="M94" s="1451"/>
      <c r="O94" s="1971"/>
      <c r="P94" s="1971"/>
      <c r="Q94" s="2195"/>
      <c r="R94" s="1280"/>
      <c r="S94" s="1280"/>
      <c r="U94" s="1495"/>
    </row>
    <row r="95" spans="5:21" s="1285" customFormat="1" ht="35.1" customHeight="1">
      <c r="E95" s="2195"/>
      <c r="G95" s="2186">
        <f>'NT-VT'!A99</f>
        <v>94</v>
      </c>
      <c r="H95" s="2187" t="str">
        <f t="shared" si="20"/>
        <v>nt</v>
      </c>
      <c r="I95" s="2187" t="str">
        <f t="shared" si="21"/>
        <v>nt</v>
      </c>
      <c r="J95" s="2196" t="str">
        <f t="shared" si="22"/>
        <v>nt</v>
      </c>
      <c r="K95" s="2197" t="str">
        <f t="shared" si="23"/>
        <v>nt</v>
      </c>
      <c r="L95" s="2087"/>
      <c r="M95" s="1451"/>
      <c r="O95" s="1971"/>
      <c r="P95" s="1971"/>
      <c r="Q95" s="2195"/>
      <c r="R95" s="1280"/>
      <c r="S95" s="1280"/>
      <c r="U95" s="1495"/>
    </row>
    <row r="96" spans="5:21" s="1285" customFormat="1" ht="35.1" customHeight="1">
      <c r="E96" s="2195"/>
      <c r="G96" s="2186">
        <f>'NT-VT'!A100</f>
        <v>95</v>
      </c>
      <c r="H96" s="2187" t="str">
        <f t="shared" si="20"/>
        <v>nt</v>
      </c>
      <c r="I96" s="2187" t="str">
        <f t="shared" si="21"/>
        <v>nt</v>
      </c>
      <c r="J96" s="2196" t="str">
        <f t="shared" si="22"/>
        <v>nt</v>
      </c>
      <c r="K96" s="2197" t="str">
        <f t="shared" si="23"/>
        <v>nt</v>
      </c>
      <c r="L96" s="2087"/>
      <c r="M96" s="1451"/>
      <c r="O96" s="1971"/>
      <c r="P96" s="1971"/>
      <c r="Q96" s="2195"/>
      <c r="R96" s="1280"/>
      <c r="S96" s="1280"/>
      <c r="U96" s="1495"/>
    </row>
    <row r="97" spans="5:21" s="1285" customFormat="1" ht="35.1" customHeight="1">
      <c r="E97" s="2195"/>
      <c r="G97" s="2186">
        <f>'NT-VT'!A101</f>
        <v>96</v>
      </c>
      <c r="H97" s="2187" t="str">
        <f t="shared" si="20"/>
        <v>nt</v>
      </c>
      <c r="I97" s="2187" t="str">
        <f t="shared" si="21"/>
        <v>nt</v>
      </c>
      <c r="J97" s="2196" t="str">
        <f t="shared" si="22"/>
        <v>nt</v>
      </c>
      <c r="K97" s="2197" t="str">
        <f t="shared" si="23"/>
        <v>nt</v>
      </c>
      <c r="L97" s="2087"/>
      <c r="M97" s="1451"/>
      <c r="O97" s="1971"/>
      <c r="P97" s="1971"/>
      <c r="Q97" s="2195"/>
      <c r="R97" s="1280"/>
      <c r="S97" s="1280"/>
      <c r="U97" s="1495"/>
    </row>
    <row r="98" spans="5:21" s="1285" customFormat="1" ht="35.1" customHeight="1">
      <c r="E98" s="2195"/>
      <c r="G98" s="2186">
        <f>'NT-VT'!A102</f>
        <v>97</v>
      </c>
      <c r="H98" s="2187" t="str">
        <f t="shared" si="20"/>
        <v>nt</v>
      </c>
      <c r="I98" s="2187" t="str">
        <f t="shared" si="21"/>
        <v>nt</v>
      </c>
      <c r="J98" s="2196" t="str">
        <f t="shared" si="22"/>
        <v>nt</v>
      </c>
      <c r="K98" s="2197" t="str">
        <f t="shared" si="23"/>
        <v>nt</v>
      </c>
      <c r="L98" s="2087"/>
      <c r="M98" s="1451"/>
      <c r="O98" s="1971"/>
      <c r="P98" s="1971"/>
      <c r="Q98" s="2195"/>
      <c r="R98" s="1280"/>
      <c r="S98" s="1280"/>
      <c r="U98" s="1495"/>
    </row>
    <row r="99" spans="5:21" s="1285" customFormat="1" ht="35.1" customHeight="1">
      <c r="E99" s="2195"/>
      <c r="G99" s="2186">
        <f>'NT-VT'!A103</f>
        <v>98</v>
      </c>
      <c r="H99" s="2187" t="str">
        <f t="shared" si="20"/>
        <v>nt</v>
      </c>
      <c r="I99" s="2187" t="str">
        <f t="shared" si="21"/>
        <v>nt</v>
      </c>
      <c r="J99" s="2196" t="str">
        <f t="shared" si="22"/>
        <v>nt</v>
      </c>
      <c r="K99" s="2197" t="str">
        <f t="shared" si="23"/>
        <v>nt</v>
      </c>
      <c r="L99" s="2087"/>
      <c r="M99" s="1451"/>
      <c r="O99" s="1971"/>
      <c r="P99" s="1971"/>
      <c r="Q99" s="2195"/>
      <c r="R99" s="1280"/>
      <c r="S99" s="1280"/>
      <c r="U99" s="1495"/>
    </row>
    <row r="100" spans="5:21" s="1285" customFormat="1" ht="35.1" customHeight="1">
      <c r="E100" s="2195"/>
      <c r="G100" s="2186">
        <f>'NT-VT'!A104</f>
        <v>99</v>
      </c>
      <c r="H100" s="2187" t="str">
        <f t="shared" si="20"/>
        <v>nt</v>
      </c>
      <c r="I100" s="2187" t="str">
        <f t="shared" si="21"/>
        <v>nt</v>
      </c>
      <c r="J100" s="2196" t="str">
        <f t="shared" si="22"/>
        <v>nt</v>
      </c>
      <c r="K100" s="2197" t="str">
        <f t="shared" si="23"/>
        <v>nt</v>
      </c>
      <c r="L100" s="2087"/>
      <c r="M100" s="1451"/>
      <c r="O100" s="1971"/>
      <c r="P100" s="1971"/>
      <c r="Q100" s="2195"/>
      <c r="R100" s="1280"/>
      <c r="S100" s="1280"/>
      <c r="U100" s="1495"/>
    </row>
    <row r="101" spans="5:21" s="1285" customFormat="1" ht="35.1" customHeight="1">
      <c r="E101" s="2195"/>
      <c r="G101" s="2186">
        <f>'NT-VT'!A105</f>
        <v>100</v>
      </c>
      <c r="H101" s="2187" t="str">
        <f t="shared" si="20"/>
        <v>nt</v>
      </c>
      <c r="I101" s="2187" t="str">
        <f t="shared" si="21"/>
        <v>nt</v>
      </c>
      <c r="J101" s="2196" t="str">
        <f t="shared" si="22"/>
        <v>nt</v>
      </c>
      <c r="K101" s="2197" t="str">
        <f t="shared" si="23"/>
        <v>nt</v>
      </c>
      <c r="L101" s="2087"/>
      <c r="M101" s="1451"/>
      <c r="O101" s="1971"/>
      <c r="P101" s="1971"/>
      <c r="Q101" s="2195"/>
      <c r="R101" s="1280"/>
      <c r="S101" s="1280"/>
      <c r="U101" s="1495"/>
    </row>
    <row r="102" spans="5:21" s="1285" customFormat="1" ht="35.1" customHeight="1">
      <c r="E102" s="2195"/>
      <c r="G102" s="2186">
        <f>'NT-VT'!A106</f>
        <v>101</v>
      </c>
      <c r="H102" s="2187" t="str">
        <f t="shared" si="20"/>
        <v>nt</v>
      </c>
      <c r="I102" s="2187" t="str">
        <f t="shared" si="21"/>
        <v>nt</v>
      </c>
      <c r="J102" s="2196" t="str">
        <f t="shared" si="22"/>
        <v>nt</v>
      </c>
      <c r="K102" s="2197" t="str">
        <f t="shared" si="23"/>
        <v>nt</v>
      </c>
      <c r="L102" s="2087"/>
      <c r="M102" s="1451"/>
      <c r="O102" s="1971"/>
      <c r="P102" s="1971"/>
      <c r="Q102" s="2195"/>
      <c r="R102" s="1280"/>
      <c r="S102" s="1280"/>
      <c r="U102" s="1495"/>
    </row>
    <row r="103" spans="5:21" s="1285" customFormat="1" ht="35.1" customHeight="1">
      <c r="E103" s="2195"/>
      <c r="G103" s="2186" t="s">
        <v>5188</v>
      </c>
      <c r="H103" s="2187" t="str">
        <f t="shared" si="20"/>
        <v>nt</v>
      </c>
      <c r="I103" s="2187" t="str">
        <f t="shared" si="21"/>
        <v>nt</v>
      </c>
      <c r="J103" s="2196" t="str">
        <f t="shared" si="22"/>
        <v>nt</v>
      </c>
      <c r="K103" s="2197" t="str">
        <f t="shared" si="23"/>
        <v>nt</v>
      </c>
      <c r="L103" s="2087"/>
      <c r="M103" s="1451"/>
      <c r="O103" s="1971"/>
      <c r="P103" s="1971"/>
      <c r="Q103" s="2195"/>
      <c r="R103" s="1280"/>
      <c r="S103" s="1280"/>
      <c r="U103" s="1495"/>
    </row>
    <row r="104" spans="5:21" s="1285" customFormat="1" ht="35.1" customHeight="1">
      <c r="E104" s="2195"/>
      <c r="G104" s="2186">
        <f>'NT-VT'!A108</f>
        <v>103</v>
      </c>
      <c r="H104" s="2187" t="str">
        <f t="shared" si="20"/>
        <v>nt</v>
      </c>
      <c r="I104" s="2187" t="str">
        <f t="shared" si="21"/>
        <v>nt</v>
      </c>
      <c r="J104" s="2196" t="str">
        <f t="shared" si="22"/>
        <v>nt</v>
      </c>
      <c r="K104" s="2197" t="str">
        <f t="shared" si="23"/>
        <v>nt</v>
      </c>
      <c r="L104" s="2087"/>
      <c r="M104" s="1451"/>
      <c r="O104" s="1971"/>
      <c r="P104" s="1971"/>
      <c r="Q104" s="2195"/>
      <c r="R104" s="1280"/>
      <c r="S104" s="1280"/>
      <c r="U104" s="1495"/>
    </row>
    <row r="105" spans="5:21" s="1285" customFormat="1" ht="35.1" customHeight="1">
      <c r="E105" s="2195"/>
      <c r="G105" s="2186">
        <f>'NT-VT'!A109</f>
        <v>104</v>
      </c>
      <c r="H105" s="2187" t="str">
        <f t="shared" si="20"/>
        <v>nt</v>
      </c>
      <c r="I105" s="2187" t="str">
        <f t="shared" si="21"/>
        <v>nt</v>
      </c>
      <c r="J105" s="2196" t="str">
        <f t="shared" si="22"/>
        <v>nt</v>
      </c>
      <c r="K105" s="2197" t="str">
        <f t="shared" si="23"/>
        <v>nt</v>
      </c>
      <c r="L105" s="2087"/>
      <c r="M105" s="1451"/>
      <c r="O105" s="1971"/>
      <c r="P105" s="1971"/>
      <c r="Q105" s="2195"/>
      <c r="R105" s="1280"/>
      <c r="S105" s="1280"/>
      <c r="U105" s="1495"/>
    </row>
    <row r="106" spans="5:21" s="1285" customFormat="1" ht="35.1" customHeight="1">
      <c r="E106" s="2195"/>
      <c r="G106" s="2186">
        <f>'NT-VT'!A110</f>
        <v>105</v>
      </c>
      <c r="H106" s="2187" t="str">
        <f t="shared" si="20"/>
        <v>nt</v>
      </c>
      <c r="I106" s="2187" t="str">
        <f t="shared" si="21"/>
        <v>nt</v>
      </c>
      <c r="J106" s="2196" t="str">
        <f t="shared" si="22"/>
        <v>nt</v>
      </c>
      <c r="K106" s="2197" t="str">
        <f t="shared" si="23"/>
        <v>nt</v>
      </c>
      <c r="L106" s="2087"/>
      <c r="M106" s="1451"/>
      <c r="O106" s="1971"/>
      <c r="P106" s="1971"/>
      <c r="Q106" s="2195"/>
      <c r="R106" s="1280"/>
      <c r="S106" s="1280"/>
      <c r="U106" s="1495"/>
    </row>
    <row r="107" spans="5:21" s="1285" customFormat="1" ht="35.1" customHeight="1">
      <c r="E107" s="2195"/>
      <c r="G107" s="2186">
        <f>'NT-VT'!A111</f>
        <v>106</v>
      </c>
      <c r="H107" s="2187" t="str">
        <f t="shared" si="20"/>
        <v>nt</v>
      </c>
      <c r="I107" s="2187" t="str">
        <f t="shared" si="21"/>
        <v>nt</v>
      </c>
      <c r="J107" s="2196" t="str">
        <f t="shared" si="22"/>
        <v>nt</v>
      </c>
      <c r="K107" s="2197" t="str">
        <f t="shared" si="23"/>
        <v>nt</v>
      </c>
      <c r="L107" s="2087"/>
      <c r="M107" s="1451"/>
      <c r="O107" s="1971"/>
      <c r="P107" s="1971"/>
      <c r="Q107" s="2195"/>
      <c r="R107" s="1280"/>
      <c r="S107" s="1280"/>
      <c r="U107" s="1495"/>
    </row>
    <row r="108" spans="5:21" s="1285" customFormat="1" ht="35.1" customHeight="1">
      <c r="E108" s="2195"/>
      <c r="G108" s="2186">
        <f>'NT-VT'!A112</f>
        <v>107</v>
      </c>
      <c r="H108" s="2187" t="str">
        <f t="shared" si="20"/>
        <v>nt</v>
      </c>
      <c r="I108" s="2187" t="str">
        <f t="shared" si="21"/>
        <v>nt</v>
      </c>
      <c r="J108" s="2196" t="str">
        <f t="shared" si="22"/>
        <v>nt</v>
      </c>
      <c r="K108" s="2197" t="str">
        <f t="shared" si="23"/>
        <v>nt</v>
      </c>
      <c r="L108" s="2087"/>
      <c r="M108" s="1451"/>
      <c r="O108" s="1971"/>
      <c r="P108" s="1971"/>
      <c r="Q108" s="2195"/>
      <c r="R108" s="1280"/>
      <c r="S108" s="1280"/>
      <c r="U108" s="1495"/>
    </row>
    <row r="109" spans="5:21" s="1285" customFormat="1" ht="35.1" customHeight="1">
      <c r="E109" s="2195"/>
      <c r="G109" s="2186">
        <f>'NT-VT'!A113</f>
        <v>108</v>
      </c>
      <c r="H109" s="2187" t="str">
        <f t="shared" si="20"/>
        <v>nt</v>
      </c>
      <c r="I109" s="2187" t="str">
        <f t="shared" si="21"/>
        <v>nt</v>
      </c>
      <c r="J109" s="2196" t="str">
        <f t="shared" si="22"/>
        <v>nt</v>
      </c>
      <c r="K109" s="2197" t="str">
        <f t="shared" si="23"/>
        <v>nt</v>
      </c>
      <c r="L109" s="2087"/>
      <c r="M109" s="1451"/>
      <c r="O109" s="1971"/>
      <c r="P109" s="1971"/>
      <c r="Q109" s="2195"/>
      <c r="R109" s="1280"/>
      <c r="S109" s="1280"/>
      <c r="U109" s="1495"/>
    </row>
    <row r="110" spans="5:21" s="1285" customFormat="1" ht="35.1" customHeight="1">
      <c r="E110" s="2195"/>
      <c r="G110" s="2186">
        <f>'NT-VT'!A114</f>
        <v>109</v>
      </c>
      <c r="H110" s="2187" t="str">
        <f t="shared" si="20"/>
        <v>nt</v>
      </c>
      <c r="I110" s="2187" t="str">
        <f t="shared" si="21"/>
        <v>nt</v>
      </c>
      <c r="J110" s="2196" t="str">
        <f t="shared" si="22"/>
        <v>nt</v>
      </c>
      <c r="K110" s="2197" t="str">
        <f t="shared" si="23"/>
        <v>nt</v>
      </c>
      <c r="L110" s="2087"/>
      <c r="M110" s="1451"/>
      <c r="O110" s="1971"/>
      <c r="P110" s="1971"/>
      <c r="Q110" s="2195"/>
      <c r="R110" s="1280"/>
      <c r="S110" s="1280"/>
      <c r="U110" s="1495"/>
    </row>
    <row r="111" spans="5:21" s="1285" customFormat="1" ht="35.1" customHeight="1">
      <c r="E111" s="2195"/>
      <c r="G111" s="2186">
        <f>'NT-VT'!A115</f>
        <v>110</v>
      </c>
      <c r="H111" s="2187" t="str">
        <f t="shared" si="20"/>
        <v>nt</v>
      </c>
      <c r="I111" s="2187" t="str">
        <f t="shared" si="21"/>
        <v>nt</v>
      </c>
      <c r="J111" s="2196" t="str">
        <f t="shared" si="22"/>
        <v>nt</v>
      </c>
      <c r="K111" s="2197" t="str">
        <f t="shared" si="23"/>
        <v>nt</v>
      </c>
      <c r="L111" s="2087"/>
      <c r="M111" s="1451"/>
      <c r="O111" s="1971"/>
      <c r="P111" s="1971"/>
      <c r="Q111" s="2195"/>
      <c r="R111" s="1280"/>
      <c r="S111" s="1280"/>
      <c r="U111" s="1495"/>
    </row>
    <row r="112" spans="5:21" s="1285" customFormat="1" ht="35.1" customHeight="1">
      <c r="E112" s="2195"/>
      <c r="G112" s="2186">
        <f>'NT-VT'!A116</f>
        <v>111</v>
      </c>
      <c r="H112" s="2187" t="str">
        <f t="shared" si="20"/>
        <v>nt</v>
      </c>
      <c r="I112" s="2187" t="str">
        <f t="shared" si="21"/>
        <v>nt</v>
      </c>
      <c r="J112" s="2196" t="str">
        <f t="shared" si="22"/>
        <v>nt</v>
      </c>
      <c r="K112" s="2197" t="str">
        <f t="shared" si="23"/>
        <v>nt</v>
      </c>
      <c r="L112" s="2087"/>
      <c r="M112" s="1451"/>
      <c r="O112" s="1971"/>
      <c r="P112" s="1971"/>
      <c r="Q112" s="2195"/>
      <c r="R112" s="1280"/>
      <c r="S112" s="1280"/>
      <c r="U112" s="1495"/>
    </row>
    <row r="113" spans="5:21" s="1285" customFormat="1" ht="35.1" customHeight="1">
      <c r="E113" s="2195"/>
      <c r="G113" s="2186">
        <f>'NT-VT'!A117</f>
        <v>112</v>
      </c>
      <c r="H113" s="2187" t="str">
        <f t="shared" si="20"/>
        <v>nt</v>
      </c>
      <c r="I113" s="2187" t="str">
        <f t="shared" si="21"/>
        <v>nt</v>
      </c>
      <c r="J113" s="2196" t="str">
        <f t="shared" si="22"/>
        <v>nt</v>
      </c>
      <c r="K113" s="2197" t="str">
        <f t="shared" si="23"/>
        <v>nt</v>
      </c>
      <c r="L113" s="2087"/>
      <c r="M113" s="1451"/>
      <c r="O113" s="1971"/>
      <c r="P113" s="1971"/>
      <c r="Q113" s="2195"/>
      <c r="R113" s="1280"/>
      <c r="S113" s="1280"/>
      <c r="U113" s="1495"/>
    </row>
    <row r="114" spans="5:21" s="1285" customFormat="1" ht="35.1" customHeight="1">
      <c r="E114" s="2195"/>
      <c r="G114" s="2186">
        <f>'NT-VT'!A118</f>
        <v>113</v>
      </c>
      <c r="H114" s="2187" t="str">
        <f t="shared" si="20"/>
        <v>nt</v>
      </c>
      <c r="I114" s="2187" t="str">
        <f t="shared" si="21"/>
        <v>nt</v>
      </c>
      <c r="J114" s="2196" t="str">
        <f t="shared" si="22"/>
        <v>nt</v>
      </c>
      <c r="K114" s="2197" t="str">
        <f t="shared" si="23"/>
        <v>nt</v>
      </c>
      <c r="L114" s="2087"/>
      <c r="M114" s="1451"/>
      <c r="O114" s="1971"/>
      <c r="P114" s="1971"/>
      <c r="Q114" s="2195"/>
      <c r="R114" s="1280"/>
      <c r="S114" s="1280"/>
      <c r="U114" s="1495"/>
    </row>
    <row r="115" spans="5:21" s="1285" customFormat="1" ht="35.1" customHeight="1">
      <c r="E115" s="2195"/>
      <c r="G115" s="2186">
        <f>'NT-VT'!A119</f>
        <v>114</v>
      </c>
      <c r="H115" s="2187" t="str">
        <f t="shared" si="20"/>
        <v>nt</v>
      </c>
      <c r="I115" s="2187" t="str">
        <f t="shared" si="21"/>
        <v>nt</v>
      </c>
      <c r="J115" s="2196" t="str">
        <f t="shared" si="22"/>
        <v>nt</v>
      </c>
      <c r="K115" s="2197" t="str">
        <f t="shared" si="23"/>
        <v>nt</v>
      </c>
      <c r="L115" s="2087"/>
      <c r="M115" s="1451"/>
      <c r="O115" s="1971"/>
      <c r="P115" s="1971"/>
      <c r="Q115" s="2195"/>
      <c r="R115" s="1280"/>
      <c r="S115" s="1280"/>
      <c r="U115" s="1495"/>
    </row>
    <row r="116" spans="5:21" s="1285" customFormat="1" ht="35.1" customHeight="1">
      <c r="E116" s="2195"/>
      <c r="G116" s="2186">
        <f>'NT-VT'!A120</f>
        <v>115</v>
      </c>
      <c r="H116" s="2187" t="str">
        <f t="shared" si="20"/>
        <v>nt</v>
      </c>
      <c r="I116" s="2187" t="str">
        <f t="shared" si="21"/>
        <v>nt</v>
      </c>
      <c r="J116" s="2196" t="str">
        <f t="shared" si="22"/>
        <v>nt</v>
      </c>
      <c r="K116" s="2197" t="str">
        <f t="shared" si="23"/>
        <v>nt</v>
      </c>
      <c r="L116" s="2087"/>
      <c r="M116" s="1451"/>
      <c r="O116" s="1971"/>
      <c r="P116" s="1971"/>
      <c r="Q116" s="2195"/>
      <c r="R116" s="1280"/>
      <c r="S116" s="1280"/>
      <c r="U116" s="1495"/>
    </row>
    <row r="117" spans="5:21" s="1285" customFormat="1" ht="35.1" customHeight="1">
      <c r="E117" s="2195"/>
      <c r="G117" s="2186">
        <f>'NT-VT'!A121</f>
        <v>116</v>
      </c>
      <c r="H117" s="2187" t="str">
        <f t="shared" si="20"/>
        <v>nt</v>
      </c>
      <c r="I117" s="2187" t="str">
        <f t="shared" si="21"/>
        <v>nt</v>
      </c>
      <c r="J117" s="2196" t="str">
        <f t="shared" si="22"/>
        <v>nt</v>
      </c>
      <c r="K117" s="2197" t="str">
        <f t="shared" si="23"/>
        <v>nt</v>
      </c>
      <c r="L117" s="2087"/>
      <c r="M117" s="1451"/>
      <c r="O117" s="1971"/>
      <c r="P117" s="1971"/>
      <c r="Q117" s="2195"/>
      <c r="R117" s="1280"/>
      <c r="S117" s="1280"/>
      <c r="U117" s="1495"/>
    </row>
    <row r="118" spans="5:21" s="1285" customFormat="1" ht="35.1" customHeight="1">
      <c r="E118" s="2195"/>
      <c r="G118" s="2186">
        <f>'NT-VT'!A122</f>
        <v>117</v>
      </c>
      <c r="H118" s="2187" t="str">
        <f t="shared" si="20"/>
        <v>nt</v>
      </c>
      <c r="I118" s="2187" t="str">
        <f t="shared" si="21"/>
        <v>nt</v>
      </c>
      <c r="J118" s="2196" t="str">
        <f t="shared" si="22"/>
        <v>nt</v>
      </c>
      <c r="K118" s="2197" t="str">
        <f t="shared" si="23"/>
        <v>nt</v>
      </c>
      <c r="L118" s="2087"/>
      <c r="M118" s="1451"/>
      <c r="O118" s="1971"/>
      <c r="P118" s="1971"/>
      <c r="Q118" s="2195"/>
      <c r="R118" s="1280"/>
      <c r="S118" s="1280"/>
      <c r="U118" s="1495"/>
    </row>
    <row r="119" spans="5:21" s="1285" customFormat="1" ht="35.1" customHeight="1">
      <c r="E119" s="2195"/>
      <c r="G119" s="2186">
        <f>'NT-VT'!A123</f>
        <v>118</v>
      </c>
      <c r="H119" s="2187" t="str">
        <f t="shared" si="20"/>
        <v>nt</v>
      </c>
      <c r="I119" s="2187" t="str">
        <f t="shared" si="21"/>
        <v>nt</v>
      </c>
      <c r="J119" s="2196" t="str">
        <f t="shared" si="22"/>
        <v>nt</v>
      </c>
      <c r="K119" s="2197" t="str">
        <f t="shared" si="23"/>
        <v>nt</v>
      </c>
      <c r="L119" s="2087"/>
      <c r="M119" s="1451"/>
      <c r="O119" s="1971"/>
      <c r="P119" s="1971"/>
      <c r="Q119" s="2195"/>
      <c r="R119" s="1280"/>
      <c r="S119" s="1280"/>
      <c r="U119" s="1495"/>
    </row>
    <row r="120" spans="5:21" s="1285" customFormat="1" ht="35.1" customHeight="1">
      <c r="E120" s="2195"/>
      <c r="G120" s="2186">
        <f>'NT-VT'!A124</f>
        <v>119</v>
      </c>
      <c r="H120" s="2187" t="str">
        <f t="shared" si="20"/>
        <v>nt</v>
      </c>
      <c r="I120" s="2187" t="str">
        <f t="shared" si="21"/>
        <v>nt</v>
      </c>
      <c r="J120" s="2196" t="str">
        <f t="shared" si="22"/>
        <v>nt</v>
      </c>
      <c r="K120" s="2197" t="str">
        <f t="shared" si="23"/>
        <v>nt</v>
      </c>
      <c r="L120" s="2087"/>
      <c r="M120" s="1451"/>
      <c r="O120" s="1971"/>
      <c r="P120" s="1971"/>
      <c r="Q120" s="2195"/>
      <c r="R120" s="1280"/>
      <c r="S120" s="1280"/>
      <c r="U120" s="1495"/>
    </row>
    <row r="121" spans="5:21" s="1285" customFormat="1" ht="35.1" customHeight="1">
      <c r="E121" s="2195"/>
      <c r="G121" s="2186">
        <f>'NT-VT'!A125</f>
        <v>120</v>
      </c>
      <c r="H121" s="2187" t="str">
        <f t="shared" si="20"/>
        <v>nt</v>
      </c>
      <c r="I121" s="2187" t="str">
        <f t="shared" si="21"/>
        <v>nt</v>
      </c>
      <c r="J121" s="2196" t="str">
        <f t="shared" si="22"/>
        <v>nt</v>
      </c>
      <c r="K121" s="2197" t="str">
        <f t="shared" si="23"/>
        <v>nt</v>
      </c>
      <c r="L121" s="2087"/>
      <c r="M121" s="1451"/>
      <c r="O121" s="1971"/>
      <c r="P121" s="1971"/>
      <c r="Q121" s="2195"/>
      <c r="R121" s="1280"/>
      <c r="S121" s="1280"/>
      <c r="U121" s="1495"/>
    </row>
    <row r="122" spans="5:21" s="1285" customFormat="1" ht="35.1" customHeight="1">
      <c r="E122" s="2195"/>
      <c r="G122" s="2186">
        <f>'NT-VT'!A126</f>
        <v>121</v>
      </c>
      <c r="H122" s="2187" t="str">
        <f t="shared" si="20"/>
        <v>nt</v>
      </c>
      <c r="I122" s="2187" t="str">
        <f t="shared" si="21"/>
        <v>nt</v>
      </c>
      <c r="J122" s="2196" t="str">
        <f t="shared" si="22"/>
        <v>nt</v>
      </c>
      <c r="K122" s="2197" t="str">
        <f t="shared" si="23"/>
        <v>nt</v>
      </c>
      <c r="L122" s="2087"/>
      <c r="M122" s="1451"/>
      <c r="O122" s="1971"/>
      <c r="P122" s="1971"/>
      <c r="Q122" s="2195"/>
      <c r="R122" s="1280"/>
      <c r="S122" s="1280"/>
      <c r="U122" s="1495"/>
    </row>
    <row r="123" spans="5:21" s="1285" customFormat="1" ht="35.1" customHeight="1">
      <c r="E123" s="2195"/>
      <c r="G123" s="2186">
        <f>'NT-VT'!A127</f>
        <v>122</v>
      </c>
      <c r="H123" s="2187" t="str">
        <f t="shared" si="20"/>
        <v>nt</v>
      </c>
      <c r="I123" s="2187" t="str">
        <f t="shared" si="21"/>
        <v>nt</v>
      </c>
      <c r="J123" s="2196" t="str">
        <f t="shared" si="22"/>
        <v>nt</v>
      </c>
      <c r="K123" s="2197" t="str">
        <f t="shared" si="23"/>
        <v>nt</v>
      </c>
      <c r="L123" s="2087"/>
      <c r="M123" s="1451"/>
      <c r="O123" s="1971"/>
      <c r="P123" s="1971"/>
      <c r="Q123" s="2195"/>
      <c r="R123" s="1280"/>
      <c r="S123" s="1280"/>
      <c r="U123" s="1495"/>
    </row>
    <row r="124" spans="5:21" s="1285" customFormat="1" ht="35.1" customHeight="1">
      <c r="E124" s="2195"/>
      <c r="G124" s="2186">
        <f>'NT-VT'!A128</f>
        <v>0</v>
      </c>
      <c r="H124" s="2187" t="str">
        <f t="shared" si="20"/>
        <v>nt</v>
      </c>
      <c r="I124" s="2187" t="str">
        <f t="shared" si="21"/>
        <v>nt</v>
      </c>
      <c r="J124" s="2196" t="str">
        <f t="shared" si="22"/>
        <v>nt</v>
      </c>
      <c r="K124" s="2197" t="str">
        <f t="shared" si="23"/>
        <v>nt</v>
      </c>
      <c r="L124" s="2087"/>
      <c r="M124" s="1451"/>
      <c r="O124" s="1971"/>
      <c r="P124" s="1971"/>
      <c r="Q124" s="2195"/>
      <c r="R124" s="1280"/>
      <c r="S124" s="1280"/>
      <c r="U124" s="1495"/>
    </row>
    <row r="125" spans="5:21" s="1285" customFormat="1" ht="35.1" customHeight="1">
      <c r="E125" s="2195"/>
      <c r="G125" s="2186">
        <f>'NT-VT'!A129</f>
        <v>0</v>
      </c>
      <c r="H125" s="2187" t="str">
        <f t="shared" si="20"/>
        <v>nt</v>
      </c>
      <c r="I125" s="2187" t="str">
        <f t="shared" si="21"/>
        <v>nt</v>
      </c>
      <c r="J125" s="2196" t="str">
        <f t="shared" si="22"/>
        <v>nt</v>
      </c>
      <c r="K125" s="2197" t="str">
        <f t="shared" si="23"/>
        <v>nt</v>
      </c>
      <c r="L125" s="2087"/>
      <c r="M125" s="1451"/>
      <c r="O125" s="1971"/>
      <c r="P125" s="1971"/>
      <c r="Q125" s="2195"/>
      <c r="R125" s="1280"/>
      <c r="S125" s="1280"/>
      <c r="U125" s="1495"/>
    </row>
    <row r="126" spans="5:21" s="1285" customFormat="1" ht="35.1" customHeight="1">
      <c r="E126" s="2195"/>
      <c r="G126" s="2186">
        <f>'NT-VT'!A130</f>
        <v>0</v>
      </c>
      <c r="H126" s="2187" t="str">
        <f t="shared" si="20"/>
        <v>nt</v>
      </c>
      <c r="I126" s="2187" t="str">
        <f t="shared" si="21"/>
        <v>nt</v>
      </c>
      <c r="J126" s="2196" t="str">
        <f t="shared" si="22"/>
        <v>nt</v>
      </c>
      <c r="K126" s="2197" t="str">
        <f t="shared" si="23"/>
        <v>nt</v>
      </c>
      <c r="L126" s="2087"/>
      <c r="M126" s="1451"/>
      <c r="O126" s="1971"/>
      <c r="P126" s="1971"/>
      <c r="Q126" s="2195"/>
      <c r="R126" s="1280"/>
      <c r="S126" s="1280"/>
      <c r="U126" s="1495"/>
    </row>
    <row r="127" spans="5:21" s="1285" customFormat="1" ht="35.1" customHeight="1">
      <c r="E127" s="2195"/>
      <c r="G127" s="2186">
        <f>'NT-VT'!A131</f>
        <v>0</v>
      </c>
      <c r="H127" s="2187" t="str">
        <f t="shared" si="20"/>
        <v>nt</v>
      </c>
      <c r="I127" s="2187" t="str">
        <f t="shared" si="21"/>
        <v>nt</v>
      </c>
      <c r="J127" s="2196" t="str">
        <f t="shared" si="22"/>
        <v>nt</v>
      </c>
      <c r="K127" s="2197" t="str">
        <f t="shared" si="23"/>
        <v>nt</v>
      </c>
      <c r="L127" s="2087"/>
      <c r="M127" s="1451"/>
      <c r="O127" s="1971"/>
      <c r="P127" s="1971"/>
      <c r="Q127" s="2195"/>
      <c r="R127" s="1280"/>
      <c r="S127" s="1280"/>
      <c r="U127" s="1495"/>
    </row>
    <row r="128" spans="5:21" s="1285" customFormat="1" ht="35.1" customHeight="1">
      <c r="E128" s="2195"/>
      <c r="G128" s="2186">
        <f>'NT-VT'!A132</f>
        <v>0</v>
      </c>
      <c r="H128" s="2187" t="str">
        <f t="shared" si="20"/>
        <v>nt</v>
      </c>
      <c r="I128" s="2187" t="str">
        <f t="shared" si="21"/>
        <v>nt</v>
      </c>
      <c r="J128" s="2196" t="str">
        <f t="shared" si="22"/>
        <v>nt</v>
      </c>
      <c r="K128" s="2197" t="str">
        <f t="shared" si="23"/>
        <v>nt</v>
      </c>
      <c r="L128" s="2087"/>
      <c r="M128" s="1451"/>
      <c r="O128" s="1971"/>
      <c r="P128" s="1971"/>
      <c r="Q128" s="2195"/>
      <c r="R128" s="1280"/>
      <c r="S128" s="1280"/>
      <c r="U128" s="1495"/>
    </row>
    <row r="129" spans="5:21" s="1285" customFormat="1" ht="35.1" customHeight="1">
      <c r="E129" s="2195"/>
      <c r="G129" s="2186">
        <f>'NT-VT'!A133</f>
        <v>0</v>
      </c>
      <c r="H129" s="2187" t="str">
        <f t="shared" si="20"/>
        <v>nt</v>
      </c>
      <c r="I129" s="2187" t="str">
        <f t="shared" si="21"/>
        <v>nt</v>
      </c>
      <c r="J129" s="2196" t="str">
        <f t="shared" si="22"/>
        <v>nt</v>
      </c>
      <c r="K129" s="2197" t="str">
        <f t="shared" si="23"/>
        <v>nt</v>
      </c>
      <c r="L129" s="2087"/>
      <c r="M129" s="1451"/>
      <c r="O129" s="1971"/>
      <c r="P129" s="1971"/>
      <c r="Q129" s="2195"/>
      <c r="R129" s="1280"/>
      <c r="S129" s="1280"/>
      <c r="U129" s="1495"/>
    </row>
    <row r="130" spans="5:21" s="1285" customFormat="1" ht="35.1" customHeight="1">
      <c r="E130" s="2195"/>
      <c r="G130" s="2186">
        <f>'NT-VT'!A134</f>
        <v>0</v>
      </c>
      <c r="H130" s="2187" t="str">
        <f t="shared" si="20"/>
        <v>nt</v>
      </c>
      <c r="I130" s="2187" t="str">
        <f t="shared" si="21"/>
        <v>nt</v>
      </c>
      <c r="J130" s="2196" t="str">
        <f t="shared" si="22"/>
        <v>nt</v>
      </c>
      <c r="K130" s="2197" t="str">
        <f t="shared" si="23"/>
        <v>nt</v>
      </c>
      <c r="L130" s="2087"/>
      <c r="M130" s="1451"/>
      <c r="O130" s="1971"/>
      <c r="P130" s="1971"/>
      <c r="Q130" s="2195"/>
      <c r="R130" s="1280"/>
      <c r="S130" s="1280"/>
      <c r="U130" s="1495"/>
    </row>
    <row r="131" spans="5:21" s="1285" customFormat="1" ht="35.1" customHeight="1">
      <c r="E131" s="2195"/>
      <c r="G131" s="2186">
        <f>'NT-VT'!A135</f>
        <v>0</v>
      </c>
      <c r="H131" s="2187" t="str">
        <f t="shared" si="20"/>
        <v>nt</v>
      </c>
      <c r="I131" s="2187" t="str">
        <f t="shared" si="21"/>
        <v>nt</v>
      </c>
      <c r="J131" s="2196" t="str">
        <f t="shared" si="22"/>
        <v>nt</v>
      </c>
      <c r="K131" s="2197" t="str">
        <f t="shared" si="23"/>
        <v>nt</v>
      </c>
      <c r="L131" s="2087"/>
      <c r="M131" s="1451"/>
      <c r="O131" s="1971"/>
      <c r="P131" s="1971"/>
      <c r="Q131" s="2195"/>
      <c r="R131" s="1280"/>
      <c r="S131" s="1280"/>
      <c r="U131" s="1495"/>
    </row>
    <row r="132" spans="5:21" s="1285" customFormat="1" ht="35.1" customHeight="1">
      <c r="E132" s="2195"/>
      <c r="G132" s="2186">
        <f>'NT-VT'!A136</f>
        <v>0</v>
      </c>
      <c r="H132" s="2187" t="str">
        <f t="shared" si="20"/>
        <v>nt</v>
      </c>
      <c r="I132" s="2187" t="str">
        <f t="shared" si="21"/>
        <v>nt</v>
      </c>
      <c r="J132" s="2196" t="str">
        <f t="shared" si="22"/>
        <v>nt</v>
      </c>
      <c r="K132" s="2197" t="str">
        <f t="shared" si="23"/>
        <v>nt</v>
      </c>
      <c r="L132" s="2087"/>
      <c r="M132" s="1451"/>
      <c r="O132" s="1971"/>
      <c r="P132" s="1971"/>
      <c r="Q132" s="2195"/>
      <c r="R132" s="1280"/>
      <c r="S132" s="1280"/>
      <c r="U132" s="1495"/>
    </row>
    <row r="133" spans="5:21" s="1285" customFormat="1" ht="35.1" customHeight="1">
      <c r="E133" s="2195"/>
      <c r="G133" s="2186">
        <f>'NT-VT'!A137</f>
        <v>0</v>
      </c>
      <c r="H133" s="2187" t="str">
        <f t="shared" si="20"/>
        <v>nt</v>
      </c>
      <c r="I133" s="2187" t="str">
        <f t="shared" si="21"/>
        <v>nt</v>
      </c>
      <c r="J133" s="2196" t="str">
        <f t="shared" si="22"/>
        <v>nt</v>
      </c>
      <c r="K133" s="2197" t="str">
        <f t="shared" si="23"/>
        <v>nt</v>
      </c>
      <c r="L133" s="2087"/>
      <c r="M133" s="1451"/>
      <c r="O133" s="1971"/>
      <c r="P133" s="1971"/>
      <c r="Q133" s="2195"/>
      <c r="R133" s="1280"/>
      <c r="S133" s="1280"/>
      <c r="U133" s="1495"/>
    </row>
    <row r="134" spans="5:21" s="1285" customFormat="1" ht="35.1" customHeight="1">
      <c r="E134" s="2195"/>
      <c r="G134" s="2186">
        <f>'NT-VT'!A138</f>
        <v>0</v>
      </c>
      <c r="H134" s="2187" t="str">
        <f t="shared" si="20"/>
        <v>nt</v>
      </c>
      <c r="I134" s="2187" t="str">
        <f t="shared" si="21"/>
        <v>nt</v>
      </c>
      <c r="J134" s="2196" t="str">
        <f t="shared" si="22"/>
        <v>nt</v>
      </c>
      <c r="K134" s="2197" t="str">
        <f t="shared" si="23"/>
        <v>nt</v>
      </c>
      <c r="L134" s="2087"/>
      <c r="M134" s="1451"/>
      <c r="O134" s="1971"/>
      <c r="P134" s="1971"/>
      <c r="Q134" s="2195"/>
      <c r="R134" s="1280"/>
      <c r="S134" s="1280"/>
      <c r="U134" s="1495"/>
    </row>
    <row r="135" spans="5:21" s="1285" customFormat="1" ht="35.1" customHeight="1">
      <c r="E135" s="2195"/>
      <c r="G135" s="1971"/>
      <c r="H135" s="2086"/>
      <c r="I135" s="2086"/>
      <c r="J135" s="2087"/>
      <c r="K135" s="2087"/>
      <c r="L135" s="2087"/>
      <c r="M135" s="1451"/>
      <c r="O135" s="1971"/>
      <c r="P135" s="1971"/>
      <c r="Q135" s="2195"/>
      <c r="R135" s="1280"/>
      <c r="S135" s="1280"/>
      <c r="U135" s="1495"/>
    </row>
    <row r="136" spans="5:21" s="1285" customFormat="1" ht="35.1" customHeight="1">
      <c r="E136" s="2195"/>
      <c r="G136" s="1971"/>
      <c r="H136" s="2086"/>
      <c r="I136" s="2086"/>
      <c r="J136" s="2087"/>
      <c r="K136" s="2087"/>
      <c r="L136" s="2087"/>
      <c r="M136" s="1451"/>
      <c r="O136" s="1971"/>
      <c r="P136" s="1971"/>
      <c r="Q136" s="2195"/>
      <c r="R136" s="1280"/>
      <c r="S136" s="1280"/>
      <c r="U136" s="1495"/>
    </row>
    <row r="137" spans="5:21" s="1285" customFormat="1" ht="35.1" customHeight="1">
      <c r="E137" s="2195"/>
      <c r="G137" s="1971"/>
      <c r="H137" s="2086"/>
      <c r="I137" s="2086"/>
      <c r="J137" s="2087"/>
      <c r="K137" s="2087"/>
      <c r="L137" s="2087"/>
      <c r="M137" s="1451"/>
      <c r="O137" s="1971"/>
      <c r="P137" s="1971"/>
      <c r="Q137" s="2195"/>
      <c r="R137" s="1280"/>
      <c r="S137" s="1280"/>
      <c r="U137" s="1495"/>
    </row>
    <row r="138" spans="5:21" s="1285" customFormat="1" ht="35.1" customHeight="1">
      <c r="E138" s="2195"/>
      <c r="G138" s="1971"/>
      <c r="H138" s="2086"/>
      <c r="I138" s="2086"/>
      <c r="J138" s="2087"/>
      <c r="K138" s="2087"/>
      <c r="L138" s="2087"/>
      <c r="M138" s="1451"/>
      <c r="O138" s="1971"/>
      <c r="P138" s="1971"/>
      <c r="Q138" s="2195"/>
      <c r="R138" s="1280"/>
      <c r="S138" s="1280"/>
      <c r="U138" s="1495"/>
    </row>
    <row r="139" spans="5:21" s="1285" customFormat="1" ht="35.1" customHeight="1">
      <c r="E139" s="2195"/>
      <c r="G139" s="1971"/>
      <c r="H139" s="2086"/>
      <c r="I139" s="2086"/>
      <c r="J139" s="2087"/>
      <c r="K139" s="2087"/>
      <c r="L139" s="2087"/>
      <c r="M139" s="1451"/>
      <c r="O139" s="1971"/>
      <c r="P139" s="1971"/>
      <c r="Q139" s="2195"/>
      <c r="R139" s="1280"/>
      <c r="S139" s="1280"/>
      <c r="U139" s="1495"/>
    </row>
    <row r="140" spans="5:21" s="1285" customFormat="1" ht="35.1" customHeight="1">
      <c r="E140" s="2195"/>
      <c r="G140" s="1971"/>
      <c r="H140" s="2086"/>
      <c r="I140" s="2086"/>
      <c r="J140" s="2087"/>
      <c r="K140" s="2087"/>
      <c r="L140" s="2087"/>
      <c r="M140" s="1451"/>
      <c r="O140" s="1971"/>
      <c r="P140" s="1971"/>
      <c r="Q140" s="2195"/>
      <c r="R140" s="1280"/>
      <c r="S140" s="1280"/>
      <c r="U140" s="1495"/>
    </row>
    <row r="141" spans="5:21" s="1285" customFormat="1" ht="35.1" customHeight="1">
      <c r="E141" s="2195"/>
      <c r="G141" s="1971"/>
      <c r="H141" s="2086"/>
      <c r="I141" s="2086"/>
      <c r="J141" s="2087"/>
      <c r="K141" s="2087"/>
      <c r="L141" s="2087"/>
      <c r="M141" s="1451"/>
      <c r="O141" s="1971"/>
      <c r="P141" s="1971"/>
      <c r="Q141" s="2195"/>
      <c r="R141" s="1280"/>
      <c r="S141" s="1280"/>
      <c r="U141" s="1495"/>
    </row>
    <row r="142" spans="5:21" s="1285" customFormat="1" ht="35.1" customHeight="1">
      <c r="E142" s="2195"/>
      <c r="G142" s="1971"/>
      <c r="H142" s="2086"/>
      <c r="I142" s="2086"/>
      <c r="J142" s="2087"/>
      <c r="K142" s="2087"/>
      <c r="L142" s="2087"/>
      <c r="M142" s="1451"/>
      <c r="O142" s="1971"/>
      <c r="P142" s="1971"/>
      <c r="Q142" s="2195"/>
      <c r="R142" s="1280"/>
      <c r="S142" s="1280"/>
      <c r="U142" s="1495"/>
    </row>
    <row r="143" spans="5:21" s="1285" customFormat="1" ht="35.1" customHeight="1">
      <c r="E143" s="2195"/>
      <c r="G143" s="1971"/>
      <c r="H143" s="2086"/>
      <c r="I143" s="2086"/>
      <c r="J143" s="2087"/>
      <c r="K143" s="2087"/>
      <c r="L143" s="2087"/>
      <c r="M143" s="1451"/>
      <c r="O143" s="1971"/>
      <c r="P143" s="1971"/>
      <c r="Q143" s="2195"/>
      <c r="R143" s="1280"/>
      <c r="S143" s="1280"/>
      <c r="U143" s="1495"/>
    </row>
    <row r="144" spans="5:21" s="1285" customFormat="1" ht="35.1" customHeight="1">
      <c r="E144" s="2195"/>
      <c r="G144" s="1971"/>
      <c r="H144" s="2086"/>
      <c r="I144" s="2086"/>
      <c r="J144" s="2087"/>
      <c r="K144" s="2087"/>
      <c r="L144" s="2087"/>
      <c r="M144" s="1451"/>
      <c r="O144" s="1971"/>
      <c r="P144" s="1971"/>
      <c r="Q144" s="2195"/>
      <c r="R144" s="1280"/>
      <c r="S144" s="1280"/>
      <c r="U144" s="1495"/>
    </row>
    <row r="145" spans="5:68" s="1285" customFormat="1" ht="35.1" customHeight="1">
      <c r="E145" s="2195"/>
      <c r="G145" s="1971"/>
      <c r="H145" s="2086"/>
      <c r="I145" s="2086"/>
      <c r="J145" s="2087"/>
      <c r="K145" s="2087"/>
      <c r="L145" s="2087"/>
      <c r="M145" s="1451"/>
      <c r="O145" s="1971"/>
      <c r="P145" s="1971"/>
      <c r="Q145" s="2195"/>
      <c r="R145" s="1280"/>
      <c r="S145" s="1280"/>
      <c r="U145" s="1495"/>
    </row>
    <row r="146" spans="5:68" s="1285" customFormat="1" ht="35.1" customHeight="1">
      <c r="E146" s="2195"/>
      <c r="G146" s="1971"/>
      <c r="H146" s="1971"/>
      <c r="I146" s="1971"/>
      <c r="J146" s="2087"/>
      <c r="K146" s="2087"/>
      <c r="L146" s="2087"/>
      <c r="M146" s="1451"/>
      <c r="O146" s="1971"/>
      <c r="P146" s="1971"/>
      <c r="Q146" s="2195"/>
      <c r="R146" s="1280"/>
      <c r="S146" s="1280"/>
      <c r="U146" s="1495"/>
    </row>
    <row r="147" spans="5:68" s="1285" customFormat="1" ht="35.1" customHeight="1">
      <c r="E147" s="2195"/>
      <c r="G147" s="1971"/>
      <c r="H147" s="1971"/>
      <c r="I147" s="1971"/>
      <c r="J147" s="2087"/>
      <c r="K147" s="2087"/>
      <c r="L147" s="2087"/>
      <c r="M147" s="1451"/>
      <c r="O147" s="1971"/>
      <c r="P147" s="1971"/>
      <c r="Q147" s="2195"/>
      <c r="R147" s="1280"/>
      <c r="S147" s="1280"/>
      <c r="U147" s="1495"/>
    </row>
    <row r="148" spans="5:68" s="1285" customFormat="1" ht="35.1" customHeight="1">
      <c r="E148" s="2195"/>
      <c r="G148" s="1971"/>
      <c r="H148" s="1971"/>
      <c r="I148" s="1971"/>
      <c r="J148" s="2087"/>
      <c r="K148" s="2087"/>
      <c r="L148" s="2087"/>
      <c r="M148" s="1451"/>
      <c r="O148" s="1971"/>
      <c r="P148" s="1971"/>
      <c r="Q148" s="2195"/>
      <c r="R148" s="1280"/>
      <c r="S148" s="1280"/>
      <c r="U148" s="1495"/>
    </row>
    <row r="149" spans="5:68" s="1285" customFormat="1" ht="35.1" customHeight="1">
      <c r="E149" s="2195"/>
      <c r="G149" s="1971"/>
      <c r="H149" s="2086"/>
      <c r="I149" s="2086"/>
      <c r="J149" s="2087"/>
      <c r="K149" s="2087"/>
      <c r="L149" s="2087"/>
      <c r="M149" s="1451"/>
      <c r="O149" s="1971"/>
      <c r="P149" s="1971"/>
      <c r="Q149" s="2195"/>
      <c r="R149" s="1280"/>
      <c r="S149" s="1280"/>
      <c r="U149" s="1495"/>
    </row>
    <row r="150" spans="5:68" ht="35.1" customHeight="1">
      <c r="BJ150" s="1008"/>
      <c r="BK150" s="1453" t="s">
        <v>4425</v>
      </c>
      <c r="BL150" s="1454"/>
      <c r="BM150" s="1008"/>
      <c r="BN150" s="1010"/>
      <c r="BP150" s="2185"/>
    </row>
    <row r="151" spans="5:68" ht="35.1" customHeight="1">
      <c r="BJ151" s="1003">
        <v>6</v>
      </c>
      <c r="BK151" s="1453" t="s">
        <v>4237</v>
      </c>
      <c r="BL151" s="1454"/>
      <c r="BM151" s="1003"/>
      <c r="BN151" s="988" t="s">
        <v>4217</v>
      </c>
      <c r="BP151" s="2185"/>
    </row>
    <row r="152" spans="5:68" ht="35.1" customHeight="1">
      <c r="BJ152" s="1005"/>
      <c r="BK152" s="1453" t="s">
        <v>4426</v>
      </c>
      <c r="BL152" s="1454"/>
      <c r="BM152" s="1005"/>
      <c r="BN152" s="1007"/>
      <c r="BP152" s="2185"/>
    </row>
    <row r="153" spans="5:68" ht="35.1" customHeight="1">
      <c r="BJ153" s="1005"/>
      <c r="BK153" s="1453" t="s">
        <v>4427</v>
      </c>
      <c r="BL153" s="1454"/>
      <c r="BM153" s="1005"/>
      <c r="BN153" s="1007"/>
      <c r="BP153" s="2185"/>
    </row>
    <row r="154" spans="5:68" ht="35.1" customHeight="1">
      <c r="BJ154" s="1005"/>
      <c r="BK154" s="1453" t="s">
        <v>4428</v>
      </c>
      <c r="BL154" s="1454"/>
      <c r="BM154" s="1005"/>
      <c r="BN154" s="1007"/>
      <c r="BP154" s="2185"/>
    </row>
    <row r="155" spans="5:68" ht="35.1" customHeight="1">
      <c r="BJ155" s="1008"/>
      <c r="BK155" s="1453" t="s">
        <v>4429</v>
      </c>
      <c r="BL155" s="1454"/>
      <c r="BM155" s="1008"/>
      <c r="BN155" s="1010"/>
      <c r="BP155" s="2185"/>
    </row>
    <row r="156" spans="5:68" ht="35.1" customHeight="1">
      <c r="BJ156" s="996" t="s">
        <v>501</v>
      </c>
      <c r="BK156" s="1455" t="s">
        <v>4430</v>
      </c>
      <c r="BL156" s="1456"/>
      <c r="BM156" s="887" t="e">
        <v>#N/A</v>
      </c>
      <c r="BN156" s="892"/>
      <c r="BP156" s="2185"/>
    </row>
    <row r="157" spans="5:68" ht="35.1" customHeight="1">
      <c r="BJ157" s="1003">
        <v>1</v>
      </c>
      <c r="BK157" s="1453" t="s">
        <v>4425</v>
      </c>
      <c r="BL157" s="1454"/>
      <c r="BM157" s="1004"/>
      <c r="BN157" s="988" t="s">
        <v>4217</v>
      </c>
      <c r="BP157" s="2185"/>
    </row>
    <row r="158" spans="5:68" ht="35.1" customHeight="1">
      <c r="BJ158" s="1005"/>
      <c r="BK158" s="1453" t="s">
        <v>4425</v>
      </c>
      <c r="BL158" s="1454"/>
      <c r="BM158" s="1006"/>
      <c r="BN158" s="1007"/>
      <c r="BP158" s="2185"/>
    </row>
    <row r="159" spans="5:68" ht="35.1" customHeight="1">
      <c r="BJ159" s="1005"/>
      <c r="BK159" s="1453" t="s">
        <v>4425</v>
      </c>
      <c r="BL159" s="1454"/>
      <c r="BM159" s="1006"/>
      <c r="BN159" s="1007"/>
      <c r="BP159" s="2185"/>
    </row>
    <row r="160" spans="5:68" ht="35.1" customHeight="1">
      <c r="BJ160" s="1005"/>
      <c r="BK160" s="1453" t="s">
        <v>4425</v>
      </c>
      <c r="BL160" s="1454"/>
      <c r="BM160" s="1006"/>
      <c r="BN160" s="1007"/>
      <c r="BP160" s="2185"/>
    </row>
    <row r="161" spans="62:68" ht="35.1" customHeight="1">
      <c r="BJ161" s="1005"/>
      <c r="BK161" s="1453" t="s">
        <v>4425</v>
      </c>
      <c r="BL161" s="1454"/>
      <c r="BM161" s="1006"/>
      <c r="BN161" s="1007"/>
      <c r="BP161" s="2185"/>
    </row>
    <row r="162" spans="62:68" ht="35.1" customHeight="1">
      <c r="BJ162" s="1005"/>
      <c r="BK162" s="1453" t="s">
        <v>4425</v>
      </c>
      <c r="BL162" s="1454"/>
      <c r="BM162" s="1006"/>
      <c r="BN162" s="1007"/>
      <c r="BP162" s="2185"/>
    </row>
    <row r="163" spans="62:68" ht="35.1" customHeight="1">
      <c r="BJ163" s="1008"/>
      <c r="BK163" s="1453" t="s">
        <v>4425</v>
      </c>
      <c r="BL163" s="1454"/>
      <c r="BM163" s="1009"/>
      <c r="BN163" s="1010"/>
      <c r="BP163" s="2185"/>
    </row>
  </sheetData>
  <phoneticPr fontId="0" type="noConversion"/>
  <conditionalFormatting sqref="G2:G134">
    <cfRule type="duplicateValues" dxfId="31" priority="13"/>
  </conditionalFormatting>
  <conditionalFormatting sqref="G44">
    <cfRule type="duplicateValues" dxfId="30" priority="12"/>
  </conditionalFormatting>
  <conditionalFormatting sqref="G47">
    <cfRule type="duplicateValues" dxfId="29" priority="11"/>
  </conditionalFormatting>
  <conditionalFormatting sqref="G52">
    <cfRule type="duplicateValues" dxfId="28" priority="10"/>
  </conditionalFormatting>
  <conditionalFormatting sqref="G53:G55">
    <cfRule type="duplicateValues" dxfId="27" priority="9"/>
  </conditionalFormatting>
  <conditionalFormatting sqref="G56:G57">
    <cfRule type="duplicateValues" dxfId="26" priority="8"/>
  </conditionalFormatting>
  <conditionalFormatting sqref="G43">
    <cfRule type="duplicateValues" dxfId="25" priority="7"/>
  </conditionalFormatting>
  <conditionalFormatting sqref="G203:G1048576 G149:G193 G1:G145">
    <cfRule type="duplicateValues" dxfId="24" priority="6"/>
  </conditionalFormatting>
  <conditionalFormatting sqref="Q23 Q25:Q30 Q33:Q1048576 Q1:Q21">
    <cfRule type="duplicateValues" dxfId="23" priority="5"/>
  </conditionalFormatting>
  <conditionalFormatting sqref="Q22">
    <cfRule type="duplicateValues" dxfId="22" priority="4"/>
  </conditionalFormatting>
  <conditionalFormatting sqref="Q24">
    <cfRule type="duplicateValues" dxfId="21" priority="3"/>
  </conditionalFormatting>
  <conditionalFormatting sqref="Q31">
    <cfRule type="duplicateValues" dxfId="20" priority="2"/>
  </conditionalFormatting>
  <conditionalFormatting sqref="Q32">
    <cfRule type="duplicateValues" dxfId="19" priority="1"/>
  </conditionalFormatting>
  <dataValidations count="4">
    <dataValidation allowBlank="1" showInputMessage="1" sqref="U2:U11 T3:T7 T9:T11 J2:K134" xr:uid="{00000000-0002-0000-2100-000000000000}"/>
    <dataValidation type="list" allowBlank="1" showInputMessage="1" showErrorMessage="1" sqref="O2" xr:uid="{00000000-0002-0000-2100-000001000000}">
      <formula1>"/BB-PECJC,/BB-TNĐ"</formula1>
    </dataValidation>
    <dataValidation type="list" allowBlank="1" showInputMessage="1" sqref="R15:S17 R19:S26 R28:R29 R30:S32 R2:S11 H3:I134" xr:uid="{00000000-0002-0000-2100-000002000000}">
      <formula1>$Z$2:$Z$19</formula1>
    </dataValidation>
    <dataValidation type="list" allowBlank="1" showInputMessage="1" sqref="H2:I2" xr:uid="{00000000-0002-0000-2100-000003000000}">
      <formula1>$Z$2:$Z$39</formula1>
    </dataValidation>
  </dataValidations>
  <pageMargins left="0.75" right="0.75" top="1" bottom="1" header="0.5" footer="0.5"/>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8A68F-5F11-4192-9C86-7F5F87555EC3}">
  <sheetPr>
    <tabColor rgb="FFFF0000"/>
  </sheetPr>
  <dimension ref="A1:BM51"/>
  <sheetViews>
    <sheetView tabSelected="1" topLeftCell="A35" zoomScaleNormal="100" workbookViewId="0">
      <selection activeCell="BM42" sqref="BM42"/>
    </sheetView>
  </sheetViews>
  <sheetFormatPr defaultColWidth="7.453125" defaultRowHeight="13.8" outlineLevelCol="1"/>
  <cols>
    <col min="1" max="3" width="7.453125" style="2466"/>
    <col min="4" max="4" width="5" style="2466" customWidth="1"/>
    <col min="5" max="5" width="9.08984375" style="2466" hidden="1" customWidth="1"/>
    <col min="6" max="6" width="28" style="2466" customWidth="1"/>
    <col min="7" max="7" width="6.08984375" style="2476" customWidth="1"/>
    <col min="8" max="8" width="7" style="2466" customWidth="1"/>
    <col min="9" max="53" width="7" style="2475" hidden="1" customWidth="1" outlineLevel="1"/>
    <col min="54" max="56" width="7" style="2466" hidden="1" customWidth="1" outlineLevel="1"/>
    <col min="57" max="57" width="7" style="2466" customWidth="1" collapsed="1"/>
    <col min="58" max="59" width="7" style="2466" customWidth="1" outlineLevel="1"/>
    <col min="60" max="60" width="12.26953125" style="2466" customWidth="1"/>
    <col min="61" max="63" width="7.453125" style="2466"/>
    <col min="64" max="64" width="14.6328125" style="2466" customWidth="1"/>
    <col min="65" max="65" width="10.453125" style="2470" customWidth="1"/>
    <col min="66" max="16384" width="7.453125" style="2466"/>
  </cols>
  <sheetData>
    <row r="1" spans="1:65" ht="30" customHeight="1">
      <c r="D1" s="2467" t="s">
        <v>5322</v>
      </c>
      <c r="E1" s="2468"/>
      <c r="F1" s="2468"/>
      <c r="G1" s="2468"/>
      <c r="H1" s="2468"/>
      <c r="I1" s="2469"/>
      <c r="J1" s="2469"/>
      <c r="K1" s="2469"/>
      <c r="L1" s="2469"/>
      <c r="M1" s="2469"/>
      <c r="N1" s="2469"/>
      <c r="O1" s="2469"/>
      <c r="P1" s="2469"/>
      <c r="Q1" s="2469"/>
      <c r="R1" s="2469"/>
      <c r="S1" s="2469"/>
      <c r="T1" s="2469"/>
      <c r="U1" s="2469"/>
      <c r="V1" s="2469"/>
      <c r="W1" s="2469"/>
      <c r="X1" s="2469"/>
      <c r="Y1" s="2469"/>
      <c r="Z1" s="2469"/>
      <c r="AA1" s="2469"/>
      <c r="AB1" s="2469"/>
      <c r="AC1" s="2469"/>
      <c r="AD1" s="2469"/>
      <c r="AE1" s="2469"/>
      <c r="AF1" s="2469"/>
      <c r="AG1" s="2469"/>
      <c r="AH1" s="2469"/>
      <c r="AI1" s="2469"/>
      <c r="AJ1" s="2469"/>
      <c r="AK1" s="2469"/>
      <c r="AL1" s="2469"/>
      <c r="AM1" s="2469"/>
      <c r="AN1" s="2469"/>
      <c r="AO1" s="2469"/>
      <c r="AP1" s="2469"/>
      <c r="AQ1" s="2469"/>
      <c r="AR1" s="2469"/>
      <c r="AS1" s="2469"/>
      <c r="AT1" s="2469"/>
      <c r="AU1" s="2469"/>
      <c r="AV1" s="2469"/>
      <c r="AW1" s="2469"/>
      <c r="AX1" s="2469"/>
      <c r="AY1" s="2469"/>
      <c r="AZ1" s="2469"/>
      <c r="BA1" s="2469"/>
      <c r="BB1" s="2468"/>
      <c r="BC1" s="2468"/>
      <c r="BD1" s="2468"/>
      <c r="BE1" s="2468"/>
      <c r="BF1" s="2468"/>
      <c r="BG1" s="2468"/>
      <c r="BH1" s="2468"/>
    </row>
    <row r="2" spans="1:65" s="2471" customFormat="1" ht="19.5" customHeight="1">
      <c r="D2" s="2472" t="s">
        <v>5317</v>
      </c>
      <c r="E2" s="2472"/>
      <c r="F2" s="2472"/>
      <c r="G2" s="2472"/>
      <c r="H2" s="2472"/>
      <c r="I2" s="2473"/>
      <c r="J2" s="2473"/>
      <c r="K2" s="2473"/>
      <c r="L2" s="2473"/>
      <c r="M2" s="2473"/>
      <c r="N2" s="2473"/>
      <c r="O2" s="2473"/>
      <c r="P2" s="2473"/>
      <c r="Q2" s="2473"/>
      <c r="R2" s="2473"/>
      <c r="S2" s="2473"/>
      <c r="T2" s="2473"/>
      <c r="U2" s="2473"/>
      <c r="V2" s="2473"/>
      <c r="W2" s="2473"/>
      <c r="X2" s="2473"/>
      <c r="Y2" s="2473"/>
      <c r="Z2" s="2473"/>
      <c r="AA2" s="2473"/>
      <c r="AB2" s="2473"/>
      <c r="AC2" s="2473"/>
      <c r="AD2" s="2473"/>
      <c r="AE2" s="2473"/>
      <c r="AF2" s="2473"/>
      <c r="AG2" s="2473"/>
      <c r="AH2" s="2473"/>
      <c r="AI2" s="2473"/>
      <c r="AJ2" s="2473"/>
      <c r="AK2" s="2473"/>
      <c r="AL2" s="2473"/>
      <c r="AM2" s="2473"/>
      <c r="AN2" s="2473"/>
      <c r="AO2" s="2473"/>
      <c r="AP2" s="2473"/>
      <c r="AQ2" s="2473"/>
      <c r="AR2" s="2473"/>
      <c r="AS2" s="2473"/>
      <c r="AT2" s="2473"/>
      <c r="AU2" s="2473"/>
      <c r="AV2" s="2473"/>
      <c r="AW2" s="2473"/>
      <c r="AX2" s="2473"/>
      <c r="AY2" s="2473"/>
      <c r="AZ2" s="2473"/>
      <c r="BA2" s="2473"/>
      <c r="BB2" s="2472"/>
      <c r="BC2" s="2472"/>
      <c r="BD2" s="2472"/>
      <c r="BE2" s="2472"/>
      <c r="BF2" s="2472"/>
      <c r="BG2" s="2472"/>
      <c r="BH2" s="2472"/>
      <c r="BM2" s="2474"/>
    </row>
    <row r="3" spans="1:65" s="2471" customFormat="1" ht="35.1" customHeight="1">
      <c r="A3" s="2471">
        <f>MAX(C:C)</f>
        <v>20</v>
      </c>
      <c r="D3" s="2472" t="s">
        <v>5318</v>
      </c>
      <c r="E3" s="2472"/>
      <c r="F3" s="2472"/>
      <c r="G3" s="2472"/>
      <c r="H3" s="2472"/>
      <c r="I3" s="2473"/>
      <c r="J3" s="2473"/>
      <c r="K3" s="2473"/>
      <c r="L3" s="2473"/>
      <c r="M3" s="2473"/>
      <c r="N3" s="2473"/>
      <c r="O3" s="2473"/>
      <c r="P3" s="2473"/>
      <c r="Q3" s="2473"/>
      <c r="R3" s="2473"/>
      <c r="S3" s="2473"/>
      <c r="T3" s="2473"/>
      <c r="U3" s="2473"/>
      <c r="V3" s="2473"/>
      <c r="W3" s="2473"/>
      <c r="X3" s="2473"/>
      <c r="Y3" s="2473"/>
      <c r="Z3" s="2473"/>
      <c r="AA3" s="2473"/>
      <c r="AB3" s="2473"/>
      <c r="AC3" s="2473"/>
      <c r="AD3" s="2473"/>
      <c r="AE3" s="2473"/>
      <c r="AF3" s="2473"/>
      <c r="AG3" s="2473"/>
      <c r="AH3" s="2473"/>
      <c r="AI3" s="2473"/>
      <c r="AJ3" s="2473"/>
      <c r="AK3" s="2473"/>
      <c r="AL3" s="2473"/>
      <c r="AM3" s="2473"/>
      <c r="AN3" s="2473"/>
      <c r="AO3" s="2473"/>
      <c r="AP3" s="2473"/>
      <c r="AQ3" s="2473"/>
      <c r="AR3" s="2473"/>
      <c r="AS3" s="2473"/>
      <c r="AT3" s="2473"/>
      <c r="AU3" s="2473"/>
      <c r="AV3" s="2473"/>
      <c r="AW3" s="2473"/>
      <c r="AX3" s="2473"/>
      <c r="AY3" s="2473"/>
      <c r="AZ3" s="2473"/>
      <c r="BA3" s="2473"/>
      <c r="BB3" s="2472"/>
      <c r="BC3" s="2472"/>
      <c r="BD3" s="2472"/>
      <c r="BE3" s="2472"/>
      <c r="BF3" s="2472"/>
      <c r="BG3" s="2472"/>
      <c r="BH3" s="2472"/>
      <c r="BM3" s="2474"/>
    </row>
    <row r="4" spans="1:65">
      <c r="D4" s="2468"/>
      <c r="E4" s="2468"/>
      <c r="F4" s="2468"/>
      <c r="G4" s="2468"/>
      <c r="H4" s="2468"/>
      <c r="I4" s="2469"/>
      <c r="J4" s="2469"/>
      <c r="K4" s="2469"/>
      <c r="L4" s="2469"/>
      <c r="M4" s="2469"/>
      <c r="N4" s="2469"/>
      <c r="O4" s="2469"/>
      <c r="P4" s="2469"/>
      <c r="Q4" s="2469"/>
      <c r="R4" s="2469"/>
      <c r="S4" s="2469"/>
      <c r="T4" s="2469"/>
      <c r="U4" s="2469"/>
      <c r="V4" s="2469"/>
      <c r="W4" s="2469"/>
      <c r="X4" s="2469"/>
      <c r="Y4" s="2469"/>
      <c r="Z4" s="2469"/>
      <c r="AA4" s="2469"/>
      <c r="AB4" s="2469"/>
      <c r="AC4" s="2469"/>
      <c r="AD4" s="2469"/>
      <c r="AE4" s="2469"/>
      <c r="AF4" s="2469"/>
      <c r="AG4" s="2469"/>
      <c r="AH4" s="2469"/>
      <c r="AI4" s="2469"/>
      <c r="AJ4" s="2469"/>
      <c r="AK4" s="2469"/>
      <c r="AL4" s="2469"/>
      <c r="AM4" s="2469"/>
      <c r="AN4" s="2469"/>
      <c r="AO4" s="2469"/>
      <c r="AP4" s="2469"/>
      <c r="AQ4" s="2469"/>
      <c r="AR4" s="2469"/>
      <c r="AS4" s="2469"/>
      <c r="AT4" s="2469"/>
    </row>
    <row r="5" spans="1:65" s="2476" customFormat="1" ht="36" customHeight="1">
      <c r="A5" s="2476" t="s">
        <v>512</v>
      </c>
      <c r="B5" s="2476" t="s">
        <v>512</v>
      </c>
      <c r="C5" s="2476" t="s">
        <v>512</v>
      </c>
      <c r="D5" s="2326" t="s">
        <v>1714</v>
      </c>
      <c r="E5" s="2477" t="s">
        <v>5240</v>
      </c>
      <c r="F5" s="2326" t="s">
        <v>5324</v>
      </c>
      <c r="G5" s="2326" t="s">
        <v>2604</v>
      </c>
      <c r="H5" s="2326" t="s">
        <v>5241</v>
      </c>
      <c r="I5" s="2478" t="s">
        <v>5242</v>
      </c>
      <c r="J5" s="2478" t="s">
        <v>5243</v>
      </c>
      <c r="K5" s="2478" t="s">
        <v>5244</v>
      </c>
      <c r="L5" s="2478"/>
      <c r="M5" s="2478"/>
      <c r="N5" s="2478"/>
      <c r="O5" s="2478" t="s">
        <v>5245</v>
      </c>
      <c r="P5" s="2478"/>
      <c r="Q5" s="2478"/>
      <c r="R5" s="2478"/>
      <c r="S5" s="2478"/>
      <c r="T5" s="2478"/>
      <c r="U5" s="2478"/>
      <c r="V5" s="2478"/>
      <c r="W5" s="2478"/>
      <c r="X5" s="2478"/>
      <c r="Y5" s="2781" t="s">
        <v>5246</v>
      </c>
      <c r="Z5" s="2781"/>
      <c r="AA5" s="2781"/>
      <c r="AB5" s="2781" t="s">
        <v>5247</v>
      </c>
      <c r="AC5" s="2781"/>
      <c r="AD5" s="2781"/>
      <c r="AE5" s="2478" t="s">
        <v>5248</v>
      </c>
      <c r="AF5" s="2478" t="s">
        <v>5249</v>
      </c>
      <c r="AG5" s="2479" t="s">
        <v>5250</v>
      </c>
      <c r="AH5" s="2479" t="s">
        <v>5251</v>
      </c>
      <c r="AI5" s="2479" t="s">
        <v>5252</v>
      </c>
      <c r="AJ5" s="2479" t="s">
        <v>5253</v>
      </c>
      <c r="AK5" s="2479" t="s">
        <v>5254</v>
      </c>
      <c r="AL5" s="2479" t="s">
        <v>5255</v>
      </c>
      <c r="AM5" s="2479" t="s">
        <v>5256</v>
      </c>
      <c r="AN5" s="2479" t="s">
        <v>5257</v>
      </c>
      <c r="AO5" s="2479" t="s">
        <v>5258</v>
      </c>
      <c r="AP5" s="2479" t="s">
        <v>5259</v>
      </c>
      <c r="AQ5" s="2479" t="s">
        <v>5260</v>
      </c>
      <c r="AR5" s="2479" t="s">
        <v>5261</v>
      </c>
      <c r="AS5" s="2479" t="s">
        <v>5262</v>
      </c>
      <c r="AT5" s="2478" t="s">
        <v>5263</v>
      </c>
      <c r="AU5" s="2480" t="s">
        <v>5264</v>
      </c>
      <c r="AV5" s="2480" t="s">
        <v>5265</v>
      </c>
      <c r="AW5" s="2782" t="s">
        <v>5266</v>
      </c>
      <c r="AX5" s="2782"/>
      <c r="AY5" s="2782"/>
      <c r="AZ5" s="2782"/>
      <c r="BA5" s="2782" t="s">
        <v>5267</v>
      </c>
      <c r="BB5" s="2782"/>
      <c r="BC5" s="2782"/>
      <c r="BD5" s="2782"/>
      <c r="BE5" s="2326" t="s">
        <v>4311</v>
      </c>
      <c r="BF5" s="2326" t="s">
        <v>4499</v>
      </c>
      <c r="BG5" s="2326" t="s">
        <v>4500</v>
      </c>
      <c r="BH5" s="2326" t="s">
        <v>2610</v>
      </c>
      <c r="BI5" s="2476" t="s">
        <v>5323</v>
      </c>
      <c r="BJ5" s="2476" t="s">
        <v>4519</v>
      </c>
      <c r="BK5" s="2476" t="s">
        <v>5268</v>
      </c>
      <c r="BL5" s="2476" t="s">
        <v>5269</v>
      </c>
      <c r="BM5" s="2481" t="s">
        <v>5270</v>
      </c>
    </row>
    <row r="6" spans="1:65" ht="31.8" customHeight="1">
      <c r="C6" s="2476" t="s">
        <v>512</v>
      </c>
      <c r="D6" s="2326" t="s">
        <v>5271</v>
      </c>
      <c r="E6" s="2326" t="s">
        <v>501</v>
      </c>
      <c r="F6" s="2482" t="s">
        <v>5272</v>
      </c>
      <c r="G6" s="2483"/>
      <c r="H6" s="2484"/>
      <c r="I6" s="2485"/>
      <c r="J6" s="2485"/>
      <c r="K6" s="2485"/>
      <c r="L6" s="2485"/>
      <c r="M6" s="2485"/>
      <c r="N6" s="2485"/>
      <c r="O6" s="2485"/>
      <c r="P6" s="2485"/>
      <c r="Q6" s="2485"/>
      <c r="R6" s="2485"/>
      <c r="S6" s="2485"/>
      <c r="T6" s="2485"/>
      <c r="U6" s="2485"/>
      <c r="V6" s="2485"/>
      <c r="W6" s="2485"/>
      <c r="X6" s="2485"/>
      <c r="Y6" s="2485"/>
      <c r="Z6" s="2485"/>
      <c r="AA6" s="2485"/>
      <c r="AB6" s="2485"/>
      <c r="AC6" s="2485"/>
      <c r="AD6" s="2485"/>
      <c r="AE6" s="2485"/>
      <c r="AF6" s="2485"/>
      <c r="AG6" s="2485"/>
      <c r="AH6" s="2485"/>
      <c r="AI6" s="2485"/>
      <c r="AJ6" s="2485"/>
      <c r="AK6" s="2485"/>
      <c r="AL6" s="2485"/>
      <c r="AM6" s="2485"/>
      <c r="AN6" s="2485"/>
      <c r="AO6" s="2485"/>
      <c r="AP6" s="2485"/>
      <c r="AQ6" s="2485"/>
      <c r="AR6" s="2485"/>
      <c r="AS6" s="2485"/>
      <c r="AT6" s="2485"/>
      <c r="AU6" s="2485" t="e">
        <f>#REF!</f>
        <v>#REF!</v>
      </c>
      <c r="AV6" s="2485" t="e">
        <f>#REF!</f>
        <v>#REF!</v>
      </c>
      <c r="AW6" s="2485" t="e">
        <f>#REF!</f>
        <v>#REF!</v>
      </c>
      <c r="AX6" s="2485" t="e">
        <f>#REF!</f>
        <v>#REF!</v>
      </c>
      <c r="AY6" s="2485" t="e">
        <f>#REF!</f>
        <v>#REF!</v>
      </c>
      <c r="AZ6" s="2485" t="e">
        <f>#REF!</f>
        <v>#REF!</v>
      </c>
      <c r="BA6" s="2485" t="e">
        <f>#REF!</f>
        <v>#REF!</v>
      </c>
      <c r="BB6" s="2484" t="e">
        <f>#REF!</f>
        <v>#REF!</v>
      </c>
      <c r="BC6" s="2484" t="e">
        <f>#REF!</f>
        <v>#REF!</v>
      </c>
      <c r="BD6" s="2484" t="e">
        <f>#REF!</f>
        <v>#REF!</v>
      </c>
      <c r="BE6" s="2484"/>
      <c r="BF6" s="2484"/>
      <c r="BG6" s="2484"/>
      <c r="BH6" s="2484"/>
      <c r="BM6" s="2466"/>
    </row>
    <row r="7" spans="1:65" ht="31.8" customHeight="1">
      <c r="D7" s="2486"/>
      <c r="E7" s="2326"/>
      <c r="F7" s="2487" t="s">
        <v>5273</v>
      </c>
      <c r="G7" s="2483"/>
      <c r="H7" s="2484"/>
      <c r="I7" s="2485"/>
      <c r="J7" s="2485"/>
      <c r="K7" s="2485"/>
      <c r="L7" s="2485"/>
      <c r="M7" s="2485"/>
      <c r="N7" s="2485"/>
      <c r="O7" s="2485"/>
      <c r="P7" s="2485"/>
      <c r="Q7" s="2485"/>
      <c r="R7" s="2485"/>
      <c r="S7" s="2485"/>
      <c r="T7" s="2485"/>
      <c r="U7" s="2485"/>
      <c r="V7" s="2485"/>
      <c r="W7" s="2485"/>
      <c r="X7" s="2485"/>
      <c r="Y7" s="2485"/>
      <c r="Z7" s="2485"/>
      <c r="AA7" s="2485"/>
      <c r="AB7" s="2485"/>
      <c r="AC7" s="2485"/>
      <c r="AD7" s="2485"/>
      <c r="AE7" s="2485"/>
      <c r="AF7" s="2485"/>
      <c r="AG7" s="2485"/>
      <c r="AH7" s="2485"/>
      <c r="AI7" s="2485"/>
      <c r="AJ7" s="2485"/>
      <c r="AK7" s="2485"/>
      <c r="AL7" s="2485"/>
      <c r="AM7" s="2485"/>
      <c r="AN7" s="2485"/>
      <c r="AO7" s="2485"/>
      <c r="AP7" s="2485"/>
      <c r="AQ7" s="2485"/>
      <c r="AR7" s="2485"/>
      <c r="AS7" s="2485"/>
      <c r="AT7" s="2485"/>
      <c r="AU7" s="2485"/>
      <c r="AV7" s="2485"/>
      <c r="AW7" s="2485"/>
      <c r="AX7" s="2485"/>
      <c r="AY7" s="2485"/>
      <c r="AZ7" s="2485"/>
      <c r="BA7" s="2485"/>
      <c r="BB7" s="2484"/>
      <c r="BC7" s="2484"/>
      <c r="BD7" s="2484"/>
      <c r="BE7" s="2484"/>
      <c r="BF7" s="2484"/>
      <c r="BG7" s="2484"/>
      <c r="BH7" s="2484"/>
      <c r="BI7" s="2466">
        <v>1</v>
      </c>
      <c r="BM7" s="2466"/>
    </row>
    <row r="8" spans="1:65" ht="127.8" customHeight="1">
      <c r="D8" s="2486">
        <v>1</v>
      </c>
      <c r="E8" s="2486" t="s">
        <v>5274</v>
      </c>
      <c r="F8" s="2485" t="s">
        <v>5275</v>
      </c>
      <c r="G8" s="2486" t="s">
        <v>5276</v>
      </c>
      <c r="H8" s="2484">
        <v>34</v>
      </c>
      <c r="I8" s="2485">
        <v>71359039.5</v>
      </c>
      <c r="J8" s="2485">
        <v>856308474</v>
      </c>
      <c r="K8" s="2485">
        <v>62000000</v>
      </c>
      <c r="L8" s="2485">
        <v>0</v>
      </c>
      <c r="M8" s="2485">
        <v>0</v>
      </c>
      <c r="N8" s="2485">
        <v>0</v>
      </c>
      <c r="O8" s="2485">
        <v>0</v>
      </c>
      <c r="P8" s="2485">
        <v>62000000</v>
      </c>
      <c r="Q8" s="2485">
        <v>3100000</v>
      </c>
      <c r="R8" s="2485">
        <v>65100000</v>
      </c>
      <c r="S8" s="2485">
        <v>3580500</v>
      </c>
      <c r="T8" s="2485">
        <v>68680500</v>
      </c>
      <c r="U8" s="2485">
        <v>2678539.5</v>
      </c>
      <c r="V8" s="2485">
        <v>71359039.5</v>
      </c>
      <c r="W8" s="2485">
        <v>0</v>
      </c>
      <c r="X8" s="2485">
        <v>71359039.5</v>
      </c>
      <c r="Y8" s="2485">
        <v>71359039.5</v>
      </c>
      <c r="Z8" s="2485">
        <v>0</v>
      </c>
      <c r="AA8" s="2485">
        <v>0</v>
      </c>
      <c r="AB8" s="2485">
        <v>856308474</v>
      </c>
      <c r="AC8" s="2485">
        <v>0</v>
      </c>
      <c r="AD8" s="2485">
        <v>0</v>
      </c>
      <c r="AE8" s="2485"/>
      <c r="AF8" s="2485"/>
      <c r="AG8" s="2485">
        <v>62000000</v>
      </c>
      <c r="AH8" s="2485">
        <v>0</v>
      </c>
      <c r="AI8" s="2485">
        <v>0</v>
      </c>
      <c r="AJ8" s="2485">
        <v>0</v>
      </c>
      <c r="AK8" s="2485">
        <v>0</v>
      </c>
      <c r="AL8" s="2485">
        <v>0</v>
      </c>
      <c r="AM8" s="2485">
        <v>0</v>
      </c>
      <c r="AN8" s="2485">
        <v>0</v>
      </c>
      <c r="AO8" s="2485">
        <v>0</v>
      </c>
      <c r="AP8" s="2485">
        <v>0</v>
      </c>
      <c r="AQ8" s="2485">
        <v>0</v>
      </c>
      <c r="AR8" s="2485">
        <v>0</v>
      </c>
      <c r="AS8" s="2485">
        <v>71610000</v>
      </c>
      <c r="AT8" s="2485">
        <f xml:space="preserve"> AS8*$H8</f>
        <v>2434740000</v>
      </c>
      <c r="AU8" s="2485" t="e">
        <f>#REF!</f>
        <v>#REF!</v>
      </c>
      <c r="AV8" s="2485" t="e">
        <f>#REF!</f>
        <v>#REF!</v>
      </c>
      <c r="AW8" s="2485" t="e">
        <f>#REF!</f>
        <v>#REF!</v>
      </c>
      <c r="AX8" s="2485" t="e">
        <f>#REF!</f>
        <v>#REF!</v>
      </c>
      <c r="AY8" s="2485" t="e">
        <f>#REF!</f>
        <v>#REF!</v>
      </c>
      <c r="AZ8" s="2485" t="e">
        <f>#REF!</f>
        <v>#REF!</v>
      </c>
      <c r="BA8" s="2485" t="e">
        <f>#REF!</f>
        <v>#REF!</v>
      </c>
      <c r="BB8" s="2484" t="e">
        <f>#REF!</f>
        <v>#REF!</v>
      </c>
      <c r="BC8" s="2484" t="e">
        <f>#REF!</f>
        <v>#REF!</v>
      </c>
      <c r="BD8" s="2484" t="e">
        <f>#REF!</f>
        <v>#REF!</v>
      </c>
      <c r="BE8" s="2484">
        <f>H8</f>
        <v>34</v>
      </c>
      <c r="BF8" s="2484"/>
      <c r="BG8" s="2484"/>
      <c r="BH8" s="2484"/>
      <c r="BI8" s="2466">
        <v>1</v>
      </c>
      <c r="BM8" s="2466"/>
    </row>
    <row r="9" spans="1:65" ht="31.8" customHeight="1">
      <c r="D9" s="2486"/>
      <c r="E9" s="2486"/>
      <c r="F9" s="2488" t="s">
        <v>5277</v>
      </c>
      <c r="G9" s="2486"/>
      <c r="H9" s="2484"/>
      <c r="I9" s="2485"/>
      <c r="J9" s="2485"/>
      <c r="K9" s="2485"/>
      <c r="L9" s="2485"/>
      <c r="M9" s="2485"/>
      <c r="N9" s="2485"/>
      <c r="O9" s="2485"/>
      <c r="P9" s="2485"/>
      <c r="Q9" s="2485"/>
      <c r="R9" s="2485"/>
      <c r="S9" s="2485"/>
      <c r="T9" s="2485"/>
      <c r="U9" s="2485"/>
      <c r="V9" s="2485"/>
      <c r="W9" s="2485"/>
      <c r="X9" s="2485"/>
      <c r="Y9" s="2485"/>
      <c r="Z9" s="2485"/>
      <c r="AA9" s="2485"/>
      <c r="AB9" s="2485"/>
      <c r="AC9" s="2485"/>
      <c r="AD9" s="2485"/>
      <c r="AE9" s="2485"/>
      <c r="AF9" s="2485"/>
      <c r="AG9" s="2485"/>
      <c r="AH9" s="2485"/>
      <c r="AI9" s="2485"/>
      <c r="AJ9" s="2485"/>
      <c r="AK9" s="2485"/>
      <c r="AL9" s="2485"/>
      <c r="AM9" s="2485"/>
      <c r="AN9" s="2485"/>
      <c r="AO9" s="2485"/>
      <c r="AP9" s="2485"/>
      <c r="AQ9" s="2485"/>
      <c r="AR9" s="2485"/>
      <c r="AS9" s="2485"/>
      <c r="AT9" s="2485"/>
      <c r="AU9" s="2485"/>
      <c r="AV9" s="2485"/>
      <c r="AW9" s="2485"/>
      <c r="AX9" s="2485"/>
      <c r="AY9" s="2485"/>
      <c r="AZ9" s="2485"/>
      <c r="BA9" s="2485"/>
      <c r="BB9" s="2484"/>
      <c r="BC9" s="2484"/>
      <c r="BD9" s="2484"/>
      <c r="BE9" s="2484"/>
      <c r="BF9" s="2484"/>
      <c r="BG9" s="2484"/>
      <c r="BH9" s="2484"/>
      <c r="BI9" s="2466">
        <v>1</v>
      </c>
      <c r="BM9" s="2466"/>
    </row>
    <row r="10" spans="1:65" ht="31.8" customHeight="1">
      <c r="C10" s="2466">
        <v>5</v>
      </c>
      <c r="D10" s="2486">
        <v>2</v>
      </c>
      <c r="E10" s="2486">
        <v>2</v>
      </c>
      <c r="F10" s="2485" t="s">
        <v>5278</v>
      </c>
      <c r="G10" s="2486" t="s">
        <v>5279</v>
      </c>
      <c r="H10" s="2484">
        <v>340</v>
      </c>
      <c r="I10" s="2485">
        <v>2532.0949500000002</v>
      </c>
      <c r="J10" s="2485">
        <v>121540.5576</v>
      </c>
      <c r="K10" s="2485">
        <v>2200</v>
      </c>
      <c r="L10" s="2485">
        <v>0</v>
      </c>
      <c r="M10" s="2485">
        <v>0</v>
      </c>
      <c r="N10" s="2485">
        <v>0</v>
      </c>
      <c r="O10" s="2485">
        <v>0</v>
      </c>
      <c r="P10" s="2485">
        <v>2200</v>
      </c>
      <c r="Q10" s="2485">
        <v>110</v>
      </c>
      <c r="R10" s="2485">
        <v>2310</v>
      </c>
      <c r="S10" s="2485">
        <v>127.05</v>
      </c>
      <c r="T10" s="2485">
        <v>2437.0500000000002</v>
      </c>
      <c r="U10" s="2485">
        <v>95.04495</v>
      </c>
      <c r="V10" s="2485">
        <v>2532.0949500000002</v>
      </c>
      <c r="W10" s="2485">
        <v>0</v>
      </c>
      <c r="X10" s="2485">
        <v>2532.0949500000002</v>
      </c>
      <c r="Y10" s="2485">
        <v>2532.0949499999997</v>
      </c>
      <c r="Z10" s="2485">
        <v>0</v>
      </c>
      <c r="AA10" s="2485">
        <v>0</v>
      </c>
      <c r="AB10" s="2485">
        <v>121540.55759999999</v>
      </c>
      <c r="AC10" s="2485">
        <v>0</v>
      </c>
      <c r="AD10" s="2485">
        <v>0</v>
      </c>
      <c r="AE10" s="2485"/>
      <c r="AF10" s="2485"/>
      <c r="AG10" s="2485">
        <v>2200</v>
      </c>
      <c r="AH10" s="2485">
        <v>0</v>
      </c>
      <c r="AI10" s="2485">
        <v>0</v>
      </c>
      <c r="AJ10" s="2485">
        <v>0</v>
      </c>
      <c r="AK10" s="2485">
        <v>0</v>
      </c>
      <c r="AL10" s="2485">
        <v>0</v>
      </c>
      <c r="AM10" s="2485">
        <v>0</v>
      </c>
      <c r="AN10" s="2485">
        <v>0</v>
      </c>
      <c r="AO10" s="2485">
        <v>0</v>
      </c>
      <c r="AP10" s="2485">
        <v>0</v>
      </c>
      <c r="AQ10" s="2485">
        <v>0</v>
      </c>
      <c r="AR10" s="2485">
        <v>0</v>
      </c>
      <c r="AS10" s="2485">
        <v>2532.0949500000002</v>
      </c>
      <c r="AT10" s="2485">
        <f xml:space="preserve"> AS10*$H10</f>
        <v>860912.28300000005</v>
      </c>
      <c r="AU10" s="2485" t="e">
        <f>#REF!</f>
        <v>#REF!</v>
      </c>
      <c r="AV10" s="2485" t="e">
        <f>#REF!</f>
        <v>#REF!</v>
      </c>
      <c r="AW10" s="2485" t="e">
        <f>#REF!</f>
        <v>#REF!</v>
      </c>
      <c r="AX10" s="2485" t="e">
        <f>#REF!</f>
        <v>#REF!</v>
      </c>
      <c r="AY10" s="2485" t="e">
        <f>#REF!</f>
        <v>#REF!</v>
      </c>
      <c r="AZ10" s="2485" t="e">
        <f>#REF!</f>
        <v>#REF!</v>
      </c>
      <c r="BA10" s="2485" t="e">
        <f>#REF!</f>
        <v>#REF!</v>
      </c>
      <c r="BB10" s="2484" t="e">
        <f>#REF!</f>
        <v>#REF!</v>
      </c>
      <c r="BC10" s="2484" t="e">
        <f>#REF!</f>
        <v>#REF!</v>
      </c>
      <c r="BD10" s="2484" t="e">
        <f>#REF!</f>
        <v>#REF!</v>
      </c>
      <c r="BE10" s="2484">
        <f t="shared" ref="BE10:BE36" si="0">H10</f>
        <v>340</v>
      </c>
      <c r="BF10" s="2484"/>
      <c r="BG10" s="2484"/>
      <c r="BH10" s="2484"/>
      <c r="BI10" s="2466">
        <v>1</v>
      </c>
      <c r="BM10" s="2466"/>
    </row>
    <row r="11" spans="1:65" ht="31.8" customHeight="1">
      <c r="C11" s="2466">
        <v>1</v>
      </c>
      <c r="D11" s="2486">
        <v>3</v>
      </c>
      <c r="E11" s="2486">
        <v>3</v>
      </c>
      <c r="F11" s="2485" t="s">
        <v>5280</v>
      </c>
      <c r="G11" s="2486" t="s">
        <v>5279</v>
      </c>
      <c r="H11" s="2484">
        <v>340</v>
      </c>
      <c r="I11" s="2485">
        <v>26586.996975000002</v>
      </c>
      <c r="J11" s="2485">
        <v>1276175.8548000001</v>
      </c>
      <c r="K11" s="2485">
        <v>23100</v>
      </c>
      <c r="L11" s="2485">
        <v>0</v>
      </c>
      <c r="M11" s="2485">
        <v>0</v>
      </c>
      <c r="N11" s="2485">
        <v>0</v>
      </c>
      <c r="O11" s="2485">
        <v>0</v>
      </c>
      <c r="P11" s="2485">
        <v>23100</v>
      </c>
      <c r="Q11" s="2485">
        <v>1155</v>
      </c>
      <c r="R11" s="2485">
        <v>24255</v>
      </c>
      <c r="S11" s="2485">
        <v>1334.0250000000001</v>
      </c>
      <c r="T11" s="2485">
        <v>25589.025000000001</v>
      </c>
      <c r="U11" s="2485">
        <v>997.97197500000004</v>
      </c>
      <c r="V11" s="2485">
        <v>26586.996975000002</v>
      </c>
      <c r="W11" s="2485">
        <v>0</v>
      </c>
      <c r="X11" s="2485">
        <v>26586.996975000002</v>
      </c>
      <c r="Y11" s="2485">
        <v>26586.996974999995</v>
      </c>
      <c r="Z11" s="2485">
        <v>0</v>
      </c>
      <c r="AA11" s="2485">
        <v>0</v>
      </c>
      <c r="AB11" s="2485">
        <v>1276175.8547999999</v>
      </c>
      <c r="AC11" s="2485">
        <v>0</v>
      </c>
      <c r="AD11" s="2485">
        <v>0</v>
      </c>
      <c r="AE11" s="2485"/>
      <c r="AF11" s="2485"/>
      <c r="AG11" s="2485">
        <v>23100</v>
      </c>
      <c r="AH11" s="2485">
        <v>0</v>
      </c>
      <c r="AI11" s="2485">
        <v>0</v>
      </c>
      <c r="AJ11" s="2485">
        <v>0</v>
      </c>
      <c r="AK11" s="2485">
        <v>0</v>
      </c>
      <c r="AL11" s="2485">
        <v>0</v>
      </c>
      <c r="AM11" s="2485">
        <v>0</v>
      </c>
      <c r="AN11" s="2485">
        <v>0</v>
      </c>
      <c r="AO11" s="2485">
        <v>0</v>
      </c>
      <c r="AP11" s="2485">
        <v>0</v>
      </c>
      <c r="AQ11" s="2485">
        <v>0</v>
      </c>
      <c r="AR11" s="2485">
        <v>0</v>
      </c>
      <c r="AS11" s="2485">
        <v>26586.996975000002</v>
      </c>
      <c r="AT11" s="2485">
        <f xml:space="preserve"> AS11*$H11</f>
        <v>9039578.9715</v>
      </c>
      <c r="AU11" s="2485" t="e">
        <f>#REF!</f>
        <v>#REF!</v>
      </c>
      <c r="AV11" s="2485" t="e">
        <f>#REF!</f>
        <v>#REF!</v>
      </c>
      <c r="AW11" s="2485" t="e">
        <f>#REF!</f>
        <v>#REF!</v>
      </c>
      <c r="AX11" s="2485" t="e">
        <f>#REF!</f>
        <v>#REF!</v>
      </c>
      <c r="AY11" s="2485" t="e">
        <f>#REF!</f>
        <v>#REF!</v>
      </c>
      <c r="AZ11" s="2485" t="e">
        <f>#REF!</f>
        <v>#REF!</v>
      </c>
      <c r="BA11" s="2485" t="e">
        <f>#REF!</f>
        <v>#REF!</v>
      </c>
      <c r="BB11" s="2484" t="e">
        <f>#REF!</f>
        <v>#REF!</v>
      </c>
      <c r="BC11" s="2484" t="e">
        <f>#REF!</f>
        <v>#REF!</v>
      </c>
      <c r="BD11" s="2484" t="e">
        <f>#REF!</f>
        <v>#REF!</v>
      </c>
      <c r="BE11" s="2484">
        <f t="shared" si="0"/>
        <v>340</v>
      </c>
      <c r="BF11" s="2484"/>
      <c r="BG11" s="2484"/>
      <c r="BH11" s="2484"/>
      <c r="BI11" s="2466">
        <v>1</v>
      </c>
      <c r="BL11" s="2466" t="s">
        <v>5281</v>
      </c>
      <c r="BM11" s="2470">
        <v>43915</v>
      </c>
    </row>
    <row r="12" spans="1:65" ht="31.8" customHeight="1">
      <c r="D12" s="2486">
        <v>4</v>
      </c>
      <c r="E12" s="2486" t="s">
        <v>5282</v>
      </c>
      <c r="F12" s="2489" t="s">
        <v>5283</v>
      </c>
      <c r="G12" s="2483" t="s">
        <v>5284</v>
      </c>
      <c r="H12" s="2484">
        <v>17</v>
      </c>
      <c r="I12" s="2485">
        <v>104136.43315162501</v>
      </c>
      <c r="J12" s="2485">
        <v>624818.59890975012</v>
      </c>
      <c r="K12" s="2485">
        <v>0</v>
      </c>
      <c r="L12" s="2485">
        <v>0</v>
      </c>
      <c r="M12" s="2485">
        <v>90478.5</v>
      </c>
      <c r="N12" s="2485">
        <v>0</v>
      </c>
      <c r="O12" s="2485">
        <v>0</v>
      </c>
      <c r="P12" s="2485">
        <v>90478.5</v>
      </c>
      <c r="Q12" s="2485">
        <v>4523.9250000000002</v>
      </c>
      <c r="R12" s="2485">
        <v>95002.425000000003</v>
      </c>
      <c r="S12" s="2485">
        <v>5225.1333750000003</v>
      </c>
      <c r="T12" s="2485">
        <v>100227.55837500001</v>
      </c>
      <c r="U12" s="2485">
        <v>3908.8747766250003</v>
      </c>
      <c r="V12" s="2485">
        <v>104136.43315162501</v>
      </c>
      <c r="W12" s="2485">
        <v>0</v>
      </c>
      <c r="X12" s="2485">
        <v>104136.43315162501</v>
      </c>
      <c r="Y12" s="2485">
        <v>0</v>
      </c>
      <c r="Z12" s="2485">
        <v>104136.43315162498</v>
      </c>
      <c r="AA12" s="2485">
        <v>0</v>
      </c>
      <c r="AB12" s="2485">
        <v>0</v>
      </c>
      <c r="AC12" s="2485">
        <v>624818.59890974988</v>
      </c>
      <c r="AD12" s="2485">
        <v>0</v>
      </c>
      <c r="AE12" s="2485" t="s">
        <v>5282</v>
      </c>
      <c r="AF12" s="2485"/>
      <c r="AG12" s="2485">
        <v>0</v>
      </c>
      <c r="AH12" s="2485">
        <v>0</v>
      </c>
      <c r="AI12" s="2485">
        <v>90478.5</v>
      </c>
      <c r="AJ12" s="2485">
        <v>0</v>
      </c>
      <c r="AK12" s="2485">
        <v>0</v>
      </c>
      <c r="AL12" s="2485">
        <v>0</v>
      </c>
      <c r="AM12" s="2485">
        <v>0</v>
      </c>
      <c r="AN12" s="2485">
        <v>0</v>
      </c>
      <c r="AO12" s="2485">
        <v>0</v>
      </c>
      <c r="AP12" s="2485">
        <v>0</v>
      </c>
      <c r="AQ12" s="2485">
        <v>0</v>
      </c>
      <c r="AR12" s="2485">
        <v>0</v>
      </c>
      <c r="AS12" s="2485">
        <v>104136.43315162501</v>
      </c>
      <c r="AT12" s="2485">
        <f xml:space="preserve"> AS12*$H12</f>
        <v>1770319.3635776252</v>
      </c>
      <c r="AU12" s="2485" t="e">
        <f>#REF!</f>
        <v>#REF!</v>
      </c>
      <c r="AV12" s="2485" t="e">
        <f>#REF!</f>
        <v>#REF!</v>
      </c>
      <c r="AW12" s="2485" t="e">
        <f>#REF!</f>
        <v>#REF!</v>
      </c>
      <c r="AX12" s="2485" t="e">
        <f>#REF!</f>
        <v>#REF!</v>
      </c>
      <c r="AY12" s="2485" t="e">
        <f>#REF!</f>
        <v>#REF!</v>
      </c>
      <c r="AZ12" s="2485" t="e">
        <f>#REF!</f>
        <v>#REF!</v>
      </c>
      <c r="BA12" s="2485" t="e">
        <f>#REF!</f>
        <v>#REF!</v>
      </c>
      <c r="BB12" s="2484" t="e">
        <f>#REF!</f>
        <v>#REF!</v>
      </c>
      <c r="BC12" s="2484" t="e">
        <f>#REF!</f>
        <v>#REF!</v>
      </c>
      <c r="BD12" s="2484" t="e">
        <f>#REF!</f>
        <v>#REF!</v>
      </c>
      <c r="BE12" s="2484">
        <f t="shared" si="0"/>
        <v>17</v>
      </c>
      <c r="BF12" s="2484"/>
      <c r="BG12" s="2484"/>
      <c r="BH12" s="2484"/>
      <c r="BI12" s="2466">
        <v>1</v>
      </c>
      <c r="BM12" s="2466"/>
    </row>
    <row r="13" spans="1:65" ht="31.8" customHeight="1">
      <c r="D13" s="2486"/>
      <c r="E13" s="2486"/>
      <c r="F13" s="2488" t="s">
        <v>5285</v>
      </c>
      <c r="G13" s="2483"/>
      <c r="H13" s="2484"/>
      <c r="I13" s="2485"/>
      <c r="J13" s="2485"/>
      <c r="K13" s="2485"/>
      <c r="L13" s="2485"/>
      <c r="M13" s="2485"/>
      <c r="N13" s="2485"/>
      <c r="O13" s="2485"/>
      <c r="P13" s="2485"/>
      <c r="Q13" s="2485"/>
      <c r="R13" s="2485"/>
      <c r="S13" s="2485"/>
      <c r="T13" s="2485"/>
      <c r="U13" s="2485"/>
      <c r="V13" s="2485"/>
      <c r="W13" s="2485"/>
      <c r="X13" s="2485"/>
      <c r="Y13" s="2485"/>
      <c r="Z13" s="2485"/>
      <c r="AA13" s="2485"/>
      <c r="AB13" s="2485"/>
      <c r="AC13" s="2485"/>
      <c r="AD13" s="2485"/>
      <c r="AE13" s="2485"/>
      <c r="AF13" s="2485"/>
      <c r="AG13" s="2485"/>
      <c r="AH13" s="2485"/>
      <c r="AI13" s="2485"/>
      <c r="AJ13" s="2485"/>
      <c r="AK13" s="2485"/>
      <c r="AL13" s="2485"/>
      <c r="AM13" s="2485"/>
      <c r="AN13" s="2485"/>
      <c r="AO13" s="2485"/>
      <c r="AP13" s="2485"/>
      <c r="AQ13" s="2485"/>
      <c r="AR13" s="2485"/>
      <c r="AS13" s="2485"/>
      <c r="AT13" s="2485"/>
      <c r="AU13" s="2485"/>
      <c r="AV13" s="2485"/>
      <c r="AW13" s="2485"/>
      <c r="AX13" s="2485"/>
      <c r="AY13" s="2485"/>
      <c r="AZ13" s="2485"/>
      <c r="BA13" s="2485"/>
      <c r="BB13" s="2484"/>
      <c r="BC13" s="2484"/>
      <c r="BD13" s="2484"/>
      <c r="BE13" s="2484">
        <f t="shared" si="0"/>
        <v>0</v>
      </c>
      <c r="BF13" s="2484"/>
      <c r="BG13" s="2484"/>
      <c r="BH13" s="2484"/>
      <c r="BI13" s="2466">
        <v>1</v>
      </c>
      <c r="BM13" s="2466"/>
    </row>
    <row r="14" spans="1:65" ht="31.8" customHeight="1">
      <c r="C14" s="2466">
        <v>6</v>
      </c>
      <c r="D14" s="2486">
        <v>5</v>
      </c>
      <c r="E14" s="2486">
        <v>1</v>
      </c>
      <c r="F14" s="2489" t="s">
        <v>5286</v>
      </c>
      <c r="G14" s="2483" t="s">
        <v>2286</v>
      </c>
      <c r="H14" s="2484">
        <v>17</v>
      </c>
      <c r="I14" s="2485">
        <v>145250.17395</v>
      </c>
      <c r="J14" s="2485">
        <v>871501.04370000004</v>
      </c>
      <c r="K14" s="2485">
        <v>126200</v>
      </c>
      <c r="L14" s="2485">
        <v>0</v>
      </c>
      <c r="M14" s="2485">
        <v>0</v>
      </c>
      <c r="N14" s="2485">
        <v>0</v>
      </c>
      <c r="O14" s="2485">
        <v>0</v>
      </c>
      <c r="P14" s="2485">
        <v>126200</v>
      </c>
      <c r="Q14" s="2485">
        <v>6310</v>
      </c>
      <c r="R14" s="2485">
        <v>132510</v>
      </c>
      <c r="S14" s="2485">
        <v>7288.05</v>
      </c>
      <c r="T14" s="2485">
        <v>139798.04999999999</v>
      </c>
      <c r="U14" s="2485">
        <v>5452.1239499999992</v>
      </c>
      <c r="V14" s="2485">
        <v>145250.17395</v>
      </c>
      <c r="W14" s="2485">
        <v>0</v>
      </c>
      <c r="X14" s="2485">
        <v>145250.17395</v>
      </c>
      <c r="Y14" s="2485">
        <v>145250.17394999997</v>
      </c>
      <c r="Z14" s="2485">
        <v>0</v>
      </c>
      <c r="AA14" s="2485">
        <v>0</v>
      </c>
      <c r="AB14" s="2485">
        <v>871501.04369999981</v>
      </c>
      <c r="AC14" s="2485">
        <v>0</v>
      </c>
      <c r="AD14" s="2485">
        <v>0</v>
      </c>
      <c r="AE14" s="2485"/>
      <c r="AF14" s="2485"/>
      <c r="AG14" s="2485">
        <v>126200</v>
      </c>
      <c r="AH14" s="2485">
        <v>0</v>
      </c>
      <c r="AI14" s="2485">
        <v>0</v>
      </c>
      <c r="AJ14" s="2485">
        <v>0</v>
      </c>
      <c r="AK14" s="2485">
        <v>0</v>
      </c>
      <c r="AL14" s="2485">
        <v>0</v>
      </c>
      <c r="AM14" s="2485">
        <v>0</v>
      </c>
      <c r="AN14" s="2485">
        <v>0</v>
      </c>
      <c r="AO14" s="2485">
        <v>0</v>
      </c>
      <c r="AP14" s="2485">
        <v>0</v>
      </c>
      <c r="AQ14" s="2485">
        <v>0</v>
      </c>
      <c r="AR14" s="2485">
        <v>0</v>
      </c>
      <c r="AS14" s="2485">
        <v>145250.17395</v>
      </c>
      <c r="AT14" s="2485">
        <f xml:space="preserve"> AS14*$H14</f>
        <v>2469252.9571500001</v>
      </c>
      <c r="AU14" s="2485" t="e">
        <f>#REF!</f>
        <v>#REF!</v>
      </c>
      <c r="AV14" s="2485" t="e">
        <f>#REF!</f>
        <v>#REF!</v>
      </c>
      <c r="AW14" s="2485" t="e">
        <f>#REF!</f>
        <v>#REF!</v>
      </c>
      <c r="AX14" s="2485" t="e">
        <f>#REF!</f>
        <v>#REF!</v>
      </c>
      <c r="AY14" s="2485" t="e">
        <f>#REF!</f>
        <v>#REF!</v>
      </c>
      <c r="AZ14" s="2485" t="e">
        <f>#REF!</f>
        <v>#REF!</v>
      </c>
      <c r="BA14" s="2485" t="e">
        <f>#REF!</f>
        <v>#REF!</v>
      </c>
      <c r="BB14" s="2484" t="e">
        <f>#REF!</f>
        <v>#REF!</v>
      </c>
      <c r="BC14" s="2484" t="e">
        <f>#REF!</f>
        <v>#REF!</v>
      </c>
      <c r="BD14" s="2484" t="e">
        <f>#REF!</f>
        <v>#REF!</v>
      </c>
      <c r="BE14" s="2484">
        <f t="shared" si="0"/>
        <v>17</v>
      </c>
      <c r="BF14" s="2484"/>
      <c r="BG14" s="2484"/>
      <c r="BH14" s="2484"/>
      <c r="BI14" s="2466">
        <v>1</v>
      </c>
      <c r="BM14" s="2466"/>
    </row>
    <row r="15" spans="1:65" ht="31.8" customHeight="1">
      <c r="C15" s="2466">
        <v>7</v>
      </c>
      <c r="D15" s="2486">
        <v>6</v>
      </c>
      <c r="E15" s="2486">
        <v>2</v>
      </c>
      <c r="F15" s="2489" t="s">
        <v>5287</v>
      </c>
      <c r="G15" s="2483" t="s">
        <v>2566</v>
      </c>
      <c r="H15" s="2484">
        <v>17</v>
      </c>
      <c r="I15" s="2485">
        <v>14271.8079</v>
      </c>
      <c r="J15" s="2485">
        <v>85630.847399999999</v>
      </c>
      <c r="K15" s="2485">
        <v>12400</v>
      </c>
      <c r="L15" s="2485">
        <v>0</v>
      </c>
      <c r="M15" s="2485">
        <v>0</v>
      </c>
      <c r="N15" s="2485">
        <v>0</v>
      </c>
      <c r="O15" s="2485">
        <v>0</v>
      </c>
      <c r="P15" s="2485">
        <v>12400</v>
      </c>
      <c r="Q15" s="2485">
        <v>620</v>
      </c>
      <c r="R15" s="2485">
        <v>13020</v>
      </c>
      <c r="S15" s="2485">
        <v>716.1</v>
      </c>
      <c r="T15" s="2485">
        <v>13736.1</v>
      </c>
      <c r="U15" s="2485">
        <v>535.7079</v>
      </c>
      <c r="V15" s="2485">
        <v>14271.8079</v>
      </c>
      <c r="W15" s="2485">
        <v>0</v>
      </c>
      <c r="X15" s="2485">
        <v>14271.8079</v>
      </c>
      <c r="Y15" s="2485">
        <v>14271.807899999998</v>
      </c>
      <c r="Z15" s="2485">
        <v>0</v>
      </c>
      <c r="AA15" s="2485">
        <v>0</v>
      </c>
      <c r="AB15" s="2485">
        <v>85630.847399999984</v>
      </c>
      <c r="AC15" s="2485">
        <v>0</v>
      </c>
      <c r="AD15" s="2485">
        <v>0</v>
      </c>
      <c r="AE15" s="2485"/>
      <c r="AF15" s="2485"/>
      <c r="AG15" s="2485">
        <v>12400</v>
      </c>
      <c r="AH15" s="2485">
        <v>0</v>
      </c>
      <c r="AI15" s="2485">
        <v>0</v>
      </c>
      <c r="AJ15" s="2485">
        <v>0</v>
      </c>
      <c r="AK15" s="2485">
        <v>0</v>
      </c>
      <c r="AL15" s="2485">
        <v>0</v>
      </c>
      <c r="AM15" s="2485">
        <v>0</v>
      </c>
      <c r="AN15" s="2485">
        <v>0</v>
      </c>
      <c r="AO15" s="2485">
        <v>0</v>
      </c>
      <c r="AP15" s="2485">
        <v>0</v>
      </c>
      <c r="AQ15" s="2485">
        <v>0</v>
      </c>
      <c r="AR15" s="2485">
        <v>0</v>
      </c>
      <c r="AS15" s="2485">
        <v>14271.8079</v>
      </c>
      <c r="AT15" s="2485">
        <f t="shared" ref="AT15:AT19" si="1" xml:space="preserve"> AS15*$H15</f>
        <v>242620.73430000001</v>
      </c>
      <c r="AU15" s="2485" t="e">
        <f>#REF!</f>
        <v>#REF!</v>
      </c>
      <c r="AV15" s="2485" t="e">
        <f>#REF!</f>
        <v>#REF!</v>
      </c>
      <c r="AW15" s="2485" t="e">
        <f>#REF!</f>
        <v>#REF!</v>
      </c>
      <c r="AX15" s="2485" t="e">
        <f>#REF!</f>
        <v>#REF!</v>
      </c>
      <c r="AY15" s="2485" t="e">
        <f>#REF!</f>
        <v>#REF!</v>
      </c>
      <c r="AZ15" s="2485" t="e">
        <f>#REF!</f>
        <v>#REF!</v>
      </c>
      <c r="BA15" s="2485" t="e">
        <f>#REF!</f>
        <v>#REF!</v>
      </c>
      <c r="BB15" s="2484" t="e">
        <f>#REF!</f>
        <v>#REF!</v>
      </c>
      <c r="BC15" s="2484" t="e">
        <f>#REF!</f>
        <v>#REF!</v>
      </c>
      <c r="BD15" s="2484" t="e">
        <f>#REF!</f>
        <v>#REF!</v>
      </c>
      <c r="BE15" s="2484">
        <f t="shared" si="0"/>
        <v>17</v>
      </c>
      <c r="BF15" s="2484"/>
      <c r="BG15" s="2484"/>
      <c r="BH15" s="2484"/>
      <c r="BI15" s="2466">
        <v>1</v>
      </c>
      <c r="BM15" s="2466"/>
    </row>
    <row r="16" spans="1:65" ht="31.8" customHeight="1">
      <c r="C16" s="2466">
        <v>8</v>
      </c>
      <c r="D16" s="2486">
        <v>7</v>
      </c>
      <c r="E16" s="2486">
        <v>3</v>
      </c>
      <c r="F16" s="2489" t="s">
        <v>5288</v>
      </c>
      <c r="G16" s="2483" t="s">
        <v>2566</v>
      </c>
      <c r="H16" s="2484">
        <v>17</v>
      </c>
      <c r="I16" s="2485">
        <v>7481.189625</v>
      </c>
      <c r="J16" s="2485">
        <v>44887.137750000002</v>
      </c>
      <c r="K16" s="2485">
        <v>6500</v>
      </c>
      <c r="L16" s="2485">
        <v>0</v>
      </c>
      <c r="M16" s="2485">
        <v>0</v>
      </c>
      <c r="N16" s="2485">
        <v>0</v>
      </c>
      <c r="O16" s="2485">
        <v>0</v>
      </c>
      <c r="P16" s="2485">
        <v>6500</v>
      </c>
      <c r="Q16" s="2485">
        <v>325</v>
      </c>
      <c r="R16" s="2485">
        <v>6825</v>
      </c>
      <c r="S16" s="2485">
        <v>375.375</v>
      </c>
      <c r="T16" s="2485">
        <v>7200.375</v>
      </c>
      <c r="U16" s="2485">
        <v>280.81462499999998</v>
      </c>
      <c r="V16" s="2485">
        <v>7481.189625</v>
      </c>
      <c r="W16" s="2485">
        <v>0</v>
      </c>
      <c r="X16" s="2485">
        <v>7481.189625</v>
      </c>
      <c r="Y16" s="2485">
        <v>7481.1896249999991</v>
      </c>
      <c r="Z16" s="2485">
        <v>0</v>
      </c>
      <c r="AA16" s="2485">
        <v>0</v>
      </c>
      <c r="AB16" s="2485">
        <v>44887.137749999994</v>
      </c>
      <c r="AC16" s="2485">
        <v>0</v>
      </c>
      <c r="AD16" s="2485">
        <v>0</v>
      </c>
      <c r="AE16" s="2485"/>
      <c r="AF16" s="2485"/>
      <c r="AG16" s="2485">
        <v>6500</v>
      </c>
      <c r="AH16" s="2485">
        <v>0</v>
      </c>
      <c r="AI16" s="2485">
        <v>0</v>
      </c>
      <c r="AJ16" s="2485">
        <v>0</v>
      </c>
      <c r="AK16" s="2485">
        <v>0</v>
      </c>
      <c r="AL16" s="2485">
        <v>0</v>
      </c>
      <c r="AM16" s="2485">
        <v>0</v>
      </c>
      <c r="AN16" s="2485">
        <v>0</v>
      </c>
      <c r="AO16" s="2485">
        <v>0</v>
      </c>
      <c r="AP16" s="2485">
        <v>0</v>
      </c>
      <c r="AQ16" s="2485">
        <v>0</v>
      </c>
      <c r="AR16" s="2485">
        <v>0</v>
      </c>
      <c r="AS16" s="2485">
        <v>7481.189625</v>
      </c>
      <c r="AT16" s="2485">
        <f t="shared" si="1"/>
        <v>127180.223625</v>
      </c>
      <c r="AU16" s="2485" t="e">
        <f>#REF!</f>
        <v>#REF!</v>
      </c>
      <c r="AV16" s="2485" t="e">
        <f>#REF!</f>
        <v>#REF!</v>
      </c>
      <c r="AW16" s="2485" t="e">
        <f>#REF!</f>
        <v>#REF!</v>
      </c>
      <c r="AX16" s="2485" t="e">
        <f>#REF!</f>
        <v>#REF!</v>
      </c>
      <c r="AY16" s="2485" t="e">
        <f>#REF!</f>
        <v>#REF!</v>
      </c>
      <c r="AZ16" s="2485" t="e">
        <f>#REF!</f>
        <v>#REF!</v>
      </c>
      <c r="BA16" s="2485" t="e">
        <f>#REF!</f>
        <v>#REF!</v>
      </c>
      <c r="BB16" s="2484" t="e">
        <f>#REF!</f>
        <v>#REF!</v>
      </c>
      <c r="BC16" s="2484" t="e">
        <f>#REF!</f>
        <v>#REF!</v>
      </c>
      <c r="BD16" s="2484" t="e">
        <f>#REF!</f>
        <v>#REF!</v>
      </c>
      <c r="BE16" s="2484">
        <f t="shared" si="0"/>
        <v>17</v>
      </c>
      <c r="BF16" s="2484"/>
      <c r="BG16" s="2484"/>
      <c r="BH16" s="2484"/>
      <c r="BI16" s="2466">
        <v>1</v>
      </c>
      <c r="BM16" s="2466"/>
    </row>
    <row r="17" spans="3:65" ht="31.8" customHeight="1">
      <c r="C17" s="2466">
        <v>9</v>
      </c>
      <c r="D17" s="2486">
        <v>8</v>
      </c>
      <c r="E17" s="2486">
        <v>4</v>
      </c>
      <c r="F17" s="2489" t="s">
        <v>5289</v>
      </c>
      <c r="G17" s="2483" t="s">
        <v>2448</v>
      </c>
      <c r="H17" s="2484">
        <v>17</v>
      </c>
      <c r="I17" s="2485">
        <v>2877.3806249999998</v>
      </c>
      <c r="J17" s="2485">
        <v>17264.283749999999</v>
      </c>
      <c r="K17" s="2485">
        <v>2500</v>
      </c>
      <c r="L17" s="2485">
        <v>0</v>
      </c>
      <c r="M17" s="2485">
        <v>0</v>
      </c>
      <c r="N17" s="2485">
        <v>0</v>
      </c>
      <c r="O17" s="2485">
        <v>0</v>
      </c>
      <c r="P17" s="2485">
        <v>2500</v>
      </c>
      <c r="Q17" s="2485">
        <v>125</v>
      </c>
      <c r="R17" s="2485">
        <v>2625</v>
      </c>
      <c r="S17" s="2485">
        <v>144.375</v>
      </c>
      <c r="T17" s="2485">
        <v>2769.375</v>
      </c>
      <c r="U17" s="2485">
        <v>108.00562499999999</v>
      </c>
      <c r="V17" s="2485">
        <v>2877.3806249999998</v>
      </c>
      <c r="W17" s="2485">
        <v>0</v>
      </c>
      <c r="X17" s="2485">
        <v>2877.3806249999998</v>
      </c>
      <c r="Y17" s="2485">
        <v>2877.3806249999998</v>
      </c>
      <c r="Z17" s="2485">
        <v>0</v>
      </c>
      <c r="AA17" s="2485">
        <v>0</v>
      </c>
      <c r="AB17" s="2485">
        <v>17264.283749999999</v>
      </c>
      <c r="AC17" s="2485">
        <v>0</v>
      </c>
      <c r="AD17" s="2485">
        <v>0</v>
      </c>
      <c r="AE17" s="2485"/>
      <c r="AF17" s="2485"/>
      <c r="AG17" s="2485">
        <v>2500</v>
      </c>
      <c r="AH17" s="2485">
        <v>0</v>
      </c>
      <c r="AI17" s="2485">
        <v>0</v>
      </c>
      <c r="AJ17" s="2485">
        <v>0</v>
      </c>
      <c r="AK17" s="2485">
        <v>0</v>
      </c>
      <c r="AL17" s="2485">
        <v>0</v>
      </c>
      <c r="AM17" s="2485">
        <v>0</v>
      </c>
      <c r="AN17" s="2485">
        <v>0</v>
      </c>
      <c r="AO17" s="2485">
        <v>0</v>
      </c>
      <c r="AP17" s="2485">
        <v>0</v>
      </c>
      <c r="AQ17" s="2485">
        <v>0</v>
      </c>
      <c r="AR17" s="2485">
        <v>0</v>
      </c>
      <c r="AS17" s="2485">
        <v>2877.3806249999998</v>
      </c>
      <c r="AT17" s="2485">
        <f t="shared" si="1"/>
        <v>48915.470624999994</v>
      </c>
      <c r="AU17" s="2485" t="e">
        <f>#REF!</f>
        <v>#REF!</v>
      </c>
      <c r="AV17" s="2485" t="e">
        <f>#REF!</f>
        <v>#REF!</v>
      </c>
      <c r="AW17" s="2485" t="e">
        <f>#REF!</f>
        <v>#REF!</v>
      </c>
      <c r="AX17" s="2485" t="e">
        <f>#REF!</f>
        <v>#REF!</v>
      </c>
      <c r="AY17" s="2485" t="e">
        <f>#REF!</f>
        <v>#REF!</v>
      </c>
      <c r="AZ17" s="2485" t="e">
        <f>#REF!</f>
        <v>#REF!</v>
      </c>
      <c r="BA17" s="2485" t="e">
        <f>#REF!</f>
        <v>#REF!</v>
      </c>
      <c r="BB17" s="2484" t="e">
        <f>#REF!</f>
        <v>#REF!</v>
      </c>
      <c r="BC17" s="2484" t="e">
        <f>#REF!</f>
        <v>#REF!</v>
      </c>
      <c r="BD17" s="2484" t="e">
        <f>#REF!</f>
        <v>#REF!</v>
      </c>
      <c r="BE17" s="2484">
        <f t="shared" si="0"/>
        <v>17</v>
      </c>
      <c r="BF17" s="2484"/>
      <c r="BG17" s="2484"/>
      <c r="BH17" s="2484"/>
      <c r="BI17" s="2466">
        <v>1</v>
      </c>
      <c r="BM17" s="2466"/>
    </row>
    <row r="18" spans="3:65" ht="31.8" customHeight="1">
      <c r="C18" s="2466">
        <v>10</v>
      </c>
      <c r="D18" s="2486">
        <v>10</v>
      </c>
      <c r="E18" s="2486">
        <v>6</v>
      </c>
      <c r="F18" s="2489" t="s">
        <v>5290</v>
      </c>
      <c r="G18" s="2483" t="s">
        <v>2566</v>
      </c>
      <c r="H18" s="2484">
        <v>34</v>
      </c>
      <c r="I18" s="2485">
        <v>2186.8092750000001</v>
      </c>
      <c r="J18" s="2485">
        <v>26241.711300000003</v>
      </c>
      <c r="K18" s="2485">
        <v>1900</v>
      </c>
      <c r="L18" s="2485">
        <v>0</v>
      </c>
      <c r="M18" s="2485">
        <v>0</v>
      </c>
      <c r="N18" s="2485">
        <v>0</v>
      </c>
      <c r="O18" s="2485">
        <v>0</v>
      </c>
      <c r="P18" s="2485">
        <v>1900</v>
      </c>
      <c r="Q18" s="2485">
        <v>95</v>
      </c>
      <c r="R18" s="2485">
        <v>1995</v>
      </c>
      <c r="S18" s="2485">
        <v>109.72499999999999</v>
      </c>
      <c r="T18" s="2485">
        <v>2104.7249999999999</v>
      </c>
      <c r="U18" s="2485">
        <v>82.084274999999991</v>
      </c>
      <c r="V18" s="2485">
        <v>2186.8092750000001</v>
      </c>
      <c r="W18" s="2485">
        <v>0</v>
      </c>
      <c r="X18" s="2485">
        <v>2186.8092750000001</v>
      </c>
      <c r="Y18" s="2485">
        <v>2186.8092749999996</v>
      </c>
      <c r="Z18" s="2485">
        <v>0</v>
      </c>
      <c r="AA18" s="2485">
        <v>0</v>
      </c>
      <c r="AB18" s="2485">
        <v>26241.711299999995</v>
      </c>
      <c r="AC18" s="2485">
        <v>0</v>
      </c>
      <c r="AD18" s="2485">
        <v>0</v>
      </c>
      <c r="AE18" s="2485"/>
      <c r="AF18" s="2485"/>
      <c r="AG18" s="2485">
        <v>1900</v>
      </c>
      <c r="AH18" s="2485">
        <v>0</v>
      </c>
      <c r="AI18" s="2485">
        <v>0</v>
      </c>
      <c r="AJ18" s="2485">
        <v>0</v>
      </c>
      <c r="AK18" s="2485">
        <v>0</v>
      </c>
      <c r="AL18" s="2485">
        <v>0</v>
      </c>
      <c r="AM18" s="2485">
        <v>0</v>
      </c>
      <c r="AN18" s="2485">
        <v>0</v>
      </c>
      <c r="AO18" s="2485">
        <v>0</v>
      </c>
      <c r="AP18" s="2485">
        <v>0</v>
      </c>
      <c r="AQ18" s="2485">
        <v>0</v>
      </c>
      <c r="AR18" s="2485">
        <v>0</v>
      </c>
      <c r="AS18" s="2485">
        <v>2186.8092750000001</v>
      </c>
      <c r="AT18" s="2485">
        <f t="shared" si="1"/>
        <v>74351.515350000001</v>
      </c>
      <c r="AU18" s="2485" t="e">
        <f>#REF!</f>
        <v>#REF!</v>
      </c>
      <c r="AV18" s="2485" t="e">
        <f>#REF!</f>
        <v>#REF!</v>
      </c>
      <c r="AW18" s="2485" t="e">
        <f>#REF!</f>
        <v>#REF!</v>
      </c>
      <c r="AX18" s="2485" t="e">
        <f>#REF!</f>
        <v>#REF!</v>
      </c>
      <c r="AY18" s="2485" t="e">
        <f>#REF!</f>
        <v>#REF!</v>
      </c>
      <c r="AZ18" s="2485" t="e">
        <f>#REF!</f>
        <v>#REF!</v>
      </c>
      <c r="BA18" s="2485" t="e">
        <f>#REF!</f>
        <v>#REF!</v>
      </c>
      <c r="BB18" s="2484" t="e">
        <f>#REF!</f>
        <v>#REF!</v>
      </c>
      <c r="BC18" s="2484" t="e">
        <f>#REF!</f>
        <v>#REF!</v>
      </c>
      <c r="BD18" s="2484" t="e">
        <f>#REF!</f>
        <v>#REF!</v>
      </c>
      <c r="BE18" s="2484">
        <f t="shared" si="0"/>
        <v>34</v>
      </c>
      <c r="BF18" s="2484"/>
      <c r="BG18" s="2484"/>
      <c r="BH18" s="2484"/>
      <c r="BI18" s="2466">
        <v>1</v>
      </c>
      <c r="BM18" s="2466"/>
    </row>
    <row r="19" spans="3:65" ht="31.8" customHeight="1">
      <c r="D19" s="2486">
        <v>11</v>
      </c>
      <c r="E19" s="2486" t="s">
        <v>5291</v>
      </c>
      <c r="F19" s="2484" t="s">
        <v>5292</v>
      </c>
      <c r="G19" s="2486" t="s">
        <v>3262</v>
      </c>
      <c r="H19" s="2484">
        <v>17</v>
      </c>
      <c r="I19" s="2485">
        <v>113234.42294981251</v>
      </c>
      <c r="J19" s="2485">
        <v>679406.53769887506</v>
      </c>
      <c r="K19" s="2485">
        <v>0</v>
      </c>
      <c r="L19" s="2485">
        <v>0</v>
      </c>
      <c r="M19" s="2485">
        <v>98383.25</v>
      </c>
      <c r="N19" s="2485">
        <v>0</v>
      </c>
      <c r="O19" s="2485">
        <v>0</v>
      </c>
      <c r="P19" s="2485">
        <v>98383.25</v>
      </c>
      <c r="Q19" s="2485">
        <v>4919.1625000000004</v>
      </c>
      <c r="R19" s="2485">
        <v>103302.41250000001</v>
      </c>
      <c r="S19" s="2485">
        <v>5681.6326875000004</v>
      </c>
      <c r="T19" s="2485">
        <v>108984.0451875</v>
      </c>
      <c r="U19" s="2485">
        <v>4250.3777623124997</v>
      </c>
      <c r="V19" s="2485">
        <v>113234.42294981251</v>
      </c>
      <c r="W19" s="2485">
        <v>0</v>
      </c>
      <c r="X19" s="2485">
        <v>113234.42294981251</v>
      </c>
      <c r="Y19" s="2485">
        <v>0</v>
      </c>
      <c r="Z19" s="2485">
        <v>113234.42294981249</v>
      </c>
      <c r="AA19" s="2485">
        <v>0</v>
      </c>
      <c r="AB19" s="2485">
        <v>0</v>
      </c>
      <c r="AC19" s="2485">
        <v>679406.53769887495</v>
      </c>
      <c r="AD19" s="2485">
        <v>0</v>
      </c>
      <c r="AE19" s="2485"/>
      <c r="AF19" s="2485"/>
      <c r="AG19" s="2485">
        <v>0</v>
      </c>
      <c r="AH19" s="2485">
        <v>0</v>
      </c>
      <c r="AI19" s="2485">
        <v>98383.25</v>
      </c>
      <c r="AJ19" s="2485">
        <v>0</v>
      </c>
      <c r="AK19" s="2485">
        <v>0</v>
      </c>
      <c r="AL19" s="2485">
        <v>0</v>
      </c>
      <c r="AM19" s="2485">
        <v>0</v>
      </c>
      <c r="AN19" s="2485">
        <v>0</v>
      </c>
      <c r="AO19" s="2485">
        <v>0</v>
      </c>
      <c r="AP19" s="2485">
        <v>0</v>
      </c>
      <c r="AQ19" s="2485">
        <v>0</v>
      </c>
      <c r="AR19" s="2485">
        <v>0</v>
      </c>
      <c r="AS19" s="2485">
        <v>113234.42294981251</v>
      </c>
      <c r="AT19" s="2485">
        <f t="shared" si="1"/>
        <v>1924985.1901468127</v>
      </c>
      <c r="AU19" s="2485" t="e">
        <f>#REF!</f>
        <v>#REF!</v>
      </c>
      <c r="AV19" s="2485" t="e">
        <f>#REF!</f>
        <v>#REF!</v>
      </c>
      <c r="AW19" s="2485" t="e">
        <f>#REF!</f>
        <v>#REF!</v>
      </c>
      <c r="AX19" s="2485" t="e">
        <f>#REF!</f>
        <v>#REF!</v>
      </c>
      <c r="AY19" s="2485" t="e">
        <f>#REF!</f>
        <v>#REF!</v>
      </c>
      <c r="AZ19" s="2485" t="e">
        <f>#REF!</f>
        <v>#REF!</v>
      </c>
      <c r="BA19" s="2485" t="e">
        <f>#REF!</f>
        <v>#REF!</v>
      </c>
      <c r="BB19" s="2484" t="e">
        <f>#REF!</f>
        <v>#REF!</v>
      </c>
      <c r="BC19" s="2484" t="e">
        <f>#REF!</f>
        <v>#REF!</v>
      </c>
      <c r="BD19" s="2484" t="e">
        <f>#REF!</f>
        <v>#REF!</v>
      </c>
      <c r="BE19" s="2484">
        <f t="shared" si="0"/>
        <v>17</v>
      </c>
      <c r="BF19" s="2484"/>
      <c r="BG19" s="2484"/>
      <c r="BH19" s="2484"/>
      <c r="BI19" s="2466">
        <v>1</v>
      </c>
      <c r="BM19" s="2466"/>
    </row>
    <row r="20" spans="3:65" ht="31.8" customHeight="1">
      <c r="D20" s="2326" t="s">
        <v>941</v>
      </c>
      <c r="E20" s="2326" t="s">
        <v>1903</v>
      </c>
      <c r="F20" s="2490" t="s">
        <v>5293</v>
      </c>
      <c r="G20" s="2486"/>
      <c r="H20" s="2484"/>
      <c r="I20" s="2485"/>
      <c r="J20" s="2485"/>
      <c r="K20" s="2485"/>
      <c r="L20" s="2485"/>
      <c r="M20" s="2485"/>
      <c r="N20" s="2485"/>
      <c r="O20" s="2485"/>
      <c r="P20" s="2485"/>
      <c r="Q20" s="2485"/>
      <c r="R20" s="2485"/>
      <c r="S20" s="2485"/>
      <c r="T20" s="2485"/>
      <c r="U20" s="2485"/>
      <c r="V20" s="2485"/>
      <c r="W20" s="2485"/>
      <c r="X20" s="2485"/>
      <c r="Y20" s="2485"/>
      <c r="Z20" s="2485"/>
      <c r="AA20" s="2485"/>
      <c r="AB20" s="2485"/>
      <c r="AC20" s="2485"/>
      <c r="AD20" s="2485"/>
      <c r="AE20" s="2485"/>
      <c r="AF20" s="2485"/>
      <c r="AG20" s="2485"/>
      <c r="AH20" s="2485"/>
      <c r="AI20" s="2485"/>
      <c r="AJ20" s="2485"/>
      <c r="AK20" s="2485"/>
      <c r="AL20" s="2485"/>
      <c r="AM20" s="2485"/>
      <c r="AN20" s="2485"/>
      <c r="AO20" s="2485"/>
      <c r="AP20" s="2485"/>
      <c r="AQ20" s="2485"/>
      <c r="AR20" s="2485"/>
      <c r="AS20" s="2485"/>
      <c r="AT20" s="2485"/>
      <c r="AU20" s="2485" t="e">
        <f>#REF!</f>
        <v>#REF!</v>
      </c>
      <c r="AV20" s="2485" t="e">
        <f>#REF!</f>
        <v>#REF!</v>
      </c>
      <c r="AW20" s="2485" t="e">
        <f>#REF!</f>
        <v>#REF!</v>
      </c>
      <c r="AX20" s="2485" t="e">
        <f>#REF!</f>
        <v>#REF!</v>
      </c>
      <c r="AY20" s="2485" t="e">
        <f>#REF!</f>
        <v>#REF!</v>
      </c>
      <c r="AZ20" s="2485" t="e">
        <f>#REF!</f>
        <v>#REF!</v>
      </c>
      <c r="BA20" s="2485" t="e">
        <f>#REF!</f>
        <v>#REF!</v>
      </c>
      <c r="BB20" s="2484" t="e">
        <f>#REF!</f>
        <v>#REF!</v>
      </c>
      <c r="BC20" s="2484" t="e">
        <f>#REF!</f>
        <v>#REF!</v>
      </c>
      <c r="BD20" s="2484" t="e">
        <f>#REF!</f>
        <v>#REF!</v>
      </c>
      <c r="BE20" s="2484"/>
      <c r="BF20" s="2484"/>
      <c r="BG20" s="2484"/>
      <c r="BH20" s="2484"/>
      <c r="BM20" s="2466"/>
    </row>
    <row r="21" spans="3:65" s="2491" customFormat="1" ht="31.8" customHeight="1">
      <c r="D21" s="2492">
        <v>12</v>
      </c>
      <c r="E21" s="2492">
        <v>1</v>
      </c>
      <c r="F21" s="2493" t="s">
        <v>5294</v>
      </c>
      <c r="G21" s="2492" t="s">
        <v>2394</v>
      </c>
      <c r="H21" s="2494">
        <v>16</v>
      </c>
      <c r="I21" s="2493">
        <v>4028332.875</v>
      </c>
      <c r="J21" s="2493">
        <v>24169997.25</v>
      </c>
      <c r="K21" s="2493">
        <v>3500000</v>
      </c>
      <c r="L21" s="2493">
        <v>0</v>
      </c>
      <c r="M21" s="2493">
        <v>0</v>
      </c>
      <c r="N21" s="2493">
        <v>0</v>
      </c>
      <c r="O21" s="2493">
        <v>0</v>
      </c>
      <c r="P21" s="2493">
        <v>3500000</v>
      </c>
      <c r="Q21" s="2493">
        <v>175000</v>
      </c>
      <c r="R21" s="2493">
        <v>3675000</v>
      </c>
      <c r="S21" s="2493">
        <v>202125</v>
      </c>
      <c r="T21" s="2493">
        <v>3877125</v>
      </c>
      <c r="U21" s="2493">
        <v>151207.875</v>
      </c>
      <c r="V21" s="2493">
        <v>4028332.875</v>
      </c>
      <c r="W21" s="2493">
        <v>0</v>
      </c>
      <c r="X21" s="2493">
        <v>4028332.875</v>
      </c>
      <c r="Y21" s="2493">
        <v>4028332.8749999995</v>
      </c>
      <c r="Z21" s="2493">
        <v>0</v>
      </c>
      <c r="AA21" s="2493">
        <v>0</v>
      </c>
      <c r="AB21" s="2493">
        <v>24169997.249999996</v>
      </c>
      <c r="AC21" s="2493">
        <v>0</v>
      </c>
      <c r="AD21" s="2493">
        <v>0</v>
      </c>
      <c r="AE21" s="2493"/>
      <c r="AF21" s="2493"/>
      <c r="AG21" s="2493">
        <v>3500000</v>
      </c>
      <c r="AH21" s="2493">
        <v>0</v>
      </c>
      <c r="AI21" s="2493">
        <v>0</v>
      </c>
      <c r="AJ21" s="2493">
        <v>0</v>
      </c>
      <c r="AK21" s="2493">
        <v>0</v>
      </c>
      <c r="AL21" s="2493">
        <v>0</v>
      </c>
      <c r="AM21" s="2493">
        <v>0</v>
      </c>
      <c r="AN21" s="2493">
        <v>0</v>
      </c>
      <c r="AO21" s="2493">
        <v>0</v>
      </c>
      <c r="AP21" s="2493">
        <v>0</v>
      </c>
      <c r="AQ21" s="2493">
        <v>0</v>
      </c>
      <c r="AR21" s="2493">
        <v>0</v>
      </c>
      <c r="AS21" s="2493">
        <v>3500000</v>
      </c>
      <c r="AT21" s="2493">
        <f xml:space="preserve"> AS21*$H21</f>
        <v>56000000</v>
      </c>
      <c r="AU21" s="2493" t="e">
        <f>#REF!</f>
        <v>#REF!</v>
      </c>
      <c r="AV21" s="2493" t="e">
        <f>#REF!</f>
        <v>#REF!</v>
      </c>
      <c r="AW21" s="2493" t="e">
        <f>#REF!</f>
        <v>#REF!</v>
      </c>
      <c r="AX21" s="2493" t="e">
        <f>#REF!</f>
        <v>#REF!</v>
      </c>
      <c r="AY21" s="2493" t="e">
        <f>#REF!</f>
        <v>#REF!</v>
      </c>
      <c r="AZ21" s="2493" t="e">
        <f>#REF!</f>
        <v>#REF!</v>
      </c>
      <c r="BA21" s="2493" t="e">
        <f>#REF!</f>
        <v>#REF!</v>
      </c>
      <c r="BB21" s="2494" t="e">
        <f>#REF!</f>
        <v>#REF!</v>
      </c>
      <c r="BC21" s="2494" t="e">
        <f>#REF!</f>
        <v>#REF!</v>
      </c>
      <c r="BD21" s="2494" t="e">
        <f>#REF!</f>
        <v>#REF!</v>
      </c>
      <c r="BE21" s="2484">
        <f t="shared" si="0"/>
        <v>16</v>
      </c>
      <c r="BF21" s="2494"/>
      <c r="BG21" s="2494"/>
      <c r="BH21" s="2494"/>
      <c r="BI21" s="2491">
        <v>2</v>
      </c>
    </row>
    <row r="22" spans="3:65" s="2491" customFormat="1" ht="31.8" customHeight="1">
      <c r="C22" s="2491">
        <v>11</v>
      </c>
      <c r="D22" s="2492">
        <v>13</v>
      </c>
      <c r="E22" s="2492"/>
      <c r="F22" s="2493" t="s">
        <v>5295</v>
      </c>
      <c r="G22" s="2492" t="s">
        <v>2394</v>
      </c>
      <c r="H22" s="2494">
        <f>+H21</f>
        <v>16</v>
      </c>
      <c r="I22" s="2493"/>
      <c r="J22" s="2493"/>
      <c r="K22" s="2493"/>
      <c r="L22" s="2493"/>
      <c r="M22" s="2493"/>
      <c r="N22" s="2493"/>
      <c r="O22" s="2493"/>
      <c r="P22" s="2493"/>
      <c r="Q22" s="2493"/>
      <c r="R22" s="2493"/>
      <c r="S22" s="2493"/>
      <c r="T22" s="2493"/>
      <c r="U22" s="2493"/>
      <c r="V22" s="2493"/>
      <c r="W22" s="2493"/>
      <c r="X22" s="2493"/>
      <c r="Y22" s="2493"/>
      <c r="Z22" s="2493"/>
      <c r="AA22" s="2493"/>
      <c r="AB22" s="2493"/>
      <c r="AC22" s="2493"/>
      <c r="AD22" s="2493"/>
      <c r="AE22" s="2493"/>
      <c r="AF22" s="2493"/>
      <c r="AG22" s="2493"/>
      <c r="AH22" s="2493"/>
      <c r="AI22" s="2493"/>
      <c r="AJ22" s="2493"/>
      <c r="AK22" s="2493"/>
      <c r="AL22" s="2493"/>
      <c r="AM22" s="2493"/>
      <c r="AN22" s="2493"/>
      <c r="AO22" s="2493"/>
      <c r="AP22" s="2493"/>
      <c r="AQ22" s="2493"/>
      <c r="AR22" s="2493"/>
      <c r="AS22" s="2493">
        <v>137000</v>
      </c>
      <c r="AT22" s="2493">
        <f t="shared" ref="AT22:AT36" si="2" xml:space="preserve"> AS22*$H22</f>
        <v>2192000</v>
      </c>
      <c r="AU22" s="2493"/>
      <c r="AV22" s="2493"/>
      <c r="AW22" s="2493"/>
      <c r="AX22" s="2493"/>
      <c r="AY22" s="2493"/>
      <c r="AZ22" s="2493"/>
      <c r="BA22" s="2493"/>
      <c r="BB22" s="2494"/>
      <c r="BC22" s="2494"/>
      <c r="BD22" s="2494"/>
      <c r="BE22" s="2484">
        <f t="shared" si="0"/>
        <v>16</v>
      </c>
      <c r="BF22" s="2494"/>
      <c r="BG22" s="2494"/>
      <c r="BH22" s="2494"/>
      <c r="BI22" s="2491">
        <v>2</v>
      </c>
    </row>
    <row r="23" spans="3:65" s="2491" customFormat="1" ht="31.8" customHeight="1">
      <c r="C23" s="2491">
        <v>2</v>
      </c>
      <c r="D23" s="2492">
        <v>14</v>
      </c>
      <c r="E23" s="2492">
        <v>2</v>
      </c>
      <c r="F23" s="2493" t="s">
        <v>5296</v>
      </c>
      <c r="G23" s="2492" t="s">
        <v>1829</v>
      </c>
      <c r="H23" s="2494">
        <f>20*16</f>
        <v>320</v>
      </c>
      <c r="I23" s="2493">
        <v>16688.807625000001</v>
      </c>
      <c r="J23" s="2493">
        <v>750996.34312500001</v>
      </c>
      <c r="K23" s="2493">
        <v>14500</v>
      </c>
      <c r="L23" s="2493">
        <v>0</v>
      </c>
      <c r="M23" s="2493">
        <v>0</v>
      </c>
      <c r="N23" s="2493">
        <v>0</v>
      </c>
      <c r="O23" s="2493">
        <v>0</v>
      </c>
      <c r="P23" s="2493">
        <v>14500</v>
      </c>
      <c r="Q23" s="2493">
        <v>725</v>
      </c>
      <c r="R23" s="2493">
        <v>15225</v>
      </c>
      <c r="S23" s="2493">
        <v>837.375</v>
      </c>
      <c r="T23" s="2493">
        <v>16062.375</v>
      </c>
      <c r="U23" s="2493">
        <v>626.43262500000003</v>
      </c>
      <c r="V23" s="2493">
        <v>16688.807625000001</v>
      </c>
      <c r="W23" s="2493">
        <v>0</v>
      </c>
      <c r="X23" s="2493">
        <v>16688.807625000001</v>
      </c>
      <c r="Y23" s="2493">
        <v>16688.807624999998</v>
      </c>
      <c r="Z23" s="2493">
        <v>0</v>
      </c>
      <c r="AA23" s="2493">
        <v>0</v>
      </c>
      <c r="AB23" s="2493">
        <v>750996.3431249999</v>
      </c>
      <c r="AC23" s="2493">
        <v>0</v>
      </c>
      <c r="AD23" s="2493">
        <v>0</v>
      </c>
      <c r="AE23" s="2493"/>
      <c r="AF23" s="2493"/>
      <c r="AG23" s="2493">
        <v>14500</v>
      </c>
      <c r="AH23" s="2493">
        <v>0</v>
      </c>
      <c r="AI23" s="2493">
        <v>0</v>
      </c>
      <c r="AJ23" s="2493">
        <v>0</v>
      </c>
      <c r="AK23" s="2493">
        <v>0</v>
      </c>
      <c r="AL23" s="2493">
        <v>0</v>
      </c>
      <c r="AM23" s="2493">
        <v>0</v>
      </c>
      <c r="AN23" s="2493">
        <v>0</v>
      </c>
      <c r="AO23" s="2493">
        <v>0</v>
      </c>
      <c r="AP23" s="2493">
        <v>0</v>
      </c>
      <c r="AQ23" s="2493">
        <v>0</v>
      </c>
      <c r="AR23" s="2493">
        <v>0</v>
      </c>
      <c r="AS23" s="2493">
        <v>5000</v>
      </c>
      <c r="AT23" s="2493">
        <f t="shared" si="2"/>
        <v>1600000</v>
      </c>
      <c r="AU23" s="2493" t="e">
        <f>#REF!</f>
        <v>#REF!</v>
      </c>
      <c r="AV23" s="2493" t="e">
        <f>#REF!</f>
        <v>#REF!</v>
      </c>
      <c r="AW23" s="2493" t="e">
        <f>#REF!</f>
        <v>#REF!</v>
      </c>
      <c r="AX23" s="2493" t="e">
        <f>#REF!</f>
        <v>#REF!</v>
      </c>
      <c r="AY23" s="2493" t="e">
        <f>#REF!</f>
        <v>#REF!</v>
      </c>
      <c r="AZ23" s="2493" t="e">
        <f>#REF!</f>
        <v>#REF!</v>
      </c>
      <c r="BA23" s="2493" t="e">
        <f>#REF!</f>
        <v>#REF!</v>
      </c>
      <c r="BB23" s="2494" t="e">
        <f>#REF!</f>
        <v>#REF!</v>
      </c>
      <c r="BC23" s="2494" t="e">
        <f>#REF!</f>
        <v>#REF!</v>
      </c>
      <c r="BD23" s="2494" t="e">
        <f>#REF!</f>
        <v>#REF!</v>
      </c>
      <c r="BE23" s="2484">
        <f t="shared" si="0"/>
        <v>320</v>
      </c>
      <c r="BF23" s="2494"/>
      <c r="BG23" s="2494"/>
      <c r="BH23" s="2494"/>
      <c r="BI23" s="2491">
        <v>2</v>
      </c>
      <c r="BL23" s="2466" t="s">
        <v>5297</v>
      </c>
      <c r="BM23" s="2470">
        <v>43915</v>
      </c>
    </row>
    <row r="24" spans="3:65" s="2491" customFormat="1" ht="31.8" customHeight="1">
      <c r="C24" s="2491">
        <v>12</v>
      </c>
      <c r="D24" s="2492">
        <v>15</v>
      </c>
      <c r="E24" s="2492">
        <v>3</v>
      </c>
      <c r="F24" s="2493" t="s">
        <v>5298</v>
      </c>
      <c r="G24" s="2492" t="s">
        <v>2448</v>
      </c>
      <c r="H24" s="2494">
        <f>+H22</f>
        <v>16</v>
      </c>
      <c r="I24" s="2493">
        <v>172642.83749999999</v>
      </c>
      <c r="J24" s="2493">
        <v>517928.51249999995</v>
      </c>
      <c r="K24" s="2493">
        <v>150000</v>
      </c>
      <c r="L24" s="2493">
        <v>0</v>
      </c>
      <c r="M24" s="2493">
        <v>0</v>
      </c>
      <c r="N24" s="2493">
        <v>0</v>
      </c>
      <c r="O24" s="2493">
        <v>0</v>
      </c>
      <c r="P24" s="2493">
        <v>150000</v>
      </c>
      <c r="Q24" s="2493">
        <v>7500</v>
      </c>
      <c r="R24" s="2493">
        <v>157500</v>
      </c>
      <c r="S24" s="2493">
        <v>8662.5</v>
      </c>
      <c r="T24" s="2493">
        <v>166162.5</v>
      </c>
      <c r="U24" s="2493">
        <v>6480.3374999999996</v>
      </c>
      <c r="V24" s="2493">
        <v>172642.83749999999</v>
      </c>
      <c r="W24" s="2493">
        <v>0</v>
      </c>
      <c r="X24" s="2493">
        <v>172642.83749999999</v>
      </c>
      <c r="Y24" s="2493">
        <v>172642.83749999999</v>
      </c>
      <c r="Z24" s="2493">
        <v>0</v>
      </c>
      <c r="AA24" s="2493">
        <v>0</v>
      </c>
      <c r="AB24" s="2493">
        <v>517928.51249999995</v>
      </c>
      <c r="AC24" s="2493">
        <v>0</v>
      </c>
      <c r="AD24" s="2493">
        <v>0</v>
      </c>
      <c r="AE24" s="2493"/>
      <c r="AF24" s="2493"/>
      <c r="AG24" s="2493">
        <v>150000</v>
      </c>
      <c r="AH24" s="2493">
        <v>0</v>
      </c>
      <c r="AI24" s="2493">
        <v>0</v>
      </c>
      <c r="AJ24" s="2493">
        <v>0</v>
      </c>
      <c r="AK24" s="2493">
        <v>0</v>
      </c>
      <c r="AL24" s="2493">
        <v>0</v>
      </c>
      <c r="AM24" s="2493">
        <v>0</v>
      </c>
      <c r="AN24" s="2493">
        <v>0</v>
      </c>
      <c r="AO24" s="2493">
        <v>0</v>
      </c>
      <c r="AP24" s="2493">
        <v>0</v>
      </c>
      <c r="AQ24" s="2493">
        <v>0</v>
      </c>
      <c r="AR24" s="2493">
        <v>0</v>
      </c>
      <c r="AS24" s="2493">
        <v>5000</v>
      </c>
      <c r="AT24" s="2493">
        <f t="shared" si="2"/>
        <v>80000</v>
      </c>
      <c r="AU24" s="2493"/>
      <c r="AV24" s="2493"/>
      <c r="AW24" s="2493"/>
      <c r="AX24" s="2493"/>
      <c r="AY24" s="2493"/>
      <c r="AZ24" s="2493"/>
      <c r="BA24" s="2493"/>
      <c r="BB24" s="2494"/>
      <c r="BC24" s="2494"/>
      <c r="BD24" s="2494"/>
      <c r="BE24" s="2484">
        <f t="shared" si="0"/>
        <v>16</v>
      </c>
      <c r="BF24" s="2494"/>
      <c r="BG24" s="2494"/>
      <c r="BH24" s="2494"/>
      <c r="BI24" s="2491">
        <v>2</v>
      </c>
    </row>
    <row r="25" spans="3:65" s="2491" customFormat="1" ht="31.8" customHeight="1">
      <c r="C25" s="2491">
        <v>3</v>
      </c>
      <c r="D25" s="2492">
        <v>16</v>
      </c>
      <c r="E25" s="2492"/>
      <c r="F25" s="2493" t="s">
        <v>5299</v>
      </c>
      <c r="G25" s="2492" t="s">
        <v>1829</v>
      </c>
      <c r="H25" s="2494">
        <v>2000</v>
      </c>
      <c r="I25" s="2493"/>
      <c r="J25" s="2493"/>
      <c r="K25" s="2493"/>
      <c r="L25" s="2493"/>
      <c r="M25" s="2493"/>
      <c r="N25" s="2493"/>
      <c r="O25" s="2493"/>
      <c r="P25" s="2493"/>
      <c r="Q25" s="2493"/>
      <c r="R25" s="2493"/>
      <c r="S25" s="2493"/>
      <c r="T25" s="2493"/>
      <c r="U25" s="2493"/>
      <c r="V25" s="2493"/>
      <c r="W25" s="2493"/>
      <c r="X25" s="2493"/>
      <c r="Y25" s="2493"/>
      <c r="Z25" s="2493"/>
      <c r="AA25" s="2493"/>
      <c r="AB25" s="2493"/>
      <c r="AC25" s="2493"/>
      <c r="AD25" s="2493"/>
      <c r="AE25" s="2493"/>
      <c r="AF25" s="2493"/>
      <c r="AG25" s="2493"/>
      <c r="AH25" s="2493"/>
      <c r="AI25" s="2493"/>
      <c r="AJ25" s="2493"/>
      <c r="AK25" s="2493"/>
      <c r="AL25" s="2493"/>
      <c r="AM25" s="2493"/>
      <c r="AN25" s="2493"/>
      <c r="AO25" s="2493"/>
      <c r="AP25" s="2493"/>
      <c r="AQ25" s="2493"/>
      <c r="AR25" s="2493"/>
      <c r="AS25" s="2493">
        <v>92000</v>
      </c>
      <c r="AT25" s="2493">
        <f t="shared" si="2"/>
        <v>184000000</v>
      </c>
      <c r="AU25" s="2493"/>
      <c r="AV25" s="2493"/>
      <c r="AW25" s="2493"/>
      <c r="AX25" s="2493"/>
      <c r="AY25" s="2493"/>
      <c r="AZ25" s="2493"/>
      <c r="BA25" s="2493"/>
      <c r="BB25" s="2494"/>
      <c r="BC25" s="2494"/>
      <c r="BD25" s="2494"/>
      <c r="BE25" s="2484">
        <f t="shared" si="0"/>
        <v>2000</v>
      </c>
      <c r="BF25" s="2494"/>
      <c r="BG25" s="2494"/>
      <c r="BH25" s="2494"/>
      <c r="BI25" s="2491">
        <v>2</v>
      </c>
      <c r="BL25" s="2466" t="s">
        <v>5300</v>
      </c>
      <c r="BM25" s="2470">
        <v>43915</v>
      </c>
    </row>
    <row r="26" spans="3:65" ht="31.8" customHeight="1">
      <c r="C26" s="2466">
        <v>13</v>
      </c>
      <c r="D26" s="2486">
        <v>17</v>
      </c>
      <c r="E26" s="2486"/>
      <c r="F26" s="2485" t="s">
        <v>5301</v>
      </c>
      <c r="G26" s="2486" t="s">
        <v>2601</v>
      </c>
      <c r="H26" s="2484">
        <f>1100/4</f>
        <v>275</v>
      </c>
      <c r="I26" s="2485"/>
      <c r="J26" s="2485"/>
      <c r="K26" s="2485"/>
      <c r="L26" s="2485"/>
      <c r="M26" s="2485"/>
      <c r="N26" s="2485"/>
      <c r="O26" s="2485"/>
      <c r="P26" s="2485"/>
      <c r="Q26" s="2485"/>
      <c r="R26" s="2485"/>
      <c r="S26" s="2485"/>
      <c r="T26" s="2485"/>
      <c r="U26" s="2485"/>
      <c r="V26" s="2485"/>
      <c r="W26" s="2485"/>
      <c r="X26" s="2485"/>
      <c r="Y26" s="2485"/>
      <c r="Z26" s="2485"/>
      <c r="AA26" s="2485"/>
      <c r="AB26" s="2485"/>
      <c r="AC26" s="2485"/>
      <c r="AD26" s="2485"/>
      <c r="AE26" s="2485"/>
      <c r="AF26" s="2485"/>
      <c r="AG26" s="2485"/>
      <c r="AH26" s="2485"/>
      <c r="AI26" s="2485"/>
      <c r="AJ26" s="2485"/>
      <c r="AK26" s="2485"/>
      <c r="AL26" s="2485"/>
      <c r="AM26" s="2485"/>
      <c r="AN26" s="2485"/>
      <c r="AO26" s="2485"/>
      <c r="AP26" s="2485"/>
      <c r="AQ26" s="2485"/>
      <c r="AR26" s="2485"/>
      <c r="AS26" s="2485">
        <v>28000</v>
      </c>
      <c r="AT26" s="2485">
        <f t="shared" si="2"/>
        <v>7700000</v>
      </c>
      <c r="AU26" s="2485"/>
      <c r="AV26" s="2485"/>
      <c r="AW26" s="2485"/>
      <c r="AX26" s="2485"/>
      <c r="AY26" s="2485"/>
      <c r="AZ26" s="2485"/>
      <c r="BA26" s="2485"/>
      <c r="BB26" s="2484"/>
      <c r="BC26" s="2484"/>
      <c r="BD26" s="2484"/>
      <c r="BE26" s="2484">
        <f t="shared" si="0"/>
        <v>275</v>
      </c>
      <c r="BF26" s="2484"/>
      <c r="BG26" s="2484"/>
      <c r="BH26" s="2484"/>
      <c r="BI26" s="2491">
        <v>2</v>
      </c>
      <c r="BM26" s="2466"/>
    </row>
    <row r="27" spans="3:65" ht="31.8" customHeight="1">
      <c r="C27" s="2466">
        <v>14</v>
      </c>
      <c r="D27" s="2486">
        <v>18</v>
      </c>
      <c r="E27" s="2486"/>
      <c r="F27" s="2485" t="s">
        <v>5302</v>
      </c>
      <c r="G27" s="2486" t="s">
        <v>2566</v>
      </c>
      <c r="H27" s="2484">
        <f>34*2</f>
        <v>68</v>
      </c>
      <c r="I27" s="2485"/>
      <c r="J27" s="2485"/>
      <c r="K27" s="2485"/>
      <c r="L27" s="2485"/>
      <c r="M27" s="2485"/>
      <c r="N27" s="2485"/>
      <c r="O27" s="2485"/>
      <c r="P27" s="2485"/>
      <c r="Q27" s="2485"/>
      <c r="R27" s="2485"/>
      <c r="S27" s="2485"/>
      <c r="T27" s="2485"/>
      <c r="U27" s="2485"/>
      <c r="V27" s="2485"/>
      <c r="W27" s="2485"/>
      <c r="X27" s="2485"/>
      <c r="Y27" s="2485"/>
      <c r="Z27" s="2485"/>
      <c r="AA27" s="2485"/>
      <c r="AB27" s="2485"/>
      <c r="AC27" s="2485"/>
      <c r="AD27" s="2485"/>
      <c r="AE27" s="2485"/>
      <c r="AF27" s="2485"/>
      <c r="AG27" s="2485"/>
      <c r="AH27" s="2485"/>
      <c r="AI27" s="2485"/>
      <c r="AJ27" s="2485"/>
      <c r="AK27" s="2485"/>
      <c r="AL27" s="2485"/>
      <c r="AM27" s="2485"/>
      <c r="AN27" s="2485"/>
      <c r="AO27" s="2485"/>
      <c r="AP27" s="2485"/>
      <c r="AQ27" s="2485"/>
      <c r="AR27" s="2485"/>
      <c r="AS27" s="2485">
        <v>5000</v>
      </c>
      <c r="AT27" s="2485">
        <f t="shared" si="2"/>
        <v>340000</v>
      </c>
      <c r="AU27" s="2485"/>
      <c r="AV27" s="2485"/>
      <c r="AW27" s="2485"/>
      <c r="AX27" s="2485"/>
      <c r="AY27" s="2485"/>
      <c r="AZ27" s="2485"/>
      <c r="BA27" s="2485"/>
      <c r="BB27" s="2484"/>
      <c r="BC27" s="2484"/>
      <c r="BD27" s="2484"/>
      <c r="BE27" s="2484">
        <f t="shared" si="0"/>
        <v>68</v>
      </c>
      <c r="BF27" s="2484"/>
      <c r="BG27" s="2484"/>
      <c r="BH27" s="2484"/>
      <c r="BI27" s="2491">
        <v>2</v>
      </c>
      <c r="BM27" s="2466"/>
    </row>
    <row r="28" spans="3:65" ht="31.8" customHeight="1">
      <c r="C28" s="2466">
        <v>15</v>
      </c>
      <c r="D28" s="2486">
        <v>19</v>
      </c>
      <c r="E28" s="2486">
        <v>3</v>
      </c>
      <c r="F28" s="2484" t="s">
        <v>5303</v>
      </c>
      <c r="G28" s="2486" t="s">
        <v>2448</v>
      </c>
      <c r="H28" s="2484">
        <v>68</v>
      </c>
      <c r="I28" s="2485">
        <v>172642.83749999999</v>
      </c>
      <c r="J28" s="2485">
        <v>517928.51249999995</v>
      </c>
      <c r="K28" s="2485">
        <v>150000</v>
      </c>
      <c r="L28" s="2485">
        <v>0</v>
      </c>
      <c r="M28" s="2485">
        <v>0</v>
      </c>
      <c r="N28" s="2485">
        <v>0</v>
      </c>
      <c r="O28" s="2485">
        <v>0</v>
      </c>
      <c r="P28" s="2485">
        <v>150000</v>
      </c>
      <c r="Q28" s="2485">
        <v>7500</v>
      </c>
      <c r="R28" s="2485">
        <v>157500</v>
      </c>
      <c r="S28" s="2485">
        <v>8662.5</v>
      </c>
      <c r="T28" s="2485">
        <v>166162.5</v>
      </c>
      <c r="U28" s="2485">
        <v>6480.3374999999996</v>
      </c>
      <c r="V28" s="2485">
        <v>172642.83749999999</v>
      </c>
      <c r="W28" s="2485">
        <v>0</v>
      </c>
      <c r="X28" s="2485">
        <v>172642.83749999999</v>
      </c>
      <c r="Y28" s="2485">
        <v>172642.83749999999</v>
      </c>
      <c r="Z28" s="2485">
        <v>0</v>
      </c>
      <c r="AA28" s="2485">
        <v>0</v>
      </c>
      <c r="AB28" s="2485">
        <v>517928.51249999995</v>
      </c>
      <c r="AC28" s="2485">
        <v>0</v>
      </c>
      <c r="AD28" s="2485">
        <v>0</v>
      </c>
      <c r="AE28" s="2485"/>
      <c r="AF28" s="2485"/>
      <c r="AG28" s="2485">
        <v>150000</v>
      </c>
      <c r="AH28" s="2485">
        <v>0</v>
      </c>
      <c r="AI28" s="2485">
        <v>0</v>
      </c>
      <c r="AJ28" s="2485">
        <v>0</v>
      </c>
      <c r="AK28" s="2485">
        <v>0</v>
      </c>
      <c r="AL28" s="2485">
        <v>0</v>
      </c>
      <c r="AM28" s="2485">
        <v>0</v>
      </c>
      <c r="AN28" s="2485">
        <v>0</v>
      </c>
      <c r="AO28" s="2485">
        <v>0</v>
      </c>
      <c r="AP28" s="2485">
        <v>0</v>
      </c>
      <c r="AQ28" s="2485">
        <v>0</v>
      </c>
      <c r="AR28" s="2485">
        <v>0</v>
      </c>
      <c r="AS28" s="2485">
        <v>5000</v>
      </c>
      <c r="AT28" s="2485">
        <f t="shared" si="2"/>
        <v>340000</v>
      </c>
      <c r="AU28" s="2485" t="e">
        <f>#REF!</f>
        <v>#REF!</v>
      </c>
      <c r="AV28" s="2485" t="e">
        <f>#REF!</f>
        <v>#REF!</v>
      </c>
      <c r="AW28" s="2485" t="e">
        <f>#REF!</f>
        <v>#REF!</v>
      </c>
      <c r="AX28" s="2485" t="e">
        <f>#REF!</f>
        <v>#REF!</v>
      </c>
      <c r="AY28" s="2485" t="e">
        <f>#REF!</f>
        <v>#REF!</v>
      </c>
      <c r="AZ28" s="2485" t="e">
        <f>#REF!</f>
        <v>#REF!</v>
      </c>
      <c r="BA28" s="2485" t="e">
        <f>#REF!</f>
        <v>#REF!</v>
      </c>
      <c r="BB28" s="2484" t="e">
        <f>#REF!</f>
        <v>#REF!</v>
      </c>
      <c r="BC28" s="2484" t="e">
        <f>#REF!</f>
        <v>#REF!</v>
      </c>
      <c r="BD28" s="2484" t="e">
        <f>#REF!</f>
        <v>#REF!</v>
      </c>
      <c r="BE28" s="2484">
        <f t="shared" si="0"/>
        <v>68</v>
      </c>
      <c r="BF28" s="2484"/>
      <c r="BG28" s="2484"/>
      <c r="BH28" s="2484"/>
      <c r="BI28" s="2491">
        <v>2</v>
      </c>
      <c r="BM28" s="2466"/>
    </row>
    <row r="29" spans="3:65" ht="31.8" customHeight="1">
      <c r="C29" s="2466">
        <v>16</v>
      </c>
      <c r="D29" s="2486">
        <v>20</v>
      </c>
      <c r="E29" s="2486"/>
      <c r="F29" s="2484" t="s">
        <v>5304</v>
      </c>
      <c r="G29" s="2486" t="s">
        <v>2448</v>
      </c>
      <c r="H29" s="2484">
        <v>2</v>
      </c>
      <c r="I29" s="2485"/>
      <c r="J29" s="2485"/>
      <c r="K29" s="2485"/>
      <c r="L29" s="2485"/>
      <c r="M29" s="2485"/>
      <c r="N29" s="2485"/>
      <c r="O29" s="2485"/>
      <c r="P29" s="2485"/>
      <c r="Q29" s="2485"/>
      <c r="R29" s="2485"/>
      <c r="S29" s="2485"/>
      <c r="T29" s="2485"/>
      <c r="U29" s="2485"/>
      <c r="V29" s="2485"/>
      <c r="W29" s="2485"/>
      <c r="X29" s="2485"/>
      <c r="Y29" s="2485"/>
      <c r="Z29" s="2485"/>
      <c r="AA29" s="2485"/>
      <c r="AB29" s="2485"/>
      <c r="AC29" s="2485"/>
      <c r="AD29" s="2485"/>
      <c r="AE29" s="2485"/>
      <c r="AF29" s="2485"/>
      <c r="AG29" s="2485"/>
      <c r="AH29" s="2485"/>
      <c r="AI29" s="2485"/>
      <c r="AJ29" s="2485"/>
      <c r="AK29" s="2485"/>
      <c r="AL29" s="2485"/>
      <c r="AM29" s="2485"/>
      <c r="AN29" s="2485"/>
      <c r="AO29" s="2485"/>
      <c r="AP29" s="2485"/>
      <c r="AQ29" s="2485"/>
      <c r="AR29" s="2485"/>
      <c r="AS29" s="2485">
        <v>28500000</v>
      </c>
      <c r="AT29" s="2485">
        <f t="shared" si="2"/>
        <v>57000000</v>
      </c>
      <c r="AU29" s="2485"/>
      <c r="AV29" s="2485"/>
      <c r="AW29" s="2485"/>
      <c r="AX29" s="2485"/>
      <c r="AY29" s="2485"/>
      <c r="AZ29" s="2485"/>
      <c r="BA29" s="2485"/>
      <c r="BB29" s="2484"/>
      <c r="BC29" s="2484"/>
      <c r="BD29" s="2484"/>
      <c r="BE29" s="2484">
        <f t="shared" si="0"/>
        <v>2</v>
      </c>
      <c r="BF29" s="2484"/>
      <c r="BG29" s="2484"/>
      <c r="BH29" s="2484"/>
      <c r="BI29" s="2491">
        <v>2</v>
      </c>
      <c r="BM29" s="2466"/>
    </row>
    <row r="30" spans="3:65" ht="31.8" customHeight="1">
      <c r="D30" s="2486">
        <v>21</v>
      </c>
      <c r="E30" s="2486"/>
      <c r="F30" s="2484" t="s">
        <v>5305</v>
      </c>
      <c r="G30" s="2486" t="s">
        <v>5306</v>
      </c>
      <c r="H30" s="2484">
        <v>26</v>
      </c>
      <c r="I30" s="2485"/>
      <c r="J30" s="2485"/>
      <c r="K30" s="2485"/>
      <c r="L30" s="2485"/>
      <c r="M30" s="2485"/>
      <c r="N30" s="2485"/>
      <c r="O30" s="2485"/>
      <c r="P30" s="2485"/>
      <c r="Q30" s="2485"/>
      <c r="R30" s="2485"/>
      <c r="S30" s="2485"/>
      <c r="T30" s="2485"/>
      <c r="U30" s="2485"/>
      <c r="V30" s="2485"/>
      <c r="W30" s="2485"/>
      <c r="X30" s="2485"/>
      <c r="Y30" s="2485"/>
      <c r="Z30" s="2485"/>
      <c r="AA30" s="2485"/>
      <c r="AB30" s="2485"/>
      <c r="AC30" s="2485"/>
      <c r="AD30" s="2485"/>
      <c r="AE30" s="2485"/>
      <c r="AF30" s="2485"/>
      <c r="AG30" s="2485"/>
      <c r="AH30" s="2485"/>
      <c r="AI30" s="2485"/>
      <c r="AJ30" s="2485"/>
      <c r="AK30" s="2485"/>
      <c r="AL30" s="2485"/>
      <c r="AM30" s="2485"/>
      <c r="AN30" s="2485"/>
      <c r="AO30" s="2485"/>
      <c r="AP30" s="2485"/>
      <c r="AQ30" s="2485"/>
      <c r="AR30" s="2485"/>
      <c r="AS30" s="2485">
        <v>300000</v>
      </c>
      <c r="AT30" s="2485">
        <f t="shared" si="2"/>
        <v>7800000</v>
      </c>
      <c r="AU30" s="2485"/>
      <c r="AV30" s="2485"/>
      <c r="AW30" s="2485"/>
      <c r="AX30" s="2485"/>
      <c r="AY30" s="2485"/>
      <c r="AZ30" s="2485"/>
      <c r="BA30" s="2485"/>
      <c r="BB30" s="2484"/>
      <c r="BC30" s="2484"/>
      <c r="BD30" s="2484"/>
      <c r="BE30" s="2484">
        <f t="shared" si="0"/>
        <v>26</v>
      </c>
      <c r="BF30" s="2484"/>
      <c r="BG30" s="2484"/>
      <c r="BH30" s="2484"/>
      <c r="BI30" s="2491">
        <v>2</v>
      </c>
      <c r="BM30" s="2466"/>
    </row>
    <row r="31" spans="3:65" ht="31.8" customHeight="1">
      <c r="C31" s="2466">
        <v>17</v>
      </c>
      <c r="D31" s="2486">
        <v>22</v>
      </c>
      <c r="E31" s="2486"/>
      <c r="F31" s="2484" t="s">
        <v>5307</v>
      </c>
      <c r="G31" s="2486" t="s">
        <v>2566</v>
      </c>
      <c r="H31" s="2484">
        <f>+H21</f>
        <v>16</v>
      </c>
      <c r="I31" s="2485"/>
      <c r="J31" s="2485"/>
      <c r="K31" s="2485"/>
      <c r="L31" s="2485"/>
      <c r="M31" s="2485"/>
      <c r="N31" s="2485"/>
      <c r="O31" s="2485"/>
      <c r="P31" s="2485"/>
      <c r="Q31" s="2485"/>
      <c r="R31" s="2485"/>
      <c r="S31" s="2485"/>
      <c r="T31" s="2485"/>
      <c r="U31" s="2485"/>
      <c r="V31" s="2485"/>
      <c r="W31" s="2485"/>
      <c r="X31" s="2485"/>
      <c r="Y31" s="2485"/>
      <c r="Z31" s="2485"/>
      <c r="AA31" s="2485"/>
      <c r="AB31" s="2485"/>
      <c r="AC31" s="2485"/>
      <c r="AD31" s="2485"/>
      <c r="AE31" s="2485"/>
      <c r="AF31" s="2485"/>
      <c r="AG31" s="2485"/>
      <c r="AH31" s="2485"/>
      <c r="AI31" s="2485"/>
      <c r="AJ31" s="2485"/>
      <c r="AK31" s="2485"/>
      <c r="AL31" s="2485"/>
      <c r="AM31" s="2485"/>
      <c r="AN31" s="2485"/>
      <c r="AO31" s="2485"/>
      <c r="AP31" s="2485"/>
      <c r="AQ31" s="2485"/>
      <c r="AR31" s="2485"/>
      <c r="AS31" s="2485">
        <v>97000</v>
      </c>
      <c r="AT31" s="2485">
        <f t="shared" si="2"/>
        <v>1552000</v>
      </c>
      <c r="AU31" s="2485"/>
      <c r="AV31" s="2485"/>
      <c r="AW31" s="2485"/>
      <c r="AX31" s="2485"/>
      <c r="AY31" s="2485"/>
      <c r="AZ31" s="2485"/>
      <c r="BA31" s="2485"/>
      <c r="BB31" s="2484"/>
      <c r="BC31" s="2484"/>
      <c r="BD31" s="2484"/>
      <c r="BE31" s="2484">
        <f t="shared" si="0"/>
        <v>16</v>
      </c>
      <c r="BF31" s="2484"/>
      <c r="BG31" s="2484"/>
      <c r="BH31" s="2484"/>
      <c r="BI31" s="2491">
        <v>2</v>
      </c>
    </row>
    <row r="32" spans="3:65" ht="31.8" customHeight="1">
      <c r="D32" s="2495" t="s">
        <v>1620</v>
      </c>
      <c r="E32" s="2490" t="s">
        <v>5308</v>
      </c>
      <c r="F32" s="2490" t="s">
        <v>5308</v>
      </c>
      <c r="G32" s="2496"/>
      <c r="H32" s="2484"/>
      <c r="I32" s="2485"/>
      <c r="J32" s="2485"/>
      <c r="K32" s="2485"/>
      <c r="L32" s="2485"/>
      <c r="M32" s="2485"/>
      <c r="N32" s="2485"/>
      <c r="O32" s="2485"/>
      <c r="P32" s="2485"/>
      <c r="Q32" s="2485"/>
      <c r="R32" s="2485"/>
      <c r="S32" s="2485"/>
      <c r="T32" s="2485"/>
      <c r="U32" s="2485"/>
      <c r="V32" s="2485"/>
      <c r="W32" s="2485"/>
      <c r="X32" s="2485"/>
      <c r="Y32" s="2485"/>
      <c r="Z32" s="2485"/>
      <c r="AA32" s="2485"/>
      <c r="AB32" s="2485"/>
      <c r="AC32" s="2485"/>
      <c r="AD32" s="2485"/>
      <c r="AE32" s="2485"/>
      <c r="AF32" s="2485"/>
      <c r="AG32" s="2485"/>
      <c r="AH32" s="2485"/>
      <c r="AI32" s="2485"/>
      <c r="AJ32" s="2485"/>
      <c r="AK32" s="2485"/>
      <c r="AL32" s="2485"/>
      <c r="AM32" s="2485"/>
      <c r="AN32" s="2485"/>
      <c r="AO32" s="2485"/>
      <c r="AP32" s="2485"/>
      <c r="AQ32" s="2485"/>
      <c r="AR32" s="2485"/>
      <c r="AS32" s="2485"/>
      <c r="AT32" s="2485"/>
      <c r="AU32" s="2485"/>
      <c r="AV32" s="2485"/>
      <c r="AW32" s="2485"/>
      <c r="AX32" s="2485"/>
      <c r="AY32" s="2485"/>
      <c r="AZ32" s="2485"/>
      <c r="BA32" s="2485"/>
      <c r="BB32" s="2484"/>
      <c r="BC32" s="2484"/>
      <c r="BD32" s="2484"/>
      <c r="BE32" s="2484"/>
      <c r="BF32" s="2484"/>
      <c r="BG32" s="2484"/>
      <c r="BH32" s="2484"/>
      <c r="BM32" s="2466"/>
    </row>
    <row r="33" spans="3:65" ht="31.8" customHeight="1">
      <c r="C33" s="2466">
        <v>18</v>
      </c>
      <c r="D33" s="2497">
        <f>+D31+1</f>
        <v>23</v>
      </c>
      <c r="E33" s="2498" t="s">
        <v>5309</v>
      </c>
      <c r="F33" s="2499" t="s">
        <v>5309</v>
      </c>
      <c r="G33" s="2500" t="s">
        <v>1829</v>
      </c>
      <c r="H33" s="2501">
        <f>34*20</f>
        <v>680</v>
      </c>
      <c r="I33" s="2485"/>
      <c r="J33" s="2485"/>
      <c r="K33" s="2485"/>
      <c r="L33" s="2485"/>
      <c r="M33" s="2485"/>
      <c r="N33" s="2485"/>
      <c r="O33" s="2485"/>
      <c r="P33" s="2485"/>
      <c r="Q33" s="2485"/>
      <c r="R33" s="2485"/>
      <c r="S33" s="2485"/>
      <c r="T33" s="2485"/>
      <c r="U33" s="2485"/>
      <c r="V33" s="2485"/>
      <c r="W33" s="2485"/>
      <c r="X33" s="2485"/>
      <c r="Y33" s="2485"/>
      <c r="Z33" s="2485"/>
      <c r="AA33" s="2485"/>
      <c r="AB33" s="2485"/>
      <c r="AC33" s="2485"/>
      <c r="AD33" s="2485"/>
      <c r="AE33" s="2485"/>
      <c r="AF33" s="2485"/>
      <c r="AG33" s="2485"/>
      <c r="AH33" s="2485"/>
      <c r="AI33" s="2485"/>
      <c r="AJ33" s="2485"/>
      <c r="AK33" s="2485"/>
      <c r="AL33" s="2485"/>
      <c r="AM33" s="2485"/>
      <c r="AN33" s="2485"/>
      <c r="AO33" s="2485"/>
      <c r="AP33" s="2485"/>
      <c r="AQ33" s="2485"/>
      <c r="AR33" s="2485"/>
      <c r="AS33" s="2485">
        <v>35000</v>
      </c>
      <c r="AT33" s="2485">
        <f t="shared" si="2"/>
        <v>23800000</v>
      </c>
      <c r="AU33" s="2485"/>
      <c r="AV33" s="2485"/>
      <c r="AW33" s="2485"/>
      <c r="AX33" s="2485"/>
      <c r="AY33" s="2485"/>
      <c r="AZ33" s="2485"/>
      <c r="BA33" s="2485"/>
      <c r="BB33" s="2484"/>
      <c r="BC33" s="2484"/>
      <c r="BD33" s="2484"/>
      <c r="BE33" s="2484">
        <f t="shared" si="0"/>
        <v>680</v>
      </c>
      <c r="BF33" s="2484"/>
      <c r="BG33" s="2484"/>
      <c r="BH33" s="2484"/>
      <c r="BI33" s="2466">
        <v>3</v>
      </c>
      <c r="BM33" s="2466"/>
    </row>
    <row r="34" spans="3:65" ht="31.8" customHeight="1">
      <c r="C34" s="2466">
        <v>19</v>
      </c>
      <c r="D34" s="2497">
        <f>+D33+1</f>
        <v>24</v>
      </c>
      <c r="E34" s="2498" t="s">
        <v>5310</v>
      </c>
      <c r="F34" s="2499" t="s">
        <v>5310</v>
      </c>
      <c r="G34" s="2500" t="s">
        <v>2448</v>
      </c>
      <c r="H34" s="2501">
        <v>34</v>
      </c>
      <c r="I34" s="2485"/>
      <c r="J34" s="2485"/>
      <c r="K34" s="2485"/>
      <c r="L34" s="2485"/>
      <c r="M34" s="2485"/>
      <c r="N34" s="2485"/>
      <c r="O34" s="2485"/>
      <c r="P34" s="2485"/>
      <c r="Q34" s="2485"/>
      <c r="R34" s="2485"/>
      <c r="S34" s="2485"/>
      <c r="T34" s="2485"/>
      <c r="U34" s="2485"/>
      <c r="V34" s="2485"/>
      <c r="W34" s="2485"/>
      <c r="X34" s="2485"/>
      <c r="Y34" s="2485"/>
      <c r="Z34" s="2485"/>
      <c r="AA34" s="2485"/>
      <c r="AB34" s="2485"/>
      <c r="AC34" s="2485"/>
      <c r="AD34" s="2485"/>
      <c r="AE34" s="2485"/>
      <c r="AF34" s="2485"/>
      <c r="AG34" s="2485"/>
      <c r="AH34" s="2485"/>
      <c r="AI34" s="2485"/>
      <c r="AJ34" s="2485"/>
      <c r="AK34" s="2485"/>
      <c r="AL34" s="2485"/>
      <c r="AM34" s="2485"/>
      <c r="AN34" s="2485"/>
      <c r="AO34" s="2485"/>
      <c r="AP34" s="2485"/>
      <c r="AQ34" s="2485"/>
      <c r="AR34" s="2485"/>
      <c r="AS34" s="2485">
        <v>30000</v>
      </c>
      <c r="AT34" s="2485">
        <f t="shared" si="2"/>
        <v>1020000</v>
      </c>
      <c r="AU34" s="2485"/>
      <c r="AV34" s="2485"/>
      <c r="AW34" s="2485"/>
      <c r="AX34" s="2485"/>
      <c r="AY34" s="2485"/>
      <c r="AZ34" s="2485"/>
      <c r="BA34" s="2485"/>
      <c r="BB34" s="2484"/>
      <c r="BC34" s="2484"/>
      <c r="BD34" s="2484"/>
      <c r="BE34" s="2484">
        <f t="shared" si="0"/>
        <v>34</v>
      </c>
      <c r="BF34" s="2484"/>
      <c r="BG34" s="2484"/>
      <c r="BH34" s="2484"/>
      <c r="BI34" s="2466">
        <v>3</v>
      </c>
      <c r="BM34" s="2466"/>
    </row>
    <row r="35" spans="3:65" ht="31.8" customHeight="1">
      <c r="C35" s="2466">
        <v>20</v>
      </c>
      <c r="D35" s="2497">
        <f>+D34+1</f>
        <v>25</v>
      </c>
      <c r="E35" s="2498" t="s">
        <v>5311</v>
      </c>
      <c r="F35" s="2499" t="s">
        <v>5312</v>
      </c>
      <c r="G35" s="2500" t="s">
        <v>5313</v>
      </c>
      <c r="H35" s="2501">
        <f>+H34</f>
        <v>34</v>
      </c>
      <c r="I35" s="2485"/>
      <c r="J35" s="2485"/>
      <c r="K35" s="2485"/>
      <c r="L35" s="2485"/>
      <c r="M35" s="2485"/>
      <c r="N35" s="2485"/>
      <c r="O35" s="2485"/>
      <c r="P35" s="2485"/>
      <c r="Q35" s="2485"/>
      <c r="R35" s="2485"/>
      <c r="S35" s="2485"/>
      <c r="T35" s="2485"/>
      <c r="U35" s="2485"/>
      <c r="V35" s="2485"/>
      <c r="W35" s="2485"/>
      <c r="X35" s="2485"/>
      <c r="Y35" s="2485"/>
      <c r="Z35" s="2485"/>
      <c r="AA35" s="2485"/>
      <c r="AB35" s="2485"/>
      <c r="AC35" s="2485"/>
      <c r="AD35" s="2485"/>
      <c r="AE35" s="2485"/>
      <c r="AF35" s="2485"/>
      <c r="AG35" s="2485"/>
      <c r="AH35" s="2485"/>
      <c r="AI35" s="2485"/>
      <c r="AJ35" s="2485"/>
      <c r="AK35" s="2485"/>
      <c r="AL35" s="2485"/>
      <c r="AM35" s="2485"/>
      <c r="AN35" s="2485"/>
      <c r="AO35" s="2485"/>
      <c r="AP35" s="2485"/>
      <c r="AQ35" s="2485"/>
      <c r="AR35" s="2485"/>
      <c r="AS35" s="2485">
        <v>135000</v>
      </c>
      <c r="AT35" s="2485">
        <f t="shared" si="2"/>
        <v>4590000</v>
      </c>
      <c r="AU35" s="2485"/>
      <c r="AV35" s="2485"/>
      <c r="AW35" s="2485"/>
      <c r="AX35" s="2485"/>
      <c r="AY35" s="2485"/>
      <c r="AZ35" s="2485"/>
      <c r="BA35" s="2485"/>
      <c r="BB35" s="2484"/>
      <c r="BC35" s="2484"/>
      <c r="BD35" s="2484"/>
      <c r="BE35" s="2484">
        <f t="shared" si="0"/>
        <v>34</v>
      </c>
      <c r="BF35" s="2484"/>
      <c r="BG35" s="2484"/>
      <c r="BH35" s="2484"/>
      <c r="BI35" s="2466">
        <v>3</v>
      </c>
      <c r="BM35" s="2466"/>
    </row>
    <row r="36" spans="3:65" ht="31.8" customHeight="1">
      <c r="D36" s="2497">
        <f>+D35+1</f>
        <v>26</v>
      </c>
      <c r="E36" s="2498" t="s">
        <v>5314</v>
      </c>
      <c r="F36" s="2499" t="s">
        <v>5314</v>
      </c>
      <c r="G36" s="2500" t="s">
        <v>1829</v>
      </c>
      <c r="H36" s="2501">
        <f>+H33</f>
        <v>680</v>
      </c>
      <c r="I36" s="2485"/>
      <c r="J36" s="2485"/>
      <c r="K36" s="2485"/>
      <c r="L36" s="2485"/>
      <c r="M36" s="2485"/>
      <c r="N36" s="2485"/>
      <c r="O36" s="2485"/>
      <c r="P36" s="2485"/>
      <c r="Q36" s="2485"/>
      <c r="R36" s="2485"/>
      <c r="S36" s="2485"/>
      <c r="T36" s="2485"/>
      <c r="U36" s="2485"/>
      <c r="V36" s="2485"/>
      <c r="W36" s="2485"/>
      <c r="X36" s="2485"/>
      <c r="Y36" s="2485"/>
      <c r="Z36" s="2485"/>
      <c r="AA36" s="2485"/>
      <c r="AB36" s="2485"/>
      <c r="AC36" s="2485"/>
      <c r="AD36" s="2485"/>
      <c r="AE36" s="2485"/>
      <c r="AF36" s="2485"/>
      <c r="AG36" s="2485"/>
      <c r="AH36" s="2485"/>
      <c r="AI36" s="2485"/>
      <c r="AJ36" s="2485"/>
      <c r="AK36" s="2485"/>
      <c r="AL36" s="2485"/>
      <c r="AM36" s="2485"/>
      <c r="AN36" s="2485"/>
      <c r="AO36" s="2485"/>
      <c r="AP36" s="2485"/>
      <c r="AQ36" s="2485"/>
      <c r="AR36" s="2485"/>
      <c r="AS36" s="2485">
        <v>3000</v>
      </c>
      <c r="AT36" s="2485">
        <f t="shared" si="2"/>
        <v>2040000</v>
      </c>
      <c r="AU36" s="2485"/>
      <c r="AV36" s="2485"/>
      <c r="AW36" s="2485"/>
      <c r="AX36" s="2485"/>
      <c r="AY36" s="2485"/>
      <c r="AZ36" s="2485"/>
      <c r="BA36" s="2485"/>
      <c r="BB36" s="2484"/>
      <c r="BC36" s="2484"/>
      <c r="BD36" s="2484"/>
      <c r="BE36" s="2484">
        <f t="shared" si="0"/>
        <v>680</v>
      </c>
      <c r="BF36" s="2484"/>
      <c r="BG36" s="2484"/>
      <c r="BH36" s="2484"/>
      <c r="BI36" s="2466">
        <v>3</v>
      </c>
      <c r="BM36" s="2466"/>
    </row>
    <row r="37" spans="3:65" ht="20.100000000000001" hidden="1" customHeight="1">
      <c r="D37" s="2502"/>
      <c r="E37" s="2503"/>
      <c r="F37" s="2504" t="s">
        <v>5145</v>
      </c>
      <c r="G37" s="2502"/>
      <c r="H37" s="2503"/>
      <c r="I37" s="2505"/>
      <c r="J37" s="2505"/>
      <c r="K37" s="2505"/>
      <c r="L37" s="2505"/>
      <c r="M37" s="2505"/>
      <c r="N37" s="2505"/>
      <c r="O37" s="2505"/>
      <c r="P37" s="2505"/>
      <c r="Q37" s="2505"/>
      <c r="R37" s="2505"/>
      <c r="S37" s="2505"/>
      <c r="T37" s="2505"/>
      <c r="U37" s="2505"/>
      <c r="V37" s="2505"/>
      <c r="W37" s="2505"/>
      <c r="X37" s="2505"/>
      <c r="Y37" s="2505"/>
      <c r="Z37" s="2505"/>
      <c r="AA37" s="2505"/>
      <c r="AB37" s="2505"/>
      <c r="AC37" s="2505"/>
      <c r="AD37" s="2505"/>
      <c r="AE37" s="2505"/>
      <c r="AF37" s="2505"/>
      <c r="AG37" s="2505"/>
      <c r="AH37" s="2505"/>
      <c r="AI37" s="2505"/>
      <c r="AJ37" s="2505"/>
      <c r="AK37" s="2505"/>
      <c r="AL37" s="2505"/>
      <c r="AM37" s="2505"/>
      <c r="AN37" s="2505"/>
      <c r="AO37" s="2505"/>
      <c r="AP37" s="2505"/>
      <c r="AQ37" s="2505"/>
      <c r="AR37" s="2505"/>
      <c r="AS37" s="2505"/>
      <c r="AT37" s="2506" t="e">
        <f>ROUNDDOWN(#REF!,-3)</f>
        <v>#REF!</v>
      </c>
      <c r="BM37" s="2466"/>
    </row>
    <row r="38" spans="3:65" ht="26.25" customHeight="1">
      <c r="F38" s="2507"/>
      <c r="AT38" s="2508"/>
    </row>
    <row r="39" spans="3:65" ht="26.25" customHeight="1">
      <c r="F39" s="2471"/>
      <c r="AT39" s="2508"/>
    </row>
    <row r="40" spans="3:65" ht="26.25" customHeight="1">
      <c r="F40" s="2471"/>
      <c r="AT40" s="2508"/>
    </row>
    <row r="41" spans="3:65" ht="26.25" customHeight="1">
      <c r="F41" s="2471"/>
      <c r="AT41" s="2508"/>
    </row>
    <row r="42" spans="3:65" ht="26.25" customHeight="1">
      <c r="F42" s="2471"/>
      <c r="AT42" s="2508"/>
    </row>
    <row r="43" spans="3:65" ht="26.25" customHeight="1">
      <c r="F43" s="2507"/>
      <c r="AT43" s="2508"/>
    </row>
    <row r="44" spans="3:65" ht="26.25" customHeight="1">
      <c r="F44" s="2471"/>
      <c r="AT44" s="2508"/>
    </row>
    <row r="45" spans="3:65" ht="21" customHeight="1">
      <c r="D45" s="2783"/>
      <c r="E45" s="2783"/>
      <c r="F45" s="2783"/>
      <c r="G45" s="2783"/>
      <c r="H45" s="2783"/>
      <c r="I45" s="2783"/>
      <c r="J45" s="2783"/>
      <c r="K45" s="2783"/>
      <c r="L45" s="2783"/>
      <c r="M45" s="2783"/>
      <c r="N45" s="2783"/>
      <c r="O45" s="2783"/>
      <c r="P45" s="2783"/>
      <c r="Q45" s="2783"/>
      <c r="R45" s="2783"/>
      <c r="S45" s="2783"/>
      <c r="T45" s="2783"/>
      <c r="U45" s="2783"/>
      <c r="V45" s="2783"/>
      <c r="W45" s="2783"/>
      <c r="X45" s="2783"/>
      <c r="Y45" s="2783"/>
      <c r="Z45" s="2783"/>
      <c r="AA45" s="2783"/>
      <c r="AB45" s="2783"/>
      <c r="AC45" s="2783"/>
      <c r="AD45" s="2783"/>
      <c r="AE45" s="2783"/>
      <c r="AF45" s="2783"/>
      <c r="AG45" s="2783"/>
      <c r="AH45" s="2783"/>
      <c r="AI45" s="2783"/>
      <c r="AJ45" s="2783"/>
      <c r="AK45" s="2783"/>
      <c r="AL45" s="2783"/>
      <c r="AM45" s="2783"/>
      <c r="AN45" s="2783"/>
      <c r="AO45" s="2783"/>
      <c r="AP45" s="2783"/>
      <c r="AQ45" s="2783"/>
      <c r="AR45" s="2783"/>
      <c r="AS45" s="2783"/>
      <c r="AT45" s="2783"/>
    </row>
    <row r="46" spans="3:65">
      <c r="F46" s="2507"/>
    </row>
    <row r="47" spans="3:65">
      <c r="F47" s="2471"/>
    </row>
    <row r="48" spans="3:65">
      <c r="F48" s="2471"/>
    </row>
    <row r="49" spans="6:6">
      <c r="F49" s="2471"/>
    </row>
    <row r="50" spans="6:6">
      <c r="F50" s="2471"/>
    </row>
    <row r="51" spans="6:6">
      <c r="F51" s="2507"/>
    </row>
  </sheetData>
  <autoFilter ref="A5:BL36" xr:uid="{4A99FFB3-653C-40A9-8F7A-9A500846CB45}">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5">
    <mergeCell ref="Y5:AA5"/>
    <mergeCell ref="AB5:AD5"/>
    <mergeCell ref="AW5:AZ5"/>
    <mergeCell ref="BA5:BD5"/>
    <mergeCell ref="D45:AT45"/>
  </mergeCells>
  <conditionalFormatting sqref="F1:F1048576">
    <cfRule type="duplicateValues" dxfId="18" priority="1"/>
  </conditionalFormatting>
  <printOptions horizontalCentered="1"/>
  <pageMargins left="0.65" right="0" top="0.63" bottom="0.5" header="0.27559055118110198" footer="0.15748031496063"/>
  <pageSetup paperSize="9"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272"/>
  <sheetViews>
    <sheetView workbookViewId="0">
      <pane ySplit="2" topLeftCell="A19" activePane="bottomLeft" state="frozen"/>
      <selection activeCell="B1" sqref="B1"/>
      <selection pane="bottomLeft" activeCell="I274" sqref="I274"/>
    </sheetView>
  </sheetViews>
  <sheetFormatPr defaultRowHeight="25.2" customHeight="1"/>
  <cols>
    <col min="1" max="1" width="8.81640625" style="1285"/>
    <col min="2" max="2" width="11.81640625" style="1976" customWidth="1"/>
    <col min="3" max="3" width="3.90625" style="1289" customWidth="1"/>
    <col min="4" max="4" width="3.90625" style="1977" customWidth="1"/>
    <col min="5" max="5" width="3.90625" style="1982" customWidth="1"/>
    <col min="6" max="6" width="54.6328125" style="1976" customWidth="1"/>
    <col min="7" max="9" width="8.81640625" style="1426" customWidth="1"/>
    <col min="10" max="10" width="8.90625" style="1974"/>
    <col min="11" max="11" width="16.08984375" style="1971" bestFit="1" customWidth="1"/>
    <col min="12" max="12" width="8.90625" style="1426" customWidth="1"/>
    <col min="13" max="13" width="9.6328125" style="1510" customWidth="1"/>
    <col min="15" max="15" width="8.90625" style="1510"/>
  </cols>
  <sheetData>
    <row r="1" spans="1:15" s="1287" customFormat="1" ht="28.5" customHeight="1">
      <c r="A1" s="1287" t="s">
        <v>4830</v>
      </c>
      <c r="B1" s="2464" t="s">
        <v>2614</v>
      </c>
      <c r="E1" s="2081"/>
      <c r="F1" s="2082" t="s">
        <v>4258</v>
      </c>
      <c r="G1" s="2083" t="s">
        <v>2617</v>
      </c>
      <c r="H1" s="2083" t="s">
        <v>4408</v>
      </c>
      <c r="I1" s="2083" t="s">
        <v>4766</v>
      </c>
      <c r="J1" s="2082" t="s">
        <v>1714</v>
      </c>
      <c r="K1" s="2082" t="str">
        <f>COUNTIF(K2:K1048576,1)&amp;" loại VTTB"</f>
        <v>4 loại VTTB</v>
      </c>
      <c r="L1" s="1287" t="s">
        <v>356</v>
      </c>
      <c r="M1" s="2084"/>
      <c r="O1" s="2084"/>
    </row>
    <row r="2" spans="1:15" s="1427" customFormat="1" ht="25.2" customHeight="1">
      <c r="A2" s="2170">
        <f>COUNTIF($K$1:K2,1)</f>
        <v>1</v>
      </c>
      <c r="B2" s="2281">
        <f t="shared" ref="B2:B65" si="0">D2</f>
        <v>0</v>
      </c>
      <c r="C2" s="2513"/>
      <c r="D2" s="2514"/>
      <c r="E2" s="2515"/>
      <c r="F2" s="2512"/>
      <c r="G2" s="2509"/>
      <c r="H2" s="2510"/>
      <c r="I2" s="2511"/>
      <c r="J2" s="1972">
        <v>13</v>
      </c>
      <c r="K2" s="1973">
        <f>IF(J2&lt;2000,COUNTIF($B$2:B2,B2),0)</f>
        <v>1</v>
      </c>
      <c r="L2" s="2461"/>
      <c r="M2" s="1935"/>
      <c r="N2" s="812"/>
      <c r="O2" s="1935"/>
    </row>
    <row r="3" spans="1:15" ht="25.2" customHeight="1">
      <c r="A3" s="2170">
        <f>COUNTIF($K$1:K3,1)</f>
        <v>1</v>
      </c>
      <c r="B3" s="2281">
        <f t="shared" si="0"/>
        <v>0</v>
      </c>
      <c r="C3" s="1983"/>
      <c r="D3" s="1984"/>
      <c r="E3" s="1985"/>
      <c r="F3" s="2512"/>
      <c r="G3" s="2074"/>
      <c r="H3" s="2075"/>
      <c r="I3" s="2075"/>
      <c r="J3" s="1972">
        <v>13</v>
      </c>
      <c r="K3" s="1973">
        <f>IF(J3&lt;2000,COUNTIF($B$2:B3,B3),0)</f>
        <v>2</v>
      </c>
      <c r="L3" s="1430"/>
    </row>
    <row r="4" spans="1:15" s="1285" customFormat="1" ht="25.2" customHeight="1">
      <c r="A4" s="2170">
        <f>COUNTIF($K$1:K4,1)</f>
        <v>1</v>
      </c>
      <c r="B4" s="2281">
        <f t="shared" si="0"/>
        <v>0</v>
      </c>
      <c r="C4" s="1289"/>
      <c r="D4" s="1977"/>
      <c r="E4" s="1506"/>
      <c r="F4" s="1978"/>
      <c r="G4" s="1987"/>
      <c r="H4" s="1988"/>
      <c r="I4" s="1988"/>
      <c r="J4" s="1972">
        <v>13</v>
      </c>
      <c r="K4" s="1973">
        <f>IF(J4&lt;2000,COUNTIF($B$2:B4,B4),0)</f>
        <v>3</v>
      </c>
      <c r="L4" s="1430"/>
      <c r="M4" s="1510"/>
      <c r="O4" s="1510"/>
    </row>
    <row r="5" spans="1:15" s="1285" customFormat="1" ht="25.2" customHeight="1">
      <c r="A5" s="2170">
        <f>COUNTIF($K$1:K5,1)</f>
        <v>1</v>
      </c>
      <c r="B5" s="2281">
        <f t="shared" si="0"/>
        <v>0</v>
      </c>
      <c r="C5" s="1289"/>
      <c r="D5" s="1977"/>
      <c r="E5" s="2222"/>
      <c r="F5" s="2227"/>
      <c r="G5" s="2232"/>
      <c r="H5" s="2232"/>
      <c r="I5" s="2232"/>
      <c r="J5" s="1972">
        <f>IFERROR(VLOOKUP(B5,DG!A:F,6,0),3000)</f>
        <v>3000</v>
      </c>
      <c r="K5" s="1973">
        <f>IF(J5&lt;2000,COUNTIF($B$2:B5,B5),0)</f>
        <v>0</v>
      </c>
      <c r="L5" s="1426"/>
      <c r="M5" s="1510"/>
      <c r="O5" s="1510"/>
    </row>
    <row r="6" spans="1:15" s="1285" customFormat="1" ht="25.2" customHeight="1">
      <c r="A6" s="2170">
        <f>COUNTIF($K$1:K6,1)</f>
        <v>1</v>
      </c>
      <c r="B6" s="2281">
        <f t="shared" si="0"/>
        <v>0</v>
      </c>
      <c r="C6" s="1289"/>
      <c r="D6" s="1977"/>
      <c r="E6" s="2222"/>
      <c r="F6" s="2227"/>
      <c r="G6" s="2232"/>
      <c r="H6" s="2232"/>
      <c r="I6" s="2232"/>
      <c r="J6" s="1972">
        <f>IFERROR(VLOOKUP(B6,DG!A:F,6,0),3000)</f>
        <v>3000</v>
      </c>
      <c r="K6" s="1973">
        <f>IF(J6&lt;2000,COUNTIF($B$2:B6,B6),0)</f>
        <v>0</v>
      </c>
      <c r="L6" s="1426"/>
      <c r="M6" s="1510"/>
      <c r="O6" s="1510"/>
    </row>
    <row r="7" spans="1:15" s="1285" customFormat="1" ht="25.2" customHeight="1">
      <c r="A7" s="2170">
        <f>COUNTIF($K$1:K7,1)</f>
        <v>1</v>
      </c>
      <c r="B7" s="2281">
        <f t="shared" si="0"/>
        <v>0</v>
      </c>
      <c r="C7" s="1983"/>
      <c r="D7" s="1984"/>
      <c r="E7" s="1985"/>
      <c r="F7" s="1986"/>
      <c r="G7" s="2076"/>
      <c r="H7" s="2075"/>
      <c r="I7" s="2075"/>
      <c r="J7" s="1972">
        <v>50</v>
      </c>
      <c r="K7" s="1973">
        <f>IF(J7&lt;2000,COUNTIF($B$2:B7,B7),0)</f>
        <v>6</v>
      </c>
      <c r="L7" s="1430"/>
      <c r="M7" s="1510"/>
      <c r="O7" s="1510"/>
    </row>
    <row r="8" spans="1:15" s="1285" customFormat="1" ht="25.2" customHeight="1">
      <c r="A8" s="2170">
        <f>COUNTIF($K$1:K8,1)</f>
        <v>1</v>
      </c>
      <c r="B8" s="2281">
        <f t="shared" si="0"/>
        <v>0</v>
      </c>
      <c r="C8" s="1289"/>
      <c r="D8" s="1977"/>
      <c r="E8" s="1506"/>
      <c r="F8" s="1978"/>
      <c r="G8" s="1987"/>
      <c r="H8" s="1988"/>
      <c r="I8" s="1988"/>
      <c r="J8" s="1972">
        <f>IFERROR(VLOOKUP(B8,DG!A:F,6,0),3000)</f>
        <v>3000</v>
      </c>
      <c r="K8" s="1973">
        <f>IF(J8&lt;2000,COUNTIF($B$2:B8,B8),0)</f>
        <v>0</v>
      </c>
      <c r="L8" s="1430"/>
      <c r="M8" s="1510"/>
      <c r="O8" s="1510"/>
    </row>
    <row r="9" spans="1:15" s="1285" customFormat="1" ht="25.2" customHeight="1">
      <c r="A9" s="2170">
        <f>COUNTIF($K$1:K9,1)</f>
        <v>1</v>
      </c>
      <c r="B9" s="2281">
        <f t="shared" si="0"/>
        <v>0</v>
      </c>
      <c r="C9" s="1983"/>
      <c r="D9" s="1984"/>
      <c r="E9" s="1985"/>
      <c r="F9" s="1986"/>
      <c r="G9" s="2074"/>
      <c r="H9" s="2075"/>
      <c r="I9" s="2075"/>
      <c r="J9" s="1972">
        <f>IFERROR(VLOOKUP(B9,DG!A:F,6,0),3000)</f>
        <v>3000</v>
      </c>
      <c r="K9" s="1973">
        <f>IF(J9&lt;2000,COUNTIF($B$2:B9,B9),0)</f>
        <v>0</v>
      </c>
      <c r="L9" s="1430"/>
      <c r="M9" s="1510"/>
      <c r="O9" s="1510"/>
    </row>
    <row r="10" spans="1:15" s="1285" customFormat="1" ht="25.2" customHeight="1">
      <c r="A10" s="2170">
        <f>COUNTIF($K$1:K10,1)</f>
        <v>1</v>
      </c>
      <c r="B10" s="2281">
        <f t="shared" si="0"/>
        <v>0</v>
      </c>
      <c r="C10" s="1983"/>
      <c r="D10" s="1984"/>
      <c r="E10" s="1985"/>
      <c r="F10" s="1986"/>
      <c r="G10" s="2074"/>
      <c r="H10" s="2075"/>
      <c r="I10" s="2075"/>
      <c r="J10" s="1972">
        <f>IFERROR(VLOOKUP(B10,DG!A:F,6,0),3000)</f>
        <v>3000</v>
      </c>
      <c r="K10" s="1973">
        <f>IF(J10&lt;2000,COUNTIF($B$2:B10,B10),0)</f>
        <v>0</v>
      </c>
      <c r="L10" s="1430"/>
      <c r="M10" s="1510"/>
      <c r="O10" s="1510"/>
    </row>
    <row r="11" spans="1:15" s="1285" customFormat="1" ht="25.2" customHeight="1">
      <c r="A11" s="2170">
        <f>COUNTIF($K$1:K11,1)</f>
        <v>1</v>
      </c>
      <c r="B11" s="2281">
        <f t="shared" si="0"/>
        <v>0</v>
      </c>
      <c r="C11" s="1289"/>
      <c r="D11" s="1977"/>
      <c r="E11" s="2222"/>
      <c r="F11" s="2227"/>
      <c r="G11" s="2232"/>
      <c r="H11" s="2232"/>
      <c r="I11" s="2232"/>
      <c r="J11" s="1972">
        <f>IFERROR(VLOOKUP(B11,DG!A:F,6,0),3000)</f>
        <v>3000</v>
      </c>
      <c r="K11" s="1973">
        <f>IF(J11&lt;2000,COUNTIF($B$2:B11,B11),0)</f>
        <v>0</v>
      </c>
      <c r="L11" s="1426"/>
      <c r="M11" s="1510"/>
      <c r="O11" s="1510"/>
    </row>
    <row r="12" spans="1:15" s="1285" customFormat="1" ht="25.2" customHeight="1">
      <c r="A12" s="2170">
        <f>COUNTIF($K$1:K12,1)</f>
        <v>1</v>
      </c>
      <c r="B12" s="2281">
        <f t="shared" si="0"/>
        <v>0</v>
      </c>
      <c r="C12" s="1289"/>
      <c r="D12" s="1977"/>
      <c r="E12" s="1506"/>
      <c r="F12" s="1978"/>
      <c r="G12" s="1987"/>
      <c r="H12" s="1988"/>
      <c r="I12" s="1988"/>
      <c r="J12" s="1972">
        <f>IFERROR(VLOOKUP(B12,DG!A:F,6,0),3000)</f>
        <v>3000</v>
      </c>
      <c r="K12" s="1973">
        <f>IF(J12&lt;2000,COUNTIF($B$2:B12,B12),0)</f>
        <v>0</v>
      </c>
      <c r="L12" s="1430"/>
      <c r="M12" s="1510"/>
      <c r="O12" s="1510"/>
    </row>
    <row r="13" spans="1:15" s="1285" customFormat="1" ht="25.2" customHeight="1">
      <c r="A13" s="2170">
        <f>COUNTIF($K$1:K13,1)</f>
        <v>1</v>
      </c>
      <c r="B13" s="2281">
        <f t="shared" si="0"/>
        <v>0</v>
      </c>
      <c r="C13" s="1983"/>
      <c r="D13" s="1984"/>
      <c r="E13" s="1985"/>
      <c r="F13" s="1986"/>
      <c r="G13" s="2074"/>
      <c r="H13" s="2075"/>
      <c r="I13" s="2075"/>
      <c r="J13" s="1972">
        <f>IFERROR(VLOOKUP(B13,DG!A:F,6,0),3000)</f>
        <v>3000</v>
      </c>
      <c r="K13" s="1973">
        <f>IF(J13&lt;2000,COUNTIF($B$2:B13,B13),0)</f>
        <v>0</v>
      </c>
      <c r="L13" s="1430"/>
      <c r="M13" s="1510"/>
      <c r="O13" s="1510"/>
    </row>
    <row r="14" spans="1:15" s="1285" customFormat="1" ht="25.2" customHeight="1">
      <c r="A14" s="2170">
        <f>COUNTIF($K$1:K14,1)</f>
        <v>1</v>
      </c>
      <c r="B14" s="2281">
        <f t="shared" si="0"/>
        <v>0</v>
      </c>
      <c r="C14" s="1983"/>
      <c r="D14" s="1984"/>
      <c r="E14" s="1985"/>
      <c r="F14" s="1986"/>
      <c r="G14" s="2074"/>
      <c r="H14" s="2075"/>
      <c r="I14" s="2075"/>
      <c r="J14" s="1972">
        <f>IFERROR(VLOOKUP(B14,DG!A:F,6,0),3000)</f>
        <v>3000</v>
      </c>
      <c r="K14" s="1973">
        <f>IF(J14&lt;2000,COUNTIF($B$2:B14,B14),0)</f>
        <v>0</v>
      </c>
      <c r="L14" s="1426"/>
      <c r="M14" s="1510"/>
      <c r="O14" s="1510"/>
    </row>
    <row r="15" spans="1:15" s="1285" customFormat="1" ht="25.2" customHeight="1">
      <c r="A15" s="2170">
        <f>COUNTIF($K$1:K15,1)</f>
        <v>1</v>
      </c>
      <c r="B15" s="2281">
        <f t="shared" si="0"/>
        <v>0</v>
      </c>
      <c r="C15" s="1983"/>
      <c r="D15" s="1984"/>
      <c r="E15" s="1985"/>
      <c r="F15" s="1986"/>
      <c r="G15" s="2074"/>
      <c r="H15" s="2075"/>
      <c r="I15" s="2075"/>
      <c r="J15" s="1972">
        <f>IFERROR(VLOOKUP(B15,DG!A:F,6,0),3000)</f>
        <v>3000</v>
      </c>
      <c r="K15" s="1973">
        <f>IF(J15&lt;2000,COUNTIF($B$2:B15,B15),0)</f>
        <v>0</v>
      </c>
      <c r="L15" s="1430"/>
      <c r="M15" s="1510"/>
      <c r="O15" s="1510"/>
    </row>
    <row r="16" spans="1:15" s="1285" customFormat="1" ht="25.2" customHeight="1">
      <c r="A16" s="2170">
        <f>COUNTIF($K$1:K16,1)</f>
        <v>1</v>
      </c>
      <c r="B16" s="2281">
        <f t="shared" si="0"/>
        <v>0</v>
      </c>
      <c r="C16" s="1983"/>
      <c r="D16" s="1984"/>
      <c r="E16" s="1985"/>
      <c r="F16" s="1986"/>
      <c r="G16" s="2074"/>
      <c r="H16" s="2075"/>
      <c r="I16" s="2075"/>
      <c r="J16" s="1972">
        <f>IFERROR(VLOOKUP(B16,DG!A:F,6,0),3000)</f>
        <v>3000</v>
      </c>
      <c r="K16" s="1973">
        <f>IF(J16&lt;2000,COUNTIF($B$2:B16,B16),0)</f>
        <v>0</v>
      </c>
      <c r="L16" s="1430"/>
      <c r="M16" s="1510"/>
      <c r="O16" s="1510"/>
    </row>
    <row r="17" spans="1:15" s="1285" customFormat="1" ht="25.2" customHeight="1">
      <c r="A17" s="2170">
        <f>COUNTIF($K$1:K17,1)</f>
        <v>1</v>
      </c>
      <c r="B17" s="2281">
        <f t="shared" si="0"/>
        <v>0</v>
      </c>
      <c r="C17" s="1983"/>
      <c r="D17" s="1984"/>
      <c r="E17" s="1985"/>
      <c r="F17" s="1986"/>
      <c r="G17" s="2074"/>
      <c r="H17" s="2075"/>
      <c r="I17" s="2075"/>
      <c r="J17" s="1972">
        <f>IFERROR(VLOOKUP(B17,DG!A:F,6,0),3000)</f>
        <v>3000</v>
      </c>
      <c r="K17" s="1973">
        <f>IF(J17&lt;2000,COUNTIF($B$2:B17,B17),0)</f>
        <v>0</v>
      </c>
      <c r="L17" s="1430"/>
      <c r="M17" s="1510"/>
      <c r="O17" s="1510"/>
    </row>
    <row r="18" spans="1:15" s="1285" customFormat="1" ht="25.2" customHeight="1">
      <c r="A18" s="2170">
        <f>COUNTIF($K$1:K18,1)</f>
        <v>1</v>
      </c>
      <c r="B18" s="2281">
        <f t="shared" si="0"/>
        <v>0</v>
      </c>
      <c r="C18" s="2079"/>
      <c r="D18" s="2080"/>
      <c r="E18" s="1985"/>
      <c r="F18" s="1986"/>
      <c r="G18" s="2074"/>
      <c r="H18" s="2075"/>
      <c r="I18" s="2075"/>
      <c r="J18" s="1972">
        <f>IFERROR(VLOOKUP(B18,DG!A:F,6,0),3000)</f>
        <v>3000</v>
      </c>
      <c r="K18" s="1973">
        <f>IF(J18&lt;2000,COUNTIF($B$2:B18,B18),0)</f>
        <v>0</v>
      </c>
      <c r="L18" s="1430"/>
      <c r="M18" s="1510"/>
      <c r="O18" s="1510"/>
    </row>
    <row r="19" spans="1:15" s="1285" customFormat="1" ht="25.2" customHeight="1">
      <c r="A19" s="2170">
        <f>COUNTIF($K$1:K19,1)</f>
        <v>1</v>
      </c>
      <c r="B19" s="2281">
        <f t="shared" si="0"/>
        <v>0</v>
      </c>
      <c r="C19" s="1983"/>
      <c r="D19" s="1984"/>
      <c r="E19" s="1985"/>
      <c r="F19" s="1986"/>
      <c r="G19" s="2074"/>
      <c r="H19" s="2075"/>
      <c r="I19" s="2075"/>
      <c r="J19" s="1972">
        <f>IFERROR(VLOOKUP(B19,DG!A:F,6,0),3000)</f>
        <v>3000</v>
      </c>
      <c r="K19" s="1973">
        <f>IF(J19&lt;2000,COUNTIF($B$2:B19,B19),0)</f>
        <v>0</v>
      </c>
      <c r="L19" s="1430"/>
      <c r="M19" s="1510"/>
      <c r="O19" s="1510"/>
    </row>
    <row r="20" spans="1:15" s="1285" customFormat="1" ht="25.2" customHeight="1">
      <c r="A20" s="2170">
        <f>COUNTIF($K$1:K20,1)</f>
        <v>1</v>
      </c>
      <c r="B20" s="2281">
        <f t="shared" si="0"/>
        <v>0</v>
      </c>
      <c r="C20" s="1983"/>
      <c r="D20" s="1984"/>
      <c r="E20" s="1985"/>
      <c r="F20" s="1986"/>
      <c r="G20" s="1987"/>
      <c r="H20" s="1988"/>
      <c r="I20" s="1988"/>
      <c r="J20" s="1972">
        <f>IFERROR(VLOOKUP(B20,DG!A:F,6,0),3000)</f>
        <v>3000</v>
      </c>
      <c r="K20" s="1973">
        <f>IF(J20&lt;2000,COUNTIF($B$2:B20,B20),0)</f>
        <v>0</v>
      </c>
      <c r="L20" s="1430"/>
      <c r="M20" s="1510"/>
      <c r="O20" s="1510"/>
    </row>
    <row r="21" spans="1:15" s="1285" customFormat="1" ht="25.2" customHeight="1">
      <c r="A21" s="2170">
        <f>COUNTIF($K$1:K21,1)</f>
        <v>1</v>
      </c>
      <c r="B21" s="2281">
        <f t="shared" si="0"/>
        <v>0</v>
      </c>
      <c r="C21" s="1983"/>
      <c r="D21" s="1984"/>
      <c r="E21" s="1985"/>
      <c r="F21" s="1986"/>
      <c r="G21" s="2074"/>
      <c r="H21" s="2075"/>
      <c r="I21" s="2075"/>
      <c r="J21" s="1972">
        <f>IFERROR(VLOOKUP(B21,DG!A:F,6,0),3000)</f>
        <v>3000</v>
      </c>
      <c r="K21" s="1973">
        <f>IF(J21&lt;2000,COUNTIF($B$2:B21,B21),0)</f>
        <v>0</v>
      </c>
      <c r="L21" s="1430"/>
      <c r="M21" s="1510"/>
      <c r="O21" s="1510"/>
    </row>
    <row r="22" spans="1:15" s="1285" customFormat="1" ht="25.2" customHeight="1">
      <c r="A22" s="2170">
        <f>COUNTIF($K$1:K22,1)</f>
        <v>1</v>
      </c>
      <c r="B22" s="2281">
        <f t="shared" si="0"/>
        <v>0</v>
      </c>
      <c r="C22" s="1289"/>
      <c r="D22" s="1977"/>
      <c r="E22" s="1506"/>
      <c r="F22" s="1978"/>
      <c r="G22" s="1987"/>
      <c r="H22" s="1988"/>
      <c r="I22" s="1988"/>
      <c r="J22" s="1972">
        <f>IFERROR(VLOOKUP(B22,DG!A:F,6,0),3000)</f>
        <v>3000</v>
      </c>
      <c r="K22" s="1973">
        <f>IF(J22&lt;2000,COUNTIF($B$2:B22,B22),0)</f>
        <v>0</v>
      </c>
      <c r="L22" s="1430"/>
      <c r="M22" s="1510"/>
      <c r="O22" s="1510"/>
    </row>
    <row r="23" spans="1:15" s="1285" customFormat="1" ht="25.2" customHeight="1">
      <c r="A23" s="2170">
        <f>COUNTIF($K$1:K23,1)</f>
        <v>1</v>
      </c>
      <c r="B23" s="2281">
        <f t="shared" si="0"/>
        <v>0</v>
      </c>
      <c r="C23" s="1983"/>
      <c r="D23" s="1984"/>
      <c r="E23" s="1985"/>
      <c r="F23" s="1986"/>
      <c r="G23" s="2074"/>
      <c r="H23" s="2075"/>
      <c r="I23" s="2075"/>
      <c r="J23" s="1972">
        <f>IFERROR(VLOOKUP(B23,DG!A:F,6,0),3000)</f>
        <v>3000</v>
      </c>
      <c r="K23" s="1973">
        <f>IF(J23&lt;2000,COUNTIF($B$2:B23,B23),0)</f>
        <v>0</v>
      </c>
      <c r="L23" s="1430"/>
      <c r="M23" s="1510"/>
      <c r="O23" s="1510"/>
    </row>
    <row r="24" spans="1:15" s="1285" customFormat="1" ht="25.2" customHeight="1">
      <c r="A24" s="2170">
        <f>COUNTIF($K$1:K24,1)</f>
        <v>1</v>
      </c>
      <c r="B24" s="2281">
        <f t="shared" si="0"/>
        <v>0</v>
      </c>
      <c r="C24" s="1975"/>
      <c r="D24" s="1979"/>
      <c r="E24" s="1980"/>
      <c r="F24" s="1981"/>
      <c r="G24" s="2076"/>
      <c r="H24" s="2075"/>
      <c r="I24" s="2075"/>
      <c r="J24" s="1972">
        <f>IFERROR(VLOOKUP(B24,DG!A:F,6,0),3000)</f>
        <v>3000</v>
      </c>
      <c r="K24" s="1973">
        <f>IF(J24&lt;2000,COUNTIF($B$2:B24,B24),0)</f>
        <v>0</v>
      </c>
      <c r="L24" s="1430"/>
      <c r="M24" s="1510"/>
      <c r="O24" s="1510"/>
    </row>
    <row r="25" spans="1:15" s="1285" customFormat="1" ht="25.2" customHeight="1">
      <c r="A25" s="2170">
        <f>COUNTIF($K$1:K25,1)</f>
        <v>1</v>
      </c>
      <c r="B25" s="2281">
        <f t="shared" si="0"/>
        <v>0</v>
      </c>
      <c r="C25" s="1975"/>
      <c r="D25" s="1979"/>
      <c r="E25" s="1980"/>
      <c r="F25" s="1981"/>
      <c r="G25" s="2076"/>
      <c r="H25" s="2077"/>
      <c r="I25" s="2078"/>
      <c r="J25" s="1972">
        <f>IFERROR(VLOOKUP(B25,DG!A:F,6,0),3000)</f>
        <v>3000</v>
      </c>
      <c r="K25" s="1973">
        <f>IF(J25&lt;2000,COUNTIF($B$2:B25,B25),0)</f>
        <v>0</v>
      </c>
      <c r="L25" s="1430"/>
      <c r="M25" s="1510"/>
      <c r="O25" s="1510"/>
    </row>
    <row r="26" spans="1:15" s="1285" customFormat="1" ht="25.2" customHeight="1">
      <c r="A26" s="2170">
        <f>COUNTIF($K$1:K26,1)</f>
        <v>1</v>
      </c>
      <c r="B26" s="2281">
        <f t="shared" si="0"/>
        <v>0</v>
      </c>
      <c r="C26" s="1983"/>
      <c r="D26" s="1984"/>
      <c r="E26" s="1985"/>
      <c r="F26" s="1986"/>
      <c r="G26" s="2074"/>
      <c r="H26" s="2075"/>
      <c r="I26" s="2075"/>
      <c r="J26" s="1972">
        <f>IFERROR(VLOOKUP(B26,DG!A:F,6,0),3000)</f>
        <v>3000</v>
      </c>
      <c r="K26" s="1973">
        <f>IF(J26&lt;2000,COUNTIF($B$2:B26,B26),0)</f>
        <v>0</v>
      </c>
      <c r="L26" s="1430"/>
      <c r="M26" s="1510"/>
      <c r="O26" s="1510"/>
    </row>
    <row r="27" spans="1:15" s="1285" customFormat="1" ht="25.2" customHeight="1">
      <c r="A27" s="2170">
        <f>COUNTIF($K$1:K27,1)</f>
        <v>1</v>
      </c>
      <c r="B27" s="2281">
        <f t="shared" si="0"/>
        <v>0</v>
      </c>
      <c r="C27" s="1975"/>
      <c r="D27" s="1979"/>
      <c r="E27" s="2224"/>
      <c r="F27" s="2229"/>
      <c r="G27" s="2235"/>
      <c r="H27" s="2235"/>
      <c r="I27" s="2232"/>
      <c r="J27" s="1972">
        <f>IFERROR(VLOOKUP(B27,DG!A:F,6,0),3000)</f>
        <v>3000</v>
      </c>
      <c r="K27" s="1973">
        <f>IF(J27&lt;2000,COUNTIF($B$2:B27,B27),0)</f>
        <v>0</v>
      </c>
      <c r="L27" s="1426"/>
      <c r="M27" s="1510"/>
      <c r="O27" s="1510"/>
    </row>
    <row r="28" spans="1:15" s="1285" customFormat="1" ht="25.2" customHeight="1">
      <c r="A28" s="2170">
        <f>COUNTIF($K$1:K28,1)</f>
        <v>1</v>
      </c>
      <c r="B28" s="2281">
        <f t="shared" si="0"/>
        <v>0</v>
      </c>
      <c r="C28" s="1983"/>
      <c r="D28" s="1984"/>
      <c r="E28" s="1985"/>
      <c r="F28" s="1986"/>
      <c r="G28" s="2074"/>
      <c r="H28" s="2075"/>
      <c r="I28" s="2075"/>
      <c r="J28" s="1972">
        <f>IFERROR(VLOOKUP(B28,DG!A:F,6,0),3000)</f>
        <v>3000</v>
      </c>
      <c r="K28" s="1973">
        <f>IF(J28&lt;2000,COUNTIF($B$2:B28,B28),0)</f>
        <v>0</v>
      </c>
      <c r="L28" s="1430"/>
      <c r="M28" s="1510"/>
      <c r="O28" s="1510"/>
    </row>
    <row r="29" spans="1:15" s="1285" customFormat="1" ht="25.2" customHeight="1">
      <c r="A29" s="2170">
        <f>COUNTIF($K$1:K29,1)</f>
        <v>1</v>
      </c>
      <c r="B29" s="2281">
        <f t="shared" si="0"/>
        <v>0</v>
      </c>
      <c r="C29" s="1289"/>
      <c r="D29" s="1977"/>
      <c r="E29" s="1506"/>
      <c r="F29" s="1978"/>
      <c r="G29" s="1987"/>
      <c r="H29" s="1988"/>
      <c r="I29" s="1988"/>
      <c r="J29" s="1972">
        <f>IFERROR(VLOOKUP(B29,DG!A:F,6,0),3000)</f>
        <v>3000</v>
      </c>
      <c r="K29" s="1973">
        <f>IF(J29&lt;2000,COUNTIF($B$2:B29,B29),0)</f>
        <v>0</v>
      </c>
      <c r="L29" s="1430"/>
      <c r="M29" s="1510"/>
      <c r="O29" s="1510"/>
    </row>
    <row r="30" spans="1:15" s="1285" customFormat="1" ht="25.2" customHeight="1">
      <c r="A30" s="2170">
        <f>COUNTIF($K$1:K30,1)</f>
        <v>1</v>
      </c>
      <c r="B30" s="2281">
        <f t="shared" si="0"/>
        <v>0</v>
      </c>
      <c r="C30" s="1983"/>
      <c r="D30" s="1984"/>
      <c r="E30" s="1985"/>
      <c r="F30" s="1986"/>
      <c r="G30" s="2074"/>
      <c r="H30" s="2075"/>
      <c r="I30" s="2075"/>
      <c r="J30" s="1972">
        <f>IFERROR(VLOOKUP(B30,DG!A:F,6,0),3000)</f>
        <v>3000</v>
      </c>
      <c r="K30" s="1973">
        <f>IF(J30&lt;2000,COUNTIF($B$2:B30,B30),0)</f>
        <v>0</v>
      </c>
      <c r="L30" s="1991"/>
      <c r="M30" s="1992"/>
      <c r="N30" s="1993"/>
      <c r="O30" s="1992"/>
    </row>
    <row r="31" spans="1:15" s="1285" customFormat="1" ht="25.2" customHeight="1">
      <c r="A31" s="2170">
        <f>COUNTIF($K$1:K31,1)</f>
        <v>1</v>
      </c>
      <c r="B31" s="2281">
        <f t="shared" si="0"/>
        <v>0</v>
      </c>
      <c r="C31" s="1983"/>
      <c r="D31" s="1984"/>
      <c r="E31" s="1985"/>
      <c r="F31" s="1986"/>
      <c r="G31" s="2074"/>
      <c r="H31" s="2075"/>
      <c r="I31" s="2075"/>
      <c r="J31" s="1972">
        <f>IFERROR(VLOOKUP(B31,DG!A:F,6,0),3000)</f>
        <v>3000</v>
      </c>
      <c r="K31" s="1973">
        <f>IF(J31&lt;2000,COUNTIF($B$2:B31,B31),0)</f>
        <v>0</v>
      </c>
      <c r="L31" s="1430"/>
      <c r="M31" s="1510"/>
      <c r="O31" s="1510"/>
    </row>
    <row r="32" spans="1:15" s="1285" customFormat="1" ht="25.2" customHeight="1">
      <c r="A32" s="2170">
        <f>COUNTIF($K$1:K32,1)</f>
        <v>1</v>
      </c>
      <c r="B32" s="2281">
        <f t="shared" si="0"/>
        <v>0</v>
      </c>
      <c r="C32" s="1983"/>
      <c r="D32" s="1984"/>
      <c r="E32" s="1985"/>
      <c r="F32" s="1986"/>
      <c r="G32" s="2074"/>
      <c r="H32" s="2075"/>
      <c r="I32" s="2075"/>
      <c r="J32" s="1972">
        <f>IFERROR(VLOOKUP(B32,DG!A:F,6,0),3000)</f>
        <v>3000</v>
      </c>
      <c r="K32" s="1973">
        <f>IF(J32&lt;2000,COUNTIF($B$2:B32,B32),0)</f>
        <v>0</v>
      </c>
      <c r="L32" s="1430"/>
      <c r="M32" s="1510"/>
      <c r="O32" s="1510"/>
    </row>
    <row r="33" spans="1:15" s="1285" customFormat="1" ht="25.2" customHeight="1">
      <c r="A33" s="2170">
        <f>COUNTIF($K$1:K33,1)</f>
        <v>1</v>
      </c>
      <c r="B33" s="2281">
        <f t="shared" si="0"/>
        <v>0</v>
      </c>
      <c r="C33" s="1983"/>
      <c r="D33" s="1984"/>
      <c r="E33" s="1985"/>
      <c r="F33" s="1986"/>
      <c r="G33" s="2074"/>
      <c r="H33" s="2075"/>
      <c r="I33" s="2075"/>
      <c r="J33" s="1972">
        <f>IFERROR(VLOOKUP(B33,DG!A:F,6,0),3000)</f>
        <v>3000</v>
      </c>
      <c r="K33" s="1973">
        <f>IF(J33&lt;2000,COUNTIF($B$2:B33,B33),0)</f>
        <v>0</v>
      </c>
      <c r="L33" s="1430"/>
      <c r="M33" s="1510"/>
      <c r="O33" s="1510"/>
    </row>
    <row r="34" spans="1:15" s="1285" customFormat="1" ht="25.2" customHeight="1">
      <c r="A34" s="2170">
        <f>COUNTIF($K$1:K34,1)</f>
        <v>1</v>
      </c>
      <c r="B34" s="2281">
        <f t="shared" si="0"/>
        <v>0</v>
      </c>
      <c r="C34" s="1983"/>
      <c r="D34" s="1984"/>
      <c r="E34" s="1985"/>
      <c r="F34" s="1986"/>
      <c r="G34" s="2074"/>
      <c r="H34" s="2075"/>
      <c r="I34" s="2075"/>
      <c r="J34" s="1972">
        <f>IFERROR(VLOOKUP(B34,DG!A:F,6,0),3000)</f>
        <v>3000</v>
      </c>
      <c r="K34" s="1973">
        <f>IF(J34&lt;2000,COUNTIF($B$2:B34,B34),0)</f>
        <v>0</v>
      </c>
      <c r="L34" s="1430"/>
      <c r="M34" s="1510"/>
      <c r="O34" s="1510"/>
    </row>
    <row r="35" spans="1:15" s="1285" customFormat="1" ht="25.2" customHeight="1">
      <c r="A35" s="2170">
        <f>COUNTIF($K$1:K35,1)</f>
        <v>1</v>
      </c>
      <c r="B35" s="2281">
        <f t="shared" si="0"/>
        <v>0</v>
      </c>
      <c r="C35" s="1983"/>
      <c r="D35" s="1984"/>
      <c r="E35" s="1985"/>
      <c r="F35" s="1986"/>
      <c r="G35" s="2074"/>
      <c r="H35" s="2075"/>
      <c r="I35" s="2075"/>
      <c r="J35" s="1972">
        <f>IFERROR(VLOOKUP(B35,DG!A:F,6,0),3000)</f>
        <v>3000</v>
      </c>
      <c r="K35" s="1973">
        <f>IF(J35&lt;2000,COUNTIF($B$2:B35,B35),0)</f>
        <v>0</v>
      </c>
      <c r="L35" s="1430"/>
      <c r="M35" s="1510"/>
      <c r="O35" s="1510"/>
    </row>
    <row r="36" spans="1:15" s="1285" customFormat="1" ht="25.2" customHeight="1">
      <c r="A36" s="2170">
        <f>COUNTIF($K$1:K36,1)</f>
        <v>1</v>
      </c>
      <c r="B36" s="2281">
        <f t="shared" si="0"/>
        <v>0</v>
      </c>
      <c r="C36" s="1983"/>
      <c r="D36" s="1984"/>
      <c r="E36" s="1985"/>
      <c r="F36" s="1986"/>
      <c r="G36" s="2074"/>
      <c r="H36" s="2075"/>
      <c r="I36" s="2280"/>
      <c r="J36" s="1972">
        <f>IFERROR(VLOOKUP(B36,DG!A:F,6,0),3000)</f>
        <v>3000</v>
      </c>
      <c r="K36" s="1973">
        <f>IF(J36&lt;2000,COUNTIF($B$2:B36,B36),0)</f>
        <v>0</v>
      </c>
      <c r="L36" s="1430"/>
      <c r="M36" s="1510"/>
      <c r="O36" s="1510"/>
    </row>
    <row r="37" spans="1:15" s="1285" customFormat="1" ht="25.2" customHeight="1">
      <c r="A37" s="2170">
        <f>COUNTIF($K$1:K37,1)</f>
        <v>1</v>
      </c>
      <c r="B37" s="2281">
        <f t="shared" si="0"/>
        <v>0</v>
      </c>
      <c r="C37" s="1983"/>
      <c r="D37" s="1984"/>
      <c r="E37" s="1985"/>
      <c r="F37" s="1986"/>
      <c r="G37" s="2074"/>
      <c r="H37" s="2075"/>
      <c r="I37" s="2075"/>
      <c r="J37" s="1972">
        <f>IFERROR(VLOOKUP(B37,DG!A:F,6,0),3000)</f>
        <v>3000</v>
      </c>
      <c r="K37" s="1973">
        <f>IF(J37&lt;2000,COUNTIF($B$2:B37,B37),0)</f>
        <v>0</v>
      </c>
      <c r="L37" s="1430"/>
      <c r="M37" s="1510"/>
      <c r="O37" s="1510"/>
    </row>
    <row r="38" spans="1:15" s="1285" customFormat="1" ht="25.2" customHeight="1">
      <c r="A38" s="2170">
        <f>COUNTIF($K$1:K38,1)</f>
        <v>1</v>
      </c>
      <c r="B38" s="2281">
        <f t="shared" si="0"/>
        <v>0</v>
      </c>
      <c r="C38" s="1289"/>
      <c r="D38" s="1977"/>
      <c r="E38" s="1506"/>
      <c r="F38" s="1978"/>
      <c r="G38" s="1987"/>
      <c r="H38" s="1988"/>
      <c r="I38" s="1988"/>
      <c r="J38" s="1972">
        <f>IFERROR(VLOOKUP(B38,DG!A:F,6,0),3000)</f>
        <v>3000</v>
      </c>
      <c r="K38" s="1973">
        <f>IF(J38&lt;2000,COUNTIF($B$2:B38,B38),0)</f>
        <v>0</v>
      </c>
      <c r="L38" s="1430"/>
      <c r="M38" s="1510"/>
      <c r="O38" s="1510"/>
    </row>
    <row r="39" spans="1:15" s="1285" customFormat="1" ht="25.2" customHeight="1">
      <c r="A39" s="2170">
        <f>COUNTIF($K$1:K39,1)</f>
        <v>1</v>
      </c>
      <c r="B39" s="2281">
        <f t="shared" si="0"/>
        <v>0</v>
      </c>
      <c r="C39" s="1289"/>
      <c r="D39" s="1977"/>
      <c r="E39" s="1506"/>
      <c r="F39" s="1978"/>
      <c r="G39" s="1987"/>
      <c r="H39" s="1988"/>
      <c r="I39" s="2280"/>
      <c r="J39" s="1972">
        <f>IFERROR(VLOOKUP(B39,DG!A:F,6,0),3000)</f>
        <v>3000</v>
      </c>
      <c r="K39" s="1973">
        <f>IF(J39&lt;2000,COUNTIF($B$2:B39,B39),0)</f>
        <v>0</v>
      </c>
      <c r="L39" s="1430"/>
      <c r="M39" s="1510"/>
      <c r="O39" s="1510"/>
    </row>
    <row r="40" spans="1:15" s="1285" customFormat="1" ht="25.2" customHeight="1">
      <c r="A40" s="2170">
        <f>COUNTIF($K$1:K40,1)</f>
        <v>1</v>
      </c>
      <c r="B40" s="2281">
        <f t="shared" si="0"/>
        <v>0</v>
      </c>
      <c r="C40" s="1983"/>
      <c r="D40" s="1984"/>
      <c r="E40" s="1985"/>
      <c r="F40" s="1986"/>
      <c r="G40" s="2076"/>
      <c r="H40" s="2077"/>
      <c r="I40" s="2078"/>
      <c r="J40" s="1972">
        <f>IFERROR(VLOOKUP(B40,DG!A:F,6,0),3000)</f>
        <v>3000</v>
      </c>
      <c r="K40" s="1973">
        <f>IF(J40&lt;2000,COUNTIF($B$2:B40,B40),0)</f>
        <v>0</v>
      </c>
      <c r="L40" s="1430"/>
      <c r="M40" s="1510"/>
      <c r="O40" s="1510"/>
    </row>
    <row r="41" spans="1:15" s="1285" customFormat="1" ht="25.2" customHeight="1">
      <c r="A41" s="2170">
        <f>COUNTIF($K$1:K41,1)</f>
        <v>1</v>
      </c>
      <c r="B41" s="2281">
        <f t="shared" si="0"/>
        <v>0</v>
      </c>
      <c r="C41" s="1983"/>
      <c r="D41" s="1984"/>
      <c r="E41" s="1985"/>
      <c r="F41" s="1986"/>
      <c r="G41" s="2074"/>
      <c r="H41" s="2075"/>
      <c r="I41" s="2075"/>
      <c r="J41" s="1972">
        <f>IFERROR(VLOOKUP(B41,DG!A:F,6,0),3000)</f>
        <v>3000</v>
      </c>
      <c r="K41" s="1973">
        <f>IF(J41&lt;2000,COUNTIF($B$2:B41,B41),0)</f>
        <v>0</v>
      </c>
      <c r="L41" s="1430"/>
      <c r="M41" s="1510"/>
      <c r="O41" s="1510"/>
    </row>
    <row r="42" spans="1:15" s="1285" customFormat="1" ht="25.2" customHeight="1">
      <c r="A42" s="2170">
        <f>COUNTIF($K$1:K42,1)</f>
        <v>1</v>
      </c>
      <c r="B42" s="2281">
        <f t="shared" si="0"/>
        <v>0</v>
      </c>
      <c r="C42" s="1983"/>
      <c r="D42" s="1984"/>
      <c r="E42" s="1985"/>
      <c r="F42" s="1986"/>
      <c r="G42" s="2074"/>
      <c r="H42" s="2075"/>
      <c r="I42" s="2075"/>
      <c r="J42" s="1972">
        <f>IFERROR(VLOOKUP(B42,DG!A:F,6,0),3000)</f>
        <v>3000</v>
      </c>
      <c r="K42" s="1973">
        <f>IF(J42&lt;2000,COUNTIF($B$2:B42,B42),0)</f>
        <v>0</v>
      </c>
      <c r="L42" s="1430"/>
      <c r="M42" s="1510"/>
      <c r="O42" s="1510"/>
    </row>
    <row r="43" spans="1:15" s="1285" customFormat="1" ht="25.2" customHeight="1">
      <c r="A43" s="2170">
        <f>COUNTIF($K$1:K43,1)</f>
        <v>1</v>
      </c>
      <c r="B43" s="2281">
        <f t="shared" si="0"/>
        <v>0</v>
      </c>
      <c r="C43" s="1983"/>
      <c r="D43" s="1984"/>
      <c r="E43" s="1985"/>
      <c r="F43" s="1986"/>
      <c r="G43" s="2074"/>
      <c r="H43" s="2075"/>
      <c r="I43" s="2075"/>
      <c r="J43" s="1972">
        <f>IFERROR(VLOOKUP(B43,DG!A:F,6,0),3000)</f>
        <v>3000</v>
      </c>
      <c r="K43" s="1973">
        <f>IF(J43&lt;2000,COUNTIF($B$2:B43,B43),0)</f>
        <v>0</v>
      </c>
      <c r="L43" s="1430"/>
      <c r="M43" s="1510"/>
      <c r="O43" s="1510"/>
    </row>
    <row r="44" spans="1:15" s="1285" customFormat="1" ht="25.2" customHeight="1">
      <c r="A44" s="2170">
        <f>COUNTIF($K$1:K44,1)</f>
        <v>1</v>
      </c>
      <c r="B44" s="2281">
        <f t="shared" si="0"/>
        <v>0</v>
      </c>
      <c r="C44" s="1289"/>
      <c r="D44" s="1977"/>
      <c r="E44" s="1506"/>
      <c r="F44" s="1978"/>
      <c r="G44" s="1987"/>
      <c r="H44" s="1988"/>
      <c r="I44" s="1988"/>
      <c r="J44" s="1972">
        <f>IFERROR(VLOOKUP(B44,DG!A:F,6,0),3000)</f>
        <v>3000</v>
      </c>
      <c r="K44" s="1973">
        <f>IF(J44&lt;2000,COUNTIF($B$2:B44,B44),0)</f>
        <v>0</v>
      </c>
      <c r="L44" s="1430"/>
      <c r="M44" s="1510"/>
      <c r="O44" s="1510"/>
    </row>
    <row r="45" spans="1:15" s="1285" customFormat="1" ht="25.2" customHeight="1">
      <c r="A45" s="2170">
        <f>COUNTIF($K$1:K45,1)</f>
        <v>1</v>
      </c>
      <c r="B45" s="2281">
        <f t="shared" si="0"/>
        <v>0</v>
      </c>
      <c r="C45" s="1983"/>
      <c r="D45" s="1984"/>
      <c r="E45" s="1985"/>
      <c r="F45" s="1986"/>
      <c r="G45" s="1987"/>
      <c r="H45" s="1988"/>
      <c r="I45" s="1988"/>
      <c r="J45" s="1972">
        <f>IFERROR(VLOOKUP(B45,DG!A:F,6,0),3000)</f>
        <v>3000</v>
      </c>
      <c r="K45" s="1973">
        <f>IF(J45&lt;2000,COUNTIF($B$2:B45,B45),0)</f>
        <v>0</v>
      </c>
      <c r="L45" s="1430"/>
      <c r="M45" s="1510"/>
      <c r="O45" s="1510"/>
    </row>
    <row r="46" spans="1:15" s="1285" customFormat="1" ht="25.2" customHeight="1">
      <c r="A46" s="2170">
        <f>COUNTIF($K$1:K46,1)</f>
        <v>1</v>
      </c>
      <c r="B46" s="2281">
        <f t="shared" si="0"/>
        <v>0</v>
      </c>
      <c r="C46" s="1983"/>
      <c r="D46" s="1984"/>
      <c r="E46" s="1985"/>
      <c r="F46" s="1986"/>
      <c r="G46" s="2074"/>
      <c r="H46" s="2075"/>
      <c r="I46" s="2075"/>
      <c r="J46" s="1972">
        <f>IFERROR(VLOOKUP(B46,DG!A:F,6,0),3000)</f>
        <v>3000</v>
      </c>
      <c r="K46" s="1973">
        <f>IF(J46&lt;2000,COUNTIF($B$2:B46,B46),0)</f>
        <v>0</v>
      </c>
      <c r="L46" s="1430"/>
      <c r="M46" s="1510"/>
      <c r="O46" s="1510"/>
    </row>
    <row r="47" spans="1:15" s="1285" customFormat="1" ht="25.2" customHeight="1">
      <c r="A47" s="2170">
        <f>COUNTIF($K$1:K47,1)</f>
        <v>1</v>
      </c>
      <c r="B47" s="2281">
        <f t="shared" si="0"/>
        <v>0</v>
      </c>
      <c r="C47" s="1983"/>
      <c r="D47" s="1984"/>
      <c r="E47" s="1985"/>
      <c r="F47" s="1986"/>
      <c r="G47" s="2074"/>
      <c r="H47" s="2075"/>
      <c r="I47" s="2075"/>
      <c r="J47" s="1972">
        <f>IFERROR(VLOOKUP(B47,DG!A:F,6,0),3000)</f>
        <v>3000</v>
      </c>
      <c r="K47" s="1973">
        <f>IF(J47&lt;2000,COUNTIF($B$2:B47,B47),0)</f>
        <v>0</v>
      </c>
      <c r="L47" s="1430"/>
      <c r="M47" s="1510"/>
      <c r="O47" s="1510"/>
    </row>
    <row r="48" spans="1:15" s="1285" customFormat="1" ht="25.2" customHeight="1">
      <c r="A48" s="2170">
        <f>COUNTIF($K$1:K48,1)</f>
        <v>1</v>
      </c>
      <c r="B48" s="2281">
        <f t="shared" si="0"/>
        <v>0</v>
      </c>
      <c r="C48" s="1975"/>
      <c r="D48" s="1979"/>
      <c r="E48" s="1980"/>
      <c r="F48" s="1981"/>
      <c r="G48" s="2076"/>
      <c r="H48" s="2075"/>
      <c r="I48" s="2075"/>
      <c r="J48" s="1972">
        <f>IFERROR(VLOOKUP(B48,DG!A:F,6,0),3000)</f>
        <v>3000</v>
      </c>
      <c r="K48" s="1973">
        <f>IF(J48&lt;2000,COUNTIF($B$2:B48,B48),0)</f>
        <v>0</v>
      </c>
      <c r="L48" s="1430"/>
      <c r="M48" s="1510"/>
      <c r="O48" s="1510"/>
    </row>
    <row r="49" spans="1:15" s="1285" customFormat="1" ht="25.2" customHeight="1">
      <c r="A49" s="2170">
        <f>COUNTIF($K$1:K49,1)</f>
        <v>1</v>
      </c>
      <c r="B49" s="2281">
        <f t="shared" si="0"/>
        <v>0</v>
      </c>
      <c r="C49" s="1975"/>
      <c r="D49" s="1979"/>
      <c r="E49" s="1980"/>
      <c r="F49" s="1981"/>
      <c r="G49" s="2076"/>
      <c r="H49" s="2075"/>
      <c r="I49" s="2075"/>
      <c r="J49" s="1972">
        <f>IFERROR(VLOOKUP(B49,DG!A:F,6,0),3000)</f>
        <v>3000</v>
      </c>
      <c r="K49" s="1973">
        <f>IF(J49&lt;2000,COUNTIF($B$2:B49,B49),0)</f>
        <v>0</v>
      </c>
      <c r="L49" s="1430"/>
      <c r="M49" s="1510"/>
      <c r="O49" s="1510"/>
    </row>
    <row r="50" spans="1:15" s="1285" customFormat="1" ht="25.2" customHeight="1">
      <c r="A50" s="2170">
        <f>COUNTIF($K$1:K50,1)</f>
        <v>1</v>
      </c>
      <c r="B50" s="2281">
        <f t="shared" si="0"/>
        <v>0</v>
      </c>
      <c r="C50" s="1983"/>
      <c r="D50" s="1984"/>
      <c r="E50" s="1985"/>
      <c r="F50" s="1986"/>
      <c r="G50" s="2074"/>
      <c r="H50" s="2075"/>
      <c r="I50" s="2075"/>
      <c r="J50" s="1972">
        <f>IFERROR(VLOOKUP(B50,DG!A:F,6,0),3000)</f>
        <v>3000</v>
      </c>
      <c r="K50" s="1973">
        <f>IF(J50&lt;2000,COUNTIF($B$2:B50,B50),0)</f>
        <v>0</v>
      </c>
      <c r="L50" s="1430"/>
      <c r="M50" s="1510"/>
      <c r="O50" s="1510"/>
    </row>
    <row r="51" spans="1:15" s="1285" customFormat="1" ht="25.2" customHeight="1">
      <c r="A51" s="2170">
        <f>COUNTIF($K$1:K51,1)</f>
        <v>1</v>
      </c>
      <c r="B51" s="2281">
        <f t="shared" si="0"/>
        <v>0</v>
      </c>
      <c r="C51" s="1983"/>
      <c r="D51" s="1984"/>
      <c r="E51" s="1985"/>
      <c r="F51" s="1986"/>
      <c r="G51" s="2074"/>
      <c r="H51" s="2075"/>
      <c r="I51" s="2075"/>
      <c r="J51" s="1972">
        <f>IFERROR(VLOOKUP(B51,DG!A:F,6,0),3000)</f>
        <v>3000</v>
      </c>
      <c r="K51" s="1973">
        <f>IF(J51&lt;2000,COUNTIF($B$2:B51,B51),0)</f>
        <v>0</v>
      </c>
      <c r="L51" s="1430"/>
      <c r="M51" s="1510"/>
      <c r="O51" s="1510"/>
    </row>
    <row r="52" spans="1:15" s="1285" customFormat="1" ht="25.2" customHeight="1">
      <c r="A52" s="2170">
        <f>COUNTIF($K$1:K52,1)</f>
        <v>1</v>
      </c>
      <c r="B52" s="2281">
        <f t="shared" si="0"/>
        <v>0</v>
      </c>
      <c r="C52" s="1983"/>
      <c r="D52" s="1984"/>
      <c r="E52" s="1985"/>
      <c r="F52" s="1986"/>
      <c r="G52" s="2074"/>
      <c r="H52" s="2075"/>
      <c r="I52" s="2075"/>
      <c r="J52" s="1972">
        <f>IFERROR(VLOOKUP(B52,DG!A:F,6,0),3000)</f>
        <v>3000</v>
      </c>
      <c r="K52" s="1973">
        <f>IF(J52&lt;2000,COUNTIF($B$2:B52,B52),0)</f>
        <v>0</v>
      </c>
      <c r="L52" s="1430"/>
      <c r="M52" s="1510"/>
      <c r="O52" s="1510"/>
    </row>
    <row r="53" spans="1:15" s="1285" customFormat="1" ht="25.2" customHeight="1">
      <c r="A53" s="2170">
        <f>COUNTIF($K$1:K53,1)</f>
        <v>1</v>
      </c>
      <c r="B53" s="2281">
        <f t="shared" si="0"/>
        <v>0</v>
      </c>
      <c r="C53" s="1975"/>
      <c r="D53" s="1979"/>
      <c r="E53" s="1980"/>
      <c r="F53" s="1981"/>
      <c r="G53" s="2076"/>
      <c r="H53" s="2075"/>
      <c r="I53" s="2075"/>
      <c r="J53" s="1972">
        <f>IFERROR(VLOOKUP(B53,DG!A:F,6,0),3000)</f>
        <v>3000</v>
      </c>
      <c r="K53" s="1973">
        <f>IF(J53&lt;2000,COUNTIF($B$2:B53,B53),0)</f>
        <v>0</v>
      </c>
      <c r="L53" s="1430"/>
      <c r="M53" s="1510"/>
      <c r="O53" s="1510"/>
    </row>
    <row r="54" spans="1:15" s="1285" customFormat="1" ht="25.2" customHeight="1">
      <c r="A54" s="2170">
        <f>COUNTIF($K$1:K54,1)</f>
        <v>1</v>
      </c>
      <c r="B54" s="2281">
        <f t="shared" si="0"/>
        <v>0</v>
      </c>
      <c r="C54" s="1983"/>
      <c r="D54" s="1984"/>
      <c r="E54" s="1985"/>
      <c r="F54" s="1986"/>
      <c r="G54" s="1987"/>
      <c r="H54" s="1988"/>
      <c r="I54" s="1988"/>
      <c r="J54" s="1972">
        <f>IFERROR(VLOOKUP(B54,DG!A:F,6,0),3000)</f>
        <v>3000</v>
      </c>
      <c r="K54" s="1973">
        <f>IF(J54&lt;2000,COUNTIF($B$2:B54,B54),0)</f>
        <v>0</v>
      </c>
      <c r="L54" s="1430"/>
      <c r="M54" s="1510"/>
      <c r="O54" s="1510"/>
    </row>
    <row r="55" spans="1:15" s="1285" customFormat="1" ht="25.2" customHeight="1">
      <c r="A55" s="2170">
        <f>COUNTIF($K$1:K55,1)</f>
        <v>1</v>
      </c>
      <c r="B55" s="2281">
        <f t="shared" si="0"/>
        <v>0</v>
      </c>
      <c r="C55" s="1975"/>
      <c r="D55" s="1979"/>
      <c r="E55" s="2224"/>
      <c r="F55" s="2229"/>
      <c r="G55" s="2235"/>
      <c r="H55" s="2235"/>
      <c r="I55" s="2260"/>
      <c r="J55" s="1972">
        <f>IFERROR(VLOOKUP(B55,DG!A:F,6,0),3000)</f>
        <v>3000</v>
      </c>
      <c r="K55" s="1973">
        <f>IF(J55&lt;2000,COUNTIF($B$2:B55,B55),0)</f>
        <v>0</v>
      </c>
      <c r="L55" s="1430"/>
      <c r="M55" s="1510"/>
      <c r="O55" s="1510"/>
    </row>
    <row r="56" spans="1:15" s="1285" customFormat="1" ht="25.2" customHeight="1">
      <c r="A56" s="2170">
        <f>COUNTIF($K$1:K56,1)</f>
        <v>1</v>
      </c>
      <c r="B56" s="2281">
        <f t="shared" si="0"/>
        <v>0</v>
      </c>
      <c r="C56" s="1983"/>
      <c r="D56" s="1984"/>
      <c r="E56" s="1985"/>
      <c r="F56" s="1986"/>
      <c r="G56" s="2074"/>
      <c r="H56" s="2075"/>
      <c r="I56" s="2075"/>
      <c r="J56" s="1972">
        <f>IFERROR(VLOOKUP(B56,DG!A:F,6,0),3000)</f>
        <v>3000</v>
      </c>
      <c r="K56" s="1973">
        <f>IF(J56&lt;2000,COUNTIF($B$2:B56,B56),0)</f>
        <v>0</v>
      </c>
      <c r="L56" s="1430"/>
      <c r="M56" s="1510"/>
      <c r="O56" s="1510"/>
    </row>
    <row r="57" spans="1:15" s="1285" customFormat="1" ht="25.2" customHeight="1">
      <c r="A57" s="2170">
        <f>COUNTIF($K$1:K57,1)</f>
        <v>1</v>
      </c>
      <c r="B57" s="2281">
        <f t="shared" si="0"/>
        <v>0</v>
      </c>
      <c r="C57" s="1975"/>
      <c r="D57" s="1979"/>
      <c r="E57" s="1980"/>
      <c r="F57" s="1981"/>
      <c r="G57" s="2076"/>
      <c r="H57" s="2077"/>
      <c r="I57" s="2078"/>
      <c r="J57" s="1972">
        <f>IFERROR(VLOOKUP(B57,DG!A:F,6,0),3000)</f>
        <v>3000</v>
      </c>
      <c r="K57" s="1973">
        <f>IF(J57&lt;2000,COUNTIF($B$2:B57,B57),0)</f>
        <v>0</v>
      </c>
      <c r="L57" s="1430"/>
      <c r="M57" s="1510"/>
      <c r="O57" s="1510"/>
    </row>
    <row r="58" spans="1:15" s="1285" customFormat="1" ht="25.2" customHeight="1">
      <c r="A58" s="2170">
        <f>COUNTIF($K$1:K58,1)</f>
        <v>1</v>
      </c>
      <c r="B58" s="2281">
        <f t="shared" si="0"/>
        <v>0</v>
      </c>
      <c r="C58" s="1289"/>
      <c r="D58" s="1977"/>
      <c r="E58" s="2222"/>
      <c r="F58" s="2227"/>
      <c r="G58" s="2232"/>
      <c r="H58" s="2232"/>
      <c r="I58" s="2232"/>
      <c r="J58" s="1972">
        <f>IFERROR(VLOOKUP(B58,DG!A:F,6,0),3000)</f>
        <v>3000</v>
      </c>
      <c r="K58" s="1973">
        <f>IF(J58&lt;2000,COUNTIF($B$2:B58,B58),0)</f>
        <v>0</v>
      </c>
      <c r="L58" s="1426"/>
      <c r="M58" s="1510"/>
      <c r="O58" s="1510"/>
    </row>
    <row r="59" spans="1:15" s="1285" customFormat="1" ht="25.2" customHeight="1">
      <c r="A59" s="2170">
        <f>COUNTIF($K$1:K59,1)</f>
        <v>1</v>
      </c>
      <c r="B59" s="2281">
        <f t="shared" si="0"/>
        <v>0</v>
      </c>
      <c r="C59" s="1983"/>
      <c r="D59" s="1984"/>
      <c r="E59" s="1985"/>
      <c r="F59" s="1986"/>
      <c r="G59" s="2074"/>
      <c r="H59" s="2075"/>
      <c r="I59" s="2075"/>
      <c r="J59" s="1972">
        <f>IFERROR(VLOOKUP(B59,DG!A:F,6,0),3000)</f>
        <v>3000</v>
      </c>
      <c r="K59" s="1973">
        <f>IF(J59&lt;2000,COUNTIF($B$2:B59,B59),0)</f>
        <v>0</v>
      </c>
      <c r="L59" s="1430"/>
      <c r="M59" s="1510"/>
      <c r="O59" s="1510"/>
    </row>
    <row r="60" spans="1:15" s="1285" customFormat="1" ht="25.2" customHeight="1">
      <c r="A60" s="2170">
        <f>COUNTIF($K$1:K60,1)</f>
        <v>1</v>
      </c>
      <c r="B60" s="2281">
        <f t="shared" si="0"/>
        <v>0</v>
      </c>
      <c r="C60" s="2079"/>
      <c r="D60" s="2080"/>
      <c r="E60" s="1985"/>
      <c r="F60" s="1986"/>
      <c r="G60" s="2074"/>
      <c r="H60" s="2075"/>
      <c r="I60" s="2075"/>
      <c r="J60" s="1972">
        <f>IFERROR(VLOOKUP(B60,DG!A:F,6,0),3000)</f>
        <v>3000</v>
      </c>
      <c r="K60" s="1973">
        <f>IF(J60&lt;2000,COUNTIF($B$2:B60,B60),0)</f>
        <v>0</v>
      </c>
      <c r="L60" s="1430"/>
      <c r="M60" s="1510"/>
      <c r="O60" s="1510"/>
    </row>
    <row r="61" spans="1:15" s="1285" customFormat="1" ht="25.2" customHeight="1">
      <c r="A61" s="2170">
        <f>COUNTIF($K$1:K61,1)</f>
        <v>1</v>
      </c>
      <c r="B61" s="2281">
        <f t="shared" si="0"/>
        <v>0</v>
      </c>
      <c r="C61" s="1983"/>
      <c r="D61" s="1984"/>
      <c r="E61" s="1985"/>
      <c r="F61" s="1986"/>
      <c r="G61" s="2074"/>
      <c r="H61" s="2075"/>
      <c r="I61" s="2075"/>
      <c r="J61" s="1972">
        <f>IFERROR(VLOOKUP(B61,DG!A:F,6,0),3000)</f>
        <v>3000</v>
      </c>
      <c r="K61" s="1973">
        <f>IF(J61&lt;2000,COUNTIF($B$2:B61,B61),0)</f>
        <v>0</v>
      </c>
      <c r="L61" s="1430"/>
      <c r="M61" s="1510"/>
      <c r="O61" s="1510"/>
    </row>
    <row r="62" spans="1:15" s="1285" customFormat="1" ht="25.2" customHeight="1">
      <c r="A62" s="2170">
        <f>COUNTIF($K$1:K62,1)</f>
        <v>1</v>
      </c>
      <c r="B62" s="2281">
        <f t="shared" si="0"/>
        <v>0</v>
      </c>
      <c r="C62" s="1983"/>
      <c r="D62" s="1984"/>
      <c r="E62" s="1985"/>
      <c r="F62" s="1986"/>
      <c r="G62" s="1987"/>
      <c r="H62" s="1988"/>
      <c r="I62" s="1988"/>
      <c r="J62" s="1972">
        <f>IFERROR(VLOOKUP(B62,DG!A:F,6,0),3000)</f>
        <v>3000</v>
      </c>
      <c r="K62" s="1973">
        <f>IF(J62&lt;2000,COUNTIF($B$2:B62,B62),0)</f>
        <v>0</v>
      </c>
      <c r="L62" s="1430"/>
      <c r="M62" s="1510"/>
      <c r="O62" s="1510"/>
    </row>
    <row r="63" spans="1:15" s="1285" customFormat="1" ht="25.2" customHeight="1">
      <c r="A63" s="2170">
        <f>COUNTIF($K$1:K63,1)</f>
        <v>1</v>
      </c>
      <c r="B63" s="2281">
        <f t="shared" si="0"/>
        <v>0</v>
      </c>
      <c r="C63" s="1983"/>
      <c r="D63" s="1984"/>
      <c r="E63" s="2258"/>
      <c r="F63" s="2259"/>
      <c r="G63" s="2260"/>
      <c r="H63" s="2260"/>
      <c r="I63" s="2260"/>
      <c r="J63" s="1972">
        <f>IFERROR(VLOOKUP(B63,DG!A:F,6,0),3000)</f>
        <v>3000</v>
      </c>
      <c r="K63" s="1973">
        <f>IF(J63&lt;2000,COUNTIF($B$2:B63,B63),0)</f>
        <v>0</v>
      </c>
      <c r="L63" s="1426"/>
      <c r="M63" s="1510"/>
      <c r="O63" s="1510"/>
    </row>
    <row r="64" spans="1:15" s="1285" customFormat="1" ht="25.2" customHeight="1">
      <c r="A64" s="2170">
        <f>COUNTIF($K$1:K64,1)</f>
        <v>1</v>
      </c>
      <c r="B64" s="2281">
        <f t="shared" si="0"/>
        <v>0</v>
      </c>
      <c r="C64" s="1983"/>
      <c r="D64" s="1984"/>
      <c r="E64" s="2258"/>
      <c r="F64" s="2259"/>
      <c r="G64" s="2260"/>
      <c r="H64" s="2260"/>
      <c r="I64" s="2260"/>
      <c r="J64" s="1972">
        <f>IFERROR(VLOOKUP(B64,DG!A:F,6,0),3000)</f>
        <v>3000</v>
      </c>
      <c r="K64" s="1973">
        <f>IF(J64&lt;2000,COUNTIF($B$2:B64,B64),0)</f>
        <v>0</v>
      </c>
      <c r="L64" s="1430"/>
      <c r="M64" s="1510"/>
      <c r="O64" s="1510"/>
    </row>
    <row r="65" spans="1:15" s="1285" customFormat="1" ht="25.2" customHeight="1">
      <c r="A65" s="2170">
        <f>COUNTIF($K$1:K65,1)</f>
        <v>1</v>
      </c>
      <c r="B65" s="2281">
        <f t="shared" si="0"/>
        <v>0</v>
      </c>
      <c r="C65" s="1983"/>
      <c r="D65" s="1984"/>
      <c r="E65" s="1985"/>
      <c r="F65" s="1986"/>
      <c r="G65" s="2074"/>
      <c r="H65" s="2075"/>
      <c r="I65" s="2075"/>
      <c r="J65" s="1972">
        <f>IFERROR(VLOOKUP(B65,DG!A:F,6,0),3000)</f>
        <v>3000</v>
      </c>
      <c r="K65" s="1973">
        <f>IF(J65&lt;2000,COUNTIF($B$2:B65,B65),0)</f>
        <v>0</v>
      </c>
      <c r="L65" s="1991"/>
      <c r="M65" s="1992"/>
      <c r="N65" s="1993"/>
      <c r="O65" s="1992"/>
    </row>
    <row r="66" spans="1:15" s="1285" customFormat="1" ht="25.2" customHeight="1">
      <c r="A66" s="2170">
        <f>COUNTIF($K$1:K66,1)</f>
        <v>1</v>
      </c>
      <c r="B66" s="2281">
        <f t="shared" ref="B66:B129" si="1">D66</f>
        <v>0</v>
      </c>
      <c r="C66" s="1983"/>
      <c r="D66" s="1984"/>
      <c r="E66" s="1985"/>
      <c r="F66" s="1986"/>
      <c r="G66" s="2074"/>
      <c r="H66" s="2075"/>
      <c r="I66" s="2075"/>
      <c r="J66" s="1972">
        <f>IFERROR(VLOOKUP(B66,DG!A:F,6,0),3000)</f>
        <v>3000</v>
      </c>
      <c r="K66" s="1973">
        <f>IF(J66&lt;2000,COUNTIF($B$2:B66,B66),0)</f>
        <v>0</v>
      </c>
      <c r="L66" s="1430"/>
      <c r="M66" s="1510"/>
      <c r="O66" s="1510"/>
    </row>
    <row r="67" spans="1:15" s="1285" customFormat="1" ht="25.2" customHeight="1">
      <c r="A67" s="2170">
        <f>COUNTIF($K$1:K67,1)</f>
        <v>1</v>
      </c>
      <c r="B67" s="2281">
        <f t="shared" si="1"/>
        <v>0</v>
      </c>
      <c r="C67" s="1289"/>
      <c r="D67" s="1977"/>
      <c r="E67" s="1506"/>
      <c r="F67" s="1978"/>
      <c r="G67" s="1987"/>
      <c r="H67" s="1988"/>
      <c r="I67" s="1988"/>
      <c r="J67" s="1972">
        <f>IFERROR(VLOOKUP(B67,DG!A:F,6,0),3000)</f>
        <v>3000</v>
      </c>
      <c r="K67" s="1973">
        <f>IF(J67&lt;2000,COUNTIF($B$2:B67,B67),0)</f>
        <v>0</v>
      </c>
      <c r="L67" s="1430"/>
      <c r="M67" s="1510"/>
      <c r="O67" s="1510"/>
    </row>
    <row r="68" spans="1:15" s="1285" customFormat="1" ht="25.2" customHeight="1">
      <c r="A68" s="2170">
        <f>COUNTIF($K$1:K68,1)</f>
        <v>1</v>
      </c>
      <c r="B68" s="2281">
        <f t="shared" si="1"/>
        <v>0</v>
      </c>
      <c r="C68" s="1983"/>
      <c r="D68" s="1984"/>
      <c r="E68" s="1985"/>
      <c r="F68" s="1986"/>
      <c r="G68" s="2074"/>
      <c r="H68" s="2075"/>
      <c r="I68" s="2075"/>
      <c r="J68" s="1972">
        <f>IFERROR(VLOOKUP(B68,DG!A:F,6,0),3000)</f>
        <v>3000</v>
      </c>
      <c r="K68" s="1973">
        <f>IF(J68&lt;2000,COUNTIF($B$2:B68,B68),0)</f>
        <v>0</v>
      </c>
      <c r="L68" s="1430"/>
      <c r="M68" s="1510"/>
      <c r="O68" s="1510"/>
    </row>
    <row r="69" spans="1:15" s="1285" customFormat="1" ht="25.2" customHeight="1">
      <c r="A69" s="2170">
        <f>COUNTIF($K$1:K69,1)</f>
        <v>1</v>
      </c>
      <c r="B69" s="2281">
        <f t="shared" si="1"/>
        <v>0</v>
      </c>
      <c r="C69" s="1983"/>
      <c r="D69" s="1984"/>
      <c r="E69" s="1985"/>
      <c r="F69" s="1986"/>
      <c r="G69" s="2074"/>
      <c r="H69" s="2075"/>
      <c r="I69" s="2075"/>
      <c r="J69" s="1972">
        <f>IFERROR(VLOOKUP(B69,DG!A:F,6,0),3000)</f>
        <v>3000</v>
      </c>
      <c r="K69" s="1973">
        <f>IF(J69&lt;2000,COUNTIF($B$2:B69,B69),0)</f>
        <v>0</v>
      </c>
      <c r="L69" s="1430"/>
      <c r="M69" s="1510"/>
      <c r="O69" s="1510"/>
    </row>
    <row r="70" spans="1:15" s="1285" customFormat="1" ht="25.2" customHeight="1">
      <c r="A70" s="2170">
        <f>COUNTIF($K$1:K70,1)</f>
        <v>1</v>
      </c>
      <c r="B70" s="2281">
        <f t="shared" si="1"/>
        <v>0</v>
      </c>
      <c r="C70" s="1975"/>
      <c r="D70" s="1979"/>
      <c r="E70" s="2224"/>
      <c r="F70" s="2229"/>
      <c r="G70" s="2235"/>
      <c r="H70" s="2235"/>
      <c r="I70" s="2232"/>
      <c r="J70" s="1972">
        <f>IFERROR(VLOOKUP(B70,DG!A:F,6,0),3000)</f>
        <v>3000</v>
      </c>
      <c r="K70" s="1973">
        <f>IF(J70&lt;2000,COUNTIF($B$2:B70,B70),0)</f>
        <v>0</v>
      </c>
      <c r="L70" s="1426"/>
      <c r="M70" s="1510"/>
      <c r="O70" s="1510"/>
    </row>
    <row r="71" spans="1:15" s="1285" customFormat="1" ht="25.2" customHeight="1">
      <c r="A71" s="2170">
        <f>COUNTIF($K$1:K71,1)</f>
        <v>1</v>
      </c>
      <c r="B71" s="2281">
        <f t="shared" si="1"/>
        <v>0</v>
      </c>
      <c r="C71" s="1289"/>
      <c r="D71" s="1977"/>
      <c r="E71" s="1506"/>
      <c r="F71" s="1978"/>
      <c r="G71" s="1987"/>
      <c r="H71" s="1988"/>
      <c r="I71" s="1988"/>
      <c r="J71" s="1972">
        <f>IFERROR(VLOOKUP(B71,DG!A:F,6,0),3000)</f>
        <v>3000</v>
      </c>
      <c r="K71" s="1973">
        <f>IF(J71&lt;2000,COUNTIF($B$2:B71,B71),0)</f>
        <v>0</v>
      </c>
      <c r="L71" s="1430"/>
      <c r="M71" s="1510"/>
      <c r="O71" s="1510"/>
    </row>
    <row r="72" spans="1:15" s="1285" customFormat="1" ht="25.2" customHeight="1">
      <c r="A72" s="2170">
        <f>COUNTIF($K$1:K72,1)</f>
        <v>1</v>
      </c>
      <c r="B72" s="2281">
        <f t="shared" si="1"/>
        <v>0</v>
      </c>
      <c r="C72" s="1289"/>
      <c r="D72" s="1977"/>
      <c r="E72" s="1506"/>
      <c r="F72" s="1978"/>
      <c r="G72" s="1987"/>
      <c r="H72" s="1988"/>
      <c r="I72" s="1988"/>
      <c r="J72" s="1972">
        <f>IFERROR(VLOOKUP(B72,DG!A:F,6,0),3000)</f>
        <v>3000</v>
      </c>
      <c r="K72" s="1973">
        <f>IF(J72&lt;2000,COUNTIF($B$2:B72,B72),0)</f>
        <v>0</v>
      </c>
      <c r="L72" s="1430"/>
      <c r="M72" s="1510"/>
      <c r="O72" s="1510"/>
    </row>
    <row r="73" spans="1:15" s="1285" customFormat="1" ht="25.2" customHeight="1">
      <c r="A73" s="2170">
        <f>COUNTIF($K$1:K73,1)</f>
        <v>1</v>
      </c>
      <c r="B73" s="2281">
        <f t="shared" si="1"/>
        <v>0</v>
      </c>
      <c r="C73" s="1983"/>
      <c r="D73" s="1984"/>
      <c r="E73" s="1985"/>
      <c r="F73" s="1986"/>
      <c r="G73" s="2074"/>
      <c r="H73" s="2075"/>
      <c r="I73" s="2075"/>
      <c r="J73" s="1972">
        <f>IFERROR(VLOOKUP(B73,DG!A:F,6,0),3000)</f>
        <v>3000</v>
      </c>
      <c r="K73" s="1973">
        <f>IF(J73&lt;2000,COUNTIF($B$2:B73,B73),0)</f>
        <v>0</v>
      </c>
      <c r="L73" s="1430"/>
      <c r="M73" s="1510"/>
      <c r="O73" s="1510"/>
    </row>
    <row r="74" spans="1:15" s="1285" customFormat="1" ht="25.2" customHeight="1">
      <c r="A74" s="2170">
        <f>COUNTIF($K$1:K74,1)</f>
        <v>1</v>
      </c>
      <c r="B74" s="2281">
        <f t="shared" si="1"/>
        <v>0</v>
      </c>
      <c r="C74" s="2159"/>
      <c r="D74" s="2160"/>
      <c r="E74" s="1980"/>
      <c r="F74" s="1981"/>
      <c r="G74" s="2076"/>
      <c r="H74" s="2077"/>
      <c r="I74" s="2075"/>
      <c r="J74" s="1972">
        <f>IFERROR(VLOOKUP(B74,DG!A:F,6,0),3000)</f>
        <v>3000</v>
      </c>
      <c r="K74" s="1973">
        <f>IF(J74&lt;2000,COUNTIF($B$2:B74,B74),0)</f>
        <v>0</v>
      </c>
      <c r="L74" s="1430"/>
      <c r="M74" s="1510"/>
      <c r="O74" s="1510"/>
    </row>
    <row r="75" spans="1:15" s="1285" customFormat="1" ht="25.2" customHeight="1">
      <c r="A75" s="2170">
        <f>COUNTIF($K$1:K75,1)</f>
        <v>1</v>
      </c>
      <c r="B75" s="2281">
        <f t="shared" si="1"/>
        <v>0</v>
      </c>
      <c r="C75" s="1983"/>
      <c r="D75" s="1984"/>
      <c r="E75" s="1985"/>
      <c r="F75" s="1986"/>
      <c r="G75" s="2074"/>
      <c r="H75" s="2075"/>
      <c r="I75" s="2075"/>
      <c r="J75" s="1972">
        <f>IFERROR(VLOOKUP(B75,DG!A:F,6,0),3000)</f>
        <v>3000</v>
      </c>
      <c r="K75" s="1973">
        <f>IF(J75&lt;2000,COUNTIF($B$2:B75,B75),0)</f>
        <v>0</v>
      </c>
      <c r="L75" s="1430"/>
      <c r="M75" s="1510"/>
      <c r="O75" s="1510"/>
    </row>
    <row r="76" spans="1:15" s="1285" customFormat="1" ht="25.2" customHeight="1">
      <c r="A76" s="2170">
        <f>COUNTIF($K$1:K76,1)</f>
        <v>1</v>
      </c>
      <c r="B76" s="2281">
        <f t="shared" si="1"/>
        <v>0</v>
      </c>
      <c r="C76" s="1983"/>
      <c r="D76" s="1984"/>
      <c r="E76" s="1985"/>
      <c r="F76" s="1986"/>
      <c r="G76" s="1987"/>
      <c r="H76" s="1988"/>
      <c r="I76" s="1988"/>
      <c r="J76" s="1972">
        <f>IFERROR(VLOOKUP(B76,DG!A:F,6,0),3000)</f>
        <v>3000</v>
      </c>
      <c r="K76" s="1973">
        <f>IF(J76&lt;2000,COUNTIF($B$2:B76,B76),0)</f>
        <v>0</v>
      </c>
      <c r="L76" s="1430"/>
      <c r="M76" s="1510"/>
      <c r="O76" s="1510"/>
    </row>
    <row r="77" spans="1:15" s="1285" customFormat="1" ht="25.2" customHeight="1">
      <c r="A77" s="2170">
        <f>COUNTIF($K$1:K77,1)</f>
        <v>1</v>
      </c>
      <c r="B77" s="2281">
        <f t="shared" si="1"/>
        <v>0</v>
      </c>
      <c r="C77" s="1289"/>
      <c r="D77" s="1977"/>
      <c r="E77" s="2222"/>
      <c r="F77" s="2227"/>
      <c r="G77" s="2232"/>
      <c r="H77" s="2232"/>
      <c r="I77" s="2232"/>
      <c r="J77" s="1972">
        <f>IFERROR(VLOOKUP(B77,DG!A:F,6,0),3000)</f>
        <v>3000</v>
      </c>
      <c r="K77" s="1973">
        <f>IF(J77&lt;2000,COUNTIF($B$2:B77,B77),0)</f>
        <v>0</v>
      </c>
      <c r="L77" s="1426"/>
      <c r="M77" s="1510"/>
      <c r="O77" s="1510"/>
    </row>
    <row r="78" spans="1:15" s="1285" customFormat="1" ht="25.2" customHeight="1">
      <c r="A78" s="2170">
        <f>COUNTIF($K$1:K78,1)</f>
        <v>1</v>
      </c>
      <c r="B78" s="2281">
        <f t="shared" si="1"/>
        <v>0</v>
      </c>
      <c r="C78" s="1983"/>
      <c r="D78" s="1984"/>
      <c r="E78" s="1985"/>
      <c r="F78" s="1986"/>
      <c r="G78" s="2074"/>
      <c r="H78" s="2075"/>
      <c r="I78" s="2075"/>
      <c r="J78" s="1972">
        <f>IFERROR(VLOOKUP(B78,DG!A:F,6,0),3000)</f>
        <v>3000</v>
      </c>
      <c r="K78" s="1973">
        <f>IF(J78&lt;2000,COUNTIF($B$2:B78,B78),0)</f>
        <v>0</v>
      </c>
      <c r="L78" s="1430"/>
      <c r="M78" s="1510"/>
      <c r="O78" s="1510"/>
    </row>
    <row r="79" spans="1:15" s="1285" customFormat="1" ht="25.2" customHeight="1">
      <c r="A79" s="2170">
        <f>COUNTIF($K$1:K79,1)</f>
        <v>1</v>
      </c>
      <c r="B79" s="2281">
        <f t="shared" si="1"/>
        <v>0</v>
      </c>
      <c r="C79" s="1983"/>
      <c r="D79" s="1984"/>
      <c r="E79" s="1985"/>
      <c r="F79" s="1986"/>
      <c r="G79" s="1987"/>
      <c r="H79" s="1988"/>
      <c r="I79" s="1988"/>
      <c r="J79" s="1972">
        <f>IFERROR(VLOOKUP(B79,DG!A:F,6,0),3000)</f>
        <v>3000</v>
      </c>
      <c r="K79" s="1973">
        <f>IF(J79&lt;2000,COUNTIF($B$2:B79,B79),0)</f>
        <v>0</v>
      </c>
      <c r="L79" s="1430"/>
      <c r="M79" s="1510"/>
      <c r="O79" s="1510"/>
    </row>
    <row r="80" spans="1:15" s="1285" customFormat="1" ht="25.2" customHeight="1">
      <c r="A80" s="2170">
        <f>COUNTIF($K$1:K80,1)</f>
        <v>1</v>
      </c>
      <c r="B80" s="2281">
        <f t="shared" si="1"/>
        <v>0</v>
      </c>
      <c r="C80" s="1289"/>
      <c r="D80" s="1977"/>
      <c r="E80" s="1506"/>
      <c r="F80" s="1978"/>
      <c r="G80" s="1987"/>
      <c r="H80" s="1988"/>
      <c r="I80" s="1988"/>
      <c r="J80" s="1972">
        <f>IFERROR(VLOOKUP(B80,DG!A:F,6,0),3000)</f>
        <v>3000</v>
      </c>
      <c r="K80" s="1973">
        <f>IF(J80&lt;2000,COUNTIF($B$2:B80,B80),0)</f>
        <v>0</v>
      </c>
      <c r="L80" s="1430"/>
      <c r="M80" s="1510"/>
      <c r="O80" s="1510"/>
    </row>
    <row r="81" spans="1:15" s="1285" customFormat="1" ht="25.2" customHeight="1">
      <c r="A81" s="2170">
        <f>COUNTIF($K$1:K81,1)</f>
        <v>1</v>
      </c>
      <c r="B81" s="2281">
        <f t="shared" si="1"/>
        <v>0</v>
      </c>
      <c r="C81" s="1983"/>
      <c r="D81" s="1984"/>
      <c r="E81" s="1985"/>
      <c r="F81" s="1986"/>
      <c r="G81" s="2074"/>
      <c r="H81" s="2075"/>
      <c r="I81" s="2075"/>
      <c r="J81" s="1972">
        <f>IFERROR(VLOOKUP(B81,DG!A:F,6,0),3000)</f>
        <v>3000</v>
      </c>
      <c r="K81" s="1973">
        <f>IF(J81&lt;2000,COUNTIF($B$2:B81,B81),0)</f>
        <v>0</v>
      </c>
      <c r="L81" s="1430"/>
      <c r="M81" s="1510"/>
      <c r="O81" s="1510"/>
    </row>
    <row r="82" spans="1:15" s="1285" customFormat="1" ht="25.2" customHeight="1">
      <c r="A82" s="2170">
        <f>COUNTIF($K$1:K82,1)</f>
        <v>1</v>
      </c>
      <c r="B82" s="2281">
        <f t="shared" si="1"/>
        <v>0</v>
      </c>
      <c r="C82" s="1983"/>
      <c r="D82" s="1984"/>
      <c r="E82" s="1985"/>
      <c r="F82" s="1986"/>
      <c r="G82" s="2074"/>
      <c r="H82" s="2075"/>
      <c r="I82" s="2075"/>
      <c r="J82" s="1972">
        <f>IFERROR(VLOOKUP(B82,DG!A:F,6,0),3000)</f>
        <v>3000</v>
      </c>
      <c r="K82" s="1973">
        <f>IF(J82&lt;2000,COUNTIF($B$2:B82,B82),0)</f>
        <v>0</v>
      </c>
      <c r="L82" s="1430"/>
      <c r="M82" s="1510"/>
      <c r="O82" s="1510"/>
    </row>
    <row r="83" spans="1:15" s="1285" customFormat="1" ht="25.2" customHeight="1">
      <c r="A83" s="2170">
        <f>COUNTIF($K$1:K83,1)</f>
        <v>1</v>
      </c>
      <c r="B83" s="2281">
        <f t="shared" si="1"/>
        <v>0</v>
      </c>
      <c r="C83" s="1983"/>
      <c r="D83" s="1984"/>
      <c r="E83" s="1985"/>
      <c r="F83" s="1986"/>
      <c r="G83" s="2074"/>
      <c r="H83" s="2075"/>
      <c r="I83" s="2075"/>
      <c r="J83" s="1972">
        <f>IFERROR(VLOOKUP(B83,DG!A:F,6,0),3000)</f>
        <v>3000</v>
      </c>
      <c r="K83" s="1973">
        <f>IF(J83&lt;2000,COUNTIF($B$2:B83,B83),0)</f>
        <v>0</v>
      </c>
      <c r="L83" s="1430"/>
      <c r="M83" s="1510"/>
      <c r="O83" s="1510"/>
    </row>
    <row r="84" spans="1:15" s="1285" customFormat="1" ht="25.2" customHeight="1">
      <c r="A84" s="2170">
        <f>COUNTIF($K$1:K84,1)</f>
        <v>1</v>
      </c>
      <c r="B84" s="2281">
        <f t="shared" si="1"/>
        <v>0</v>
      </c>
      <c r="C84" s="1983"/>
      <c r="D84" s="1984"/>
      <c r="E84" s="1985"/>
      <c r="F84" s="1986"/>
      <c r="G84" s="2074"/>
      <c r="H84" s="2075"/>
      <c r="I84" s="2075"/>
      <c r="J84" s="1972">
        <f>IFERROR(VLOOKUP(B84,DG!A:F,6,0),3000)</f>
        <v>3000</v>
      </c>
      <c r="K84" s="1973">
        <f>IF(J84&lt;2000,COUNTIF($B$2:B84,B84),0)</f>
        <v>0</v>
      </c>
      <c r="L84" s="1430"/>
      <c r="M84" s="1510"/>
      <c r="O84" s="1510"/>
    </row>
    <row r="85" spans="1:15" s="1285" customFormat="1" ht="25.2" customHeight="1">
      <c r="A85" s="2170">
        <f>COUNTIF($K$1:K85,1)</f>
        <v>1</v>
      </c>
      <c r="B85" s="2281">
        <f t="shared" si="1"/>
        <v>0</v>
      </c>
      <c r="C85" s="1975"/>
      <c r="D85" s="1979"/>
      <c r="E85" s="1980"/>
      <c r="F85" s="1981"/>
      <c r="G85" s="2076"/>
      <c r="H85" s="2077"/>
      <c r="I85" s="2075"/>
      <c r="J85" s="1972">
        <f>IFERROR(VLOOKUP(B85,DG!A:F,6,0),3000)</f>
        <v>3000</v>
      </c>
      <c r="K85" s="1973">
        <f>IF(J85&lt;2000,COUNTIF($B$2:B85,B85),0)</f>
        <v>0</v>
      </c>
      <c r="L85" s="1430"/>
      <c r="M85" s="1510"/>
      <c r="O85" s="1510"/>
    </row>
    <row r="86" spans="1:15" s="1285" customFormat="1" ht="25.2" customHeight="1">
      <c r="A86" s="2170">
        <f>COUNTIF($K$1:K86,1)</f>
        <v>1</v>
      </c>
      <c r="B86" s="2281">
        <f t="shared" si="1"/>
        <v>0</v>
      </c>
      <c r="C86" s="1983"/>
      <c r="D86" s="1984"/>
      <c r="E86" s="1985"/>
      <c r="F86" s="1986"/>
      <c r="G86" s="2074"/>
      <c r="H86" s="2075"/>
      <c r="I86" s="2075"/>
      <c r="J86" s="1972">
        <f>IFERROR(VLOOKUP(B86,DG!A:F,6,0),3000)</f>
        <v>3000</v>
      </c>
      <c r="K86" s="1973">
        <f>IF(J86&lt;2000,COUNTIF($B$2:B86,B86),0)</f>
        <v>0</v>
      </c>
      <c r="L86" s="1430"/>
      <c r="M86" s="1510"/>
      <c r="O86" s="1510"/>
    </row>
    <row r="87" spans="1:15" s="1285" customFormat="1" ht="25.2" customHeight="1">
      <c r="A87" s="2170">
        <f>COUNTIF($K$1:K87,1)</f>
        <v>1</v>
      </c>
      <c r="B87" s="2281">
        <f t="shared" si="1"/>
        <v>0</v>
      </c>
      <c r="C87" s="1983"/>
      <c r="D87" s="1984"/>
      <c r="E87" s="1985"/>
      <c r="F87" s="1986"/>
      <c r="G87" s="2074"/>
      <c r="H87" s="2075"/>
      <c r="I87" s="2075"/>
      <c r="J87" s="1972">
        <f>IFERROR(VLOOKUP(B87,DG!A:F,6,0),3000)</f>
        <v>3000</v>
      </c>
      <c r="K87" s="1973">
        <f>IF(J87&lt;2000,COUNTIF($B$2:B87,B87),0)</f>
        <v>0</v>
      </c>
      <c r="L87" s="1430"/>
      <c r="M87" s="1510"/>
      <c r="O87" s="1510"/>
    </row>
    <row r="88" spans="1:15" s="1285" customFormat="1" ht="25.2" customHeight="1">
      <c r="A88" s="2170">
        <f>COUNTIF($K$1:K88,1)</f>
        <v>1</v>
      </c>
      <c r="B88" s="2281">
        <f t="shared" si="1"/>
        <v>0</v>
      </c>
      <c r="C88" s="1983"/>
      <c r="D88" s="1984"/>
      <c r="E88" s="1985"/>
      <c r="F88" s="1986"/>
      <c r="G88" s="1987"/>
      <c r="H88" s="1988"/>
      <c r="I88" s="1988"/>
      <c r="J88" s="1972">
        <f>IFERROR(VLOOKUP(B88,DG!A:F,6,0),3000)</f>
        <v>3000</v>
      </c>
      <c r="K88" s="1973">
        <f>IF(J88&lt;2000,COUNTIF($B$2:B88,B88),0)</f>
        <v>0</v>
      </c>
      <c r="L88" s="1430"/>
      <c r="M88" s="1510"/>
      <c r="O88" s="1510"/>
    </row>
    <row r="89" spans="1:15" s="1285" customFormat="1" ht="25.2" customHeight="1">
      <c r="A89" s="2170">
        <f>COUNTIF($K$1:K89,1)</f>
        <v>1</v>
      </c>
      <c r="B89" s="2281">
        <f t="shared" si="1"/>
        <v>0</v>
      </c>
      <c r="C89" s="1289"/>
      <c r="D89" s="1977"/>
      <c r="E89" s="2222"/>
      <c r="F89" s="2227"/>
      <c r="G89" s="2232"/>
      <c r="H89" s="2232"/>
      <c r="I89" s="2232"/>
      <c r="J89" s="1972">
        <f>IFERROR(VLOOKUP(B89,DG!A:F,6,0),3000)</f>
        <v>3000</v>
      </c>
      <c r="K89" s="1973">
        <f>IF(J89&lt;2000,COUNTIF($B$2:B89,B89),0)</f>
        <v>0</v>
      </c>
      <c r="L89" s="1426"/>
      <c r="M89" s="1510"/>
      <c r="O89" s="1510"/>
    </row>
    <row r="90" spans="1:15" s="1285" customFormat="1" ht="25.2" customHeight="1">
      <c r="A90" s="2170">
        <f>COUNTIF($K$1:K90,1)</f>
        <v>1</v>
      </c>
      <c r="B90" s="2281">
        <f t="shared" si="1"/>
        <v>0</v>
      </c>
      <c r="C90" s="1289"/>
      <c r="D90" s="1977"/>
      <c r="E90" s="2222"/>
      <c r="F90" s="2227"/>
      <c r="G90" s="2232"/>
      <c r="H90" s="2232"/>
      <c r="I90" s="2232"/>
      <c r="J90" s="1972">
        <f>IFERROR(VLOOKUP(B90,DG!A:F,6,0),3000)</f>
        <v>3000</v>
      </c>
      <c r="K90" s="1973">
        <f>IF(J90&lt;2000,COUNTIF($B$2:B90,B90),0)</f>
        <v>0</v>
      </c>
      <c r="L90" s="1426"/>
      <c r="M90" s="1510"/>
      <c r="O90" s="1510"/>
    </row>
    <row r="91" spans="1:15" s="1285" customFormat="1" ht="25.2" customHeight="1">
      <c r="A91" s="2170">
        <f>COUNTIF($K$1:K91,1)</f>
        <v>1</v>
      </c>
      <c r="B91" s="2281">
        <f t="shared" si="1"/>
        <v>0</v>
      </c>
      <c r="C91" s="1289"/>
      <c r="D91" s="1977"/>
      <c r="E91" s="2222"/>
      <c r="F91" s="2227"/>
      <c r="G91" s="2232"/>
      <c r="H91" s="2232"/>
      <c r="I91" s="2232"/>
      <c r="J91" s="1972">
        <f>IFERROR(VLOOKUP(B91,DG!A:F,6,0),3000)</f>
        <v>3000</v>
      </c>
      <c r="K91" s="1973">
        <f>IF(J91&lt;2000,COUNTIF($B$2:B91,B91),0)</f>
        <v>0</v>
      </c>
      <c r="L91" s="1426"/>
      <c r="M91" s="1510"/>
      <c r="O91" s="1510"/>
    </row>
    <row r="92" spans="1:15" s="1285" customFormat="1" ht="25.2" customHeight="1">
      <c r="A92" s="2170">
        <f>COUNTIF($K$1:K92,1)</f>
        <v>1</v>
      </c>
      <c r="B92" s="2281">
        <f t="shared" si="1"/>
        <v>0</v>
      </c>
      <c r="C92" s="1289"/>
      <c r="D92" s="1977"/>
      <c r="E92" s="2222"/>
      <c r="F92" s="2227"/>
      <c r="G92" s="2232"/>
      <c r="H92" s="2232"/>
      <c r="I92" s="2232"/>
      <c r="J92" s="1972">
        <f>IFERROR(VLOOKUP(B92,DG!A:F,6,0),3000)</f>
        <v>3000</v>
      </c>
      <c r="K92" s="1973">
        <f>IF(J92&lt;2000,COUNTIF($B$2:B92,B92),0)</f>
        <v>0</v>
      </c>
      <c r="L92" s="1426"/>
      <c r="M92" s="1510"/>
      <c r="O92" s="1510"/>
    </row>
    <row r="93" spans="1:15" s="1285" customFormat="1" ht="25.2" customHeight="1">
      <c r="A93" s="2170">
        <f>COUNTIF($K$1:K93,1)</f>
        <v>1</v>
      </c>
      <c r="B93" s="2281">
        <f t="shared" si="1"/>
        <v>0</v>
      </c>
      <c r="C93" s="1289"/>
      <c r="D93" s="1977"/>
      <c r="E93" s="2222"/>
      <c r="F93" s="2227"/>
      <c r="G93" s="2232"/>
      <c r="H93" s="2232"/>
      <c r="I93" s="2232"/>
      <c r="J93" s="1972">
        <f>IFERROR(VLOOKUP(B93,DG!A:F,6,0),3000)</f>
        <v>3000</v>
      </c>
      <c r="K93" s="1973">
        <f>IF(J93&lt;2000,COUNTIF($B$2:B93,B93),0)</f>
        <v>0</v>
      </c>
      <c r="L93" s="1426"/>
      <c r="M93" s="1510"/>
      <c r="O93" s="1510"/>
    </row>
    <row r="94" spans="1:15" s="1285" customFormat="1" ht="25.2" customHeight="1">
      <c r="A94" s="2170">
        <f>COUNTIF($K$1:K94,1)</f>
        <v>1</v>
      </c>
      <c r="B94" s="2281">
        <f t="shared" si="1"/>
        <v>0</v>
      </c>
      <c r="C94" s="1289"/>
      <c r="D94" s="1977"/>
      <c r="E94" s="2222"/>
      <c r="F94" s="2227"/>
      <c r="G94" s="2232"/>
      <c r="H94" s="2232"/>
      <c r="I94" s="2232"/>
      <c r="J94" s="1972">
        <f>IFERROR(VLOOKUP(B94,DG!A:F,6,0),3000)</f>
        <v>3000</v>
      </c>
      <c r="K94" s="1973">
        <f>IF(J94&lt;2000,COUNTIF($B$2:B94,B94),0)</f>
        <v>0</v>
      </c>
      <c r="L94" s="1426"/>
      <c r="M94" s="1510"/>
      <c r="O94" s="1510"/>
    </row>
    <row r="95" spans="1:15" s="1285" customFormat="1" ht="25.2" customHeight="1">
      <c r="A95" s="2170">
        <f>COUNTIF($K$1:K95,1)</f>
        <v>1</v>
      </c>
      <c r="B95" s="2281">
        <f t="shared" si="1"/>
        <v>0</v>
      </c>
      <c r="C95" s="1289"/>
      <c r="D95" s="1977"/>
      <c r="E95" s="2222"/>
      <c r="F95" s="2227"/>
      <c r="G95" s="2232"/>
      <c r="H95" s="2232"/>
      <c r="I95" s="2232"/>
      <c r="J95" s="1972">
        <f>IFERROR(VLOOKUP(B95,DG!A:F,6,0),3000)</f>
        <v>3000</v>
      </c>
      <c r="K95" s="1973">
        <f>IF(J95&lt;2000,COUNTIF($B$2:B95,B95),0)</f>
        <v>0</v>
      </c>
      <c r="L95" s="1426"/>
      <c r="M95" s="1510"/>
      <c r="O95" s="1510"/>
    </row>
    <row r="96" spans="1:15" s="1285" customFormat="1" ht="25.2" customHeight="1">
      <c r="A96" s="2170">
        <f>COUNTIF($K$1:K96,1)</f>
        <v>1</v>
      </c>
      <c r="B96" s="2281">
        <f t="shared" si="1"/>
        <v>0</v>
      </c>
      <c r="C96" s="1289"/>
      <c r="D96" s="1977"/>
      <c r="E96" s="2222"/>
      <c r="F96" s="2227"/>
      <c r="G96" s="2232"/>
      <c r="H96" s="2232"/>
      <c r="I96" s="2232"/>
      <c r="J96" s="1972">
        <f>IFERROR(VLOOKUP(B96,DG!A:F,6,0),3000)</f>
        <v>3000</v>
      </c>
      <c r="K96" s="1973">
        <f>IF(J96&lt;2000,COUNTIF($B$2:B96,B96),0)</f>
        <v>0</v>
      </c>
      <c r="L96" s="1426"/>
      <c r="M96" s="1510"/>
      <c r="O96" s="1510"/>
    </row>
    <row r="97" spans="1:15" s="1285" customFormat="1" ht="25.2" customHeight="1">
      <c r="A97" s="2170">
        <f>COUNTIF($K$1:K97,1)</f>
        <v>1</v>
      </c>
      <c r="B97" s="2281">
        <f t="shared" si="1"/>
        <v>0</v>
      </c>
      <c r="C97" s="1289"/>
      <c r="D97" s="1977"/>
      <c r="E97" s="2222"/>
      <c r="F97" s="2227"/>
      <c r="G97" s="2232"/>
      <c r="H97" s="2232"/>
      <c r="I97" s="2232"/>
      <c r="J97" s="1972">
        <f>IFERROR(VLOOKUP(B97,DG!A:F,6,0),3000)</f>
        <v>3000</v>
      </c>
      <c r="K97" s="1973">
        <f>IF(J97&lt;2000,COUNTIF($B$2:B97,B97),0)</f>
        <v>0</v>
      </c>
      <c r="L97" s="1426"/>
      <c r="M97" s="1510"/>
      <c r="O97" s="1510"/>
    </row>
    <row r="98" spans="1:15" s="1285" customFormat="1" ht="25.2" customHeight="1">
      <c r="A98" s="2170">
        <f>COUNTIF($K$1:K98,1)</f>
        <v>1</v>
      </c>
      <c r="B98" s="2281">
        <f t="shared" si="1"/>
        <v>0</v>
      </c>
      <c r="C98" s="1289"/>
      <c r="D98" s="1977"/>
      <c r="E98" s="2222"/>
      <c r="F98" s="2227"/>
      <c r="G98" s="2232"/>
      <c r="H98" s="2232"/>
      <c r="I98" s="2232"/>
      <c r="J98" s="1972">
        <f>IFERROR(VLOOKUP(B98,DG!A:F,6,0),3000)</f>
        <v>3000</v>
      </c>
      <c r="K98" s="1973">
        <f>IF(J98&lt;2000,COUNTIF($B$2:B98,B98),0)</f>
        <v>0</v>
      </c>
      <c r="L98" s="1426"/>
      <c r="M98" s="1510"/>
      <c r="O98" s="1510"/>
    </row>
    <row r="99" spans="1:15" s="1285" customFormat="1" ht="25.2" customHeight="1">
      <c r="A99" s="2170">
        <f>COUNTIF($K$1:K99,1)</f>
        <v>1</v>
      </c>
      <c r="B99" s="2281">
        <f t="shared" si="1"/>
        <v>0</v>
      </c>
      <c r="C99" s="1289"/>
      <c r="D99" s="1977"/>
      <c r="E99" s="2222"/>
      <c r="F99" s="2227"/>
      <c r="G99" s="2232"/>
      <c r="H99" s="2232"/>
      <c r="I99" s="2232"/>
      <c r="J99" s="1972">
        <f>IFERROR(VLOOKUP(B99,DG!A:F,6,0),3000)</f>
        <v>3000</v>
      </c>
      <c r="K99" s="1973">
        <f>IF(J99&lt;2000,COUNTIF($B$2:B99,B99),0)</f>
        <v>0</v>
      </c>
      <c r="L99" s="1426"/>
      <c r="M99" s="1510"/>
      <c r="O99" s="1510"/>
    </row>
    <row r="100" spans="1:15" s="1285" customFormat="1" ht="25.2" customHeight="1">
      <c r="A100" s="2170">
        <f>COUNTIF($K$1:K100,1)</f>
        <v>1</v>
      </c>
      <c r="B100" s="2281">
        <f t="shared" si="1"/>
        <v>0</v>
      </c>
      <c r="C100" s="1289"/>
      <c r="D100" s="1977"/>
      <c r="E100" s="2222"/>
      <c r="F100" s="2227"/>
      <c r="G100" s="2232"/>
      <c r="H100" s="2232"/>
      <c r="I100" s="2232"/>
      <c r="J100" s="1972">
        <f>IFERROR(VLOOKUP(B100,DG!A:F,6,0),3000)</f>
        <v>3000</v>
      </c>
      <c r="K100" s="1973">
        <f>IF(J100&lt;2000,COUNTIF($B$2:B100,B100),0)</f>
        <v>0</v>
      </c>
      <c r="L100" s="1426"/>
      <c r="M100" s="1510"/>
      <c r="O100" s="1510"/>
    </row>
    <row r="101" spans="1:15" s="1285" customFormat="1" ht="25.2" customHeight="1">
      <c r="A101" s="2170">
        <f>COUNTIF($K$1:K101,1)</f>
        <v>1</v>
      </c>
      <c r="B101" s="2281">
        <f t="shared" si="1"/>
        <v>0</v>
      </c>
      <c r="C101" s="1289"/>
      <c r="D101" s="1977"/>
      <c r="E101" s="2222"/>
      <c r="F101" s="2227"/>
      <c r="G101" s="2232"/>
      <c r="H101" s="2232"/>
      <c r="I101" s="2232"/>
      <c r="J101" s="1972">
        <f>IFERROR(VLOOKUP(B101,DG!A:F,6,0),3000)</f>
        <v>3000</v>
      </c>
      <c r="K101" s="1973">
        <f>IF(J101&lt;2000,COUNTIF($B$2:B101,B101),0)</f>
        <v>0</v>
      </c>
      <c r="L101" s="1426"/>
      <c r="M101" s="1510"/>
      <c r="O101" s="1510"/>
    </row>
    <row r="102" spans="1:15" s="1285" customFormat="1" ht="25.2" customHeight="1">
      <c r="A102" s="2170">
        <f>COUNTIF($K$1:K102,1)</f>
        <v>1</v>
      </c>
      <c r="B102" s="2281">
        <f t="shared" si="1"/>
        <v>0</v>
      </c>
      <c r="C102" s="1289"/>
      <c r="D102" s="1977"/>
      <c r="E102" s="2222"/>
      <c r="F102" s="2227"/>
      <c r="G102" s="2232"/>
      <c r="H102" s="2232"/>
      <c r="I102" s="2232"/>
      <c r="J102" s="1972">
        <f>IFERROR(VLOOKUP(B102,DG!A:F,6,0),3000)</f>
        <v>3000</v>
      </c>
      <c r="K102" s="1973">
        <f>IF(J102&lt;2000,COUNTIF($B$2:B102,B102),0)</f>
        <v>0</v>
      </c>
      <c r="L102" s="1426"/>
      <c r="M102" s="1510"/>
      <c r="O102" s="1510"/>
    </row>
    <row r="103" spans="1:15" s="1285" customFormat="1" ht="25.2" customHeight="1">
      <c r="A103" s="2170">
        <f>COUNTIF($K$1:K103,1)</f>
        <v>1</v>
      </c>
      <c r="B103" s="2281">
        <f t="shared" si="1"/>
        <v>0</v>
      </c>
      <c r="C103" s="1289"/>
      <c r="D103" s="1977"/>
      <c r="E103" s="2222"/>
      <c r="F103" s="2227"/>
      <c r="G103" s="2232"/>
      <c r="H103" s="2232"/>
      <c r="I103" s="2232"/>
      <c r="J103" s="1972">
        <f>IFERROR(VLOOKUP(B103,DG!A:F,6,0),3000)</f>
        <v>3000</v>
      </c>
      <c r="K103" s="1973">
        <f>IF(J103&lt;2000,COUNTIF($B$2:B103,B103),0)</f>
        <v>0</v>
      </c>
      <c r="L103" s="1426"/>
      <c r="M103" s="1510"/>
      <c r="O103" s="1510"/>
    </row>
    <row r="104" spans="1:15" s="1285" customFormat="1" ht="25.2" customHeight="1">
      <c r="A104" s="2170">
        <f>COUNTIF($K$1:K104,1)</f>
        <v>1</v>
      </c>
      <c r="B104" s="2281">
        <f t="shared" si="1"/>
        <v>0</v>
      </c>
      <c r="C104" s="1289"/>
      <c r="D104" s="1977"/>
      <c r="E104" s="2222"/>
      <c r="F104" s="2227"/>
      <c r="G104" s="2232"/>
      <c r="H104" s="2232"/>
      <c r="I104" s="2232"/>
      <c r="J104" s="1972">
        <f>IFERROR(VLOOKUP(B104,DG!A:F,6,0),3000)</f>
        <v>3000</v>
      </c>
      <c r="K104" s="1973">
        <f>IF(J104&lt;2000,COUNTIF($B$2:B104,B104),0)</f>
        <v>0</v>
      </c>
      <c r="L104" s="1426"/>
      <c r="M104" s="1510"/>
      <c r="O104" s="1510"/>
    </row>
    <row r="105" spans="1:15" s="1285" customFormat="1" ht="25.2" customHeight="1">
      <c r="A105" s="2170">
        <f>COUNTIF($K$1:K105,1)</f>
        <v>1</v>
      </c>
      <c r="B105" s="2281">
        <f t="shared" si="1"/>
        <v>0</v>
      </c>
      <c r="C105" s="1289"/>
      <c r="D105" s="1977"/>
      <c r="E105" s="2222"/>
      <c r="F105" s="2227"/>
      <c r="G105" s="2232"/>
      <c r="H105" s="2232"/>
      <c r="I105" s="2232"/>
      <c r="J105" s="1972">
        <f>IFERROR(VLOOKUP(B105,DG!A:F,6,0),3000)</f>
        <v>3000</v>
      </c>
      <c r="K105" s="1973">
        <f>IF(J105&lt;2000,COUNTIF($B$2:B105,B105),0)</f>
        <v>0</v>
      </c>
      <c r="L105" s="1426"/>
      <c r="M105" s="1510"/>
      <c r="O105" s="1510"/>
    </row>
    <row r="106" spans="1:15" s="1285" customFormat="1" ht="25.2" customHeight="1">
      <c r="A106" s="2170">
        <f>COUNTIF($K$1:K106,1)</f>
        <v>1</v>
      </c>
      <c r="B106" s="2281">
        <f t="shared" si="1"/>
        <v>0</v>
      </c>
      <c r="C106" s="1289"/>
      <c r="D106" s="1977"/>
      <c r="E106" s="2222"/>
      <c r="F106" s="2227"/>
      <c r="G106" s="2232"/>
      <c r="H106" s="2232"/>
      <c r="I106" s="2232"/>
      <c r="J106" s="1972">
        <f>IFERROR(VLOOKUP(B106,DG!A:F,6,0),3000)</f>
        <v>3000</v>
      </c>
      <c r="K106" s="1973">
        <f>IF(J106&lt;2000,COUNTIF($B$2:B106,B106),0)</f>
        <v>0</v>
      </c>
      <c r="L106" s="1426"/>
      <c r="M106" s="1510"/>
      <c r="O106" s="1510"/>
    </row>
    <row r="107" spans="1:15" s="1285" customFormat="1" ht="25.2" customHeight="1">
      <c r="A107" s="2170">
        <f>COUNTIF($K$1:K107,1)</f>
        <v>1</v>
      </c>
      <c r="B107" s="2281">
        <f t="shared" si="1"/>
        <v>0</v>
      </c>
      <c r="C107" s="1289"/>
      <c r="D107" s="1977"/>
      <c r="E107" s="2222"/>
      <c r="F107" s="2227"/>
      <c r="G107" s="2232"/>
      <c r="H107" s="2232"/>
      <c r="I107" s="2232"/>
      <c r="J107" s="1972">
        <f>IFERROR(VLOOKUP(B107,DG!A:F,6,0),3000)</f>
        <v>3000</v>
      </c>
      <c r="K107" s="1973">
        <f>IF(J107&lt;2000,COUNTIF($B$2:B107,B107),0)</f>
        <v>0</v>
      </c>
      <c r="L107" s="1426"/>
      <c r="M107" s="1510"/>
      <c r="O107" s="1510"/>
    </row>
    <row r="108" spans="1:15" s="1285" customFormat="1" ht="25.2" customHeight="1">
      <c r="A108" s="2170">
        <f>COUNTIF($K$1:K108,1)</f>
        <v>1</v>
      </c>
      <c r="B108" s="2281">
        <f t="shared" si="1"/>
        <v>0</v>
      </c>
      <c r="C108" s="1289"/>
      <c r="D108" s="1977"/>
      <c r="E108" s="2222"/>
      <c r="F108" s="2227"/>
      <c r="G108" s="2232"/>
      <c r="H108" s="2232"/>
      <c r="I108" s="2232"/>
      <c r="J108" s="1972">
        <f>IFERROR(VLOOKUP(B108,DG!A:F,6,0),3000)</f>
        <v>3000</v>
      </c>
      <c r="K108" s="1973">
        <f>IF(J108&lt;2000,COUNTIF($B$2:B108,B108),0)</f>
        <v>0</v>
      </c>
      <c r="L108" s="1426"/>
      <c r="M108" s="1510"/>
      <c r="O108" s="1510"/>
    </row>
    <row r="109" spans="1:15" s="1285" customFormat="1" ht="25.2" customHeight="1">
      <c r="A109" s="2170">
        <f>COUNTIF($K$1:K109,1)</f>
        <v>1</v>
      </c>
      <c r="B109" s="2281">
        <f t="shared" si="1"/>
        <v>0</v>
      </c>
      <c r="C109" s="1289"/>
      <c r="D109" s="1977"/>
      <c r="E109" s="2222"/>
      <c r="F109" s="2227"/>
      <c r="G109" s="2232"/>
      <c r="H109" s="2232"/>
      <c r="I109" s="2232"/>
      <c r="J109" s="1972">
        <f>IFERROR(VLOOKUP(B109,DG!A:F,6,0),3000)</f>
        <v>3000</v>
      </c>
      <c r="K109" s="1973">
        <f>IF(J109&lt;2000,COUNTIF($B$2:B109,B109),0)</f>
        <v>0</v>
      </c>
      <c r="L109" s="1426"/>
      <c r="M109" s="1510"/>
      <c r="O109" s="1510"/>
    </row>
    <row r="110" spans="1:15" s="1285" customFormat="1" ht="25.2" customHeight="1">
      <c r="A110" s="2170">
        <f>COUNTIF($K$1:K110,1)</f>
        <v>1</v>
      </c>
      <c r="B110" s="2281">
        <f t="shared" si="1"/>
        <v>0</v>
      </c>
      <c r="C110" s="1289"/>
      <c r="D110" s="1977"/>
      <c r="E110" s="2222"/>
      <c r="F110" s="2227"/>
      <c r="G110" s="2232"/>
      <c r="H110" s="2232"/>
      <c r="I110" s="2232"/>
      <c r="J110" s="1972">
        <f>IFERROR(VLOOKUP(B110,DG!A:F,6,0),3000)</f>
        <v>3000</v>
      </c>
      <c r="K110" s="1973">
        <f>IF(J110&lt;2000,COUNTIF($B$2:B110,B110),0)</f>
        <v>0</v>
      </c>
      <c r="L110" s="1426"/>
      <c r="M110" s="1510"/>
      <c r="O110" s="1510"/>
    </row>
    <row r="111" spans="1:15" s="1285" customFormat="1" ht="25.2" customHeight="1">
      <c r="A111" s="2170">
        <f>COUNTIF($K$1:K111,1)</f>
        <v>1</v>
      </c>
      <c r="B111" s="2281">
        <f t="shared" si="1"/>
        <v>0</v>
      </c>
      <c r="C111" s="1289"/>
      <c r="D111" s="1977"/>
      <c r="E111" s="2222"/>
      <c r="F111" s="2227"/>
      <c r="G111" s="2232"/>
      <c r="H111" s="2232"/>
      <c r="I111" s="2232"/>
      <c r="J111" s="1972">
        <f>IFERROR(VLOOKUP(B111,DG!A:F,6,0),3000)</f>
        <v>3000</v>
      </c>
      <c r="K111" s="1973">
        <f>IF(J111&lt;2000,COUNTIF($B$2:B111,B111),0)</f>
        <v>0</v>
      </c>
      <c r="L111" s="1426"/>
      <c r="M111" s="1510"/>
      <c r="O111" s="1510"/>
    </row>
    <row r="112" spans="1:15" s="1285" customFormat="1" ht="25.2" customHeight="1">
      <c r="A112" s="2170">
        <f>COUNTIF($K$1:K112,1)</f>
        <v>1</v>
      </c>
      <c r="B112" s="2281">
        <f t="shared" si="1"/>
        <v>0</v>
      </c>
      <c r="C112" s="1289"/>
      <c r="D112" s="1977"/>
      <c r="E112" s="1506"/>
      <c r="F112" s="1978"/>
      <c r="G112" s="1987"/>
      <c r="H112" s="1988"/>
      <c r="I112" s="1988"/>
      <c r="J112" s="1972">
        <f>IFERROR(VLOOKUP(B112,DG!A:F,6,0),3000)</f>
        <v>3000</v>
      </c>
      <c r="K112" s="1973">
        <f>IF(J112&lt;2000,COUNTIF($B$2:B112,B112),0)</f>
        <v>0</v>
      </c>
      <c r="L112" s="1430"/>
      <c r="M112" s="1510"/>
      <c r="O112" s="1510"/>
    </row>
    <row r="113" spans="1:15" s="1285" customFormat="1" ht="25.2" customHeight="1">
      <c r="A113" s="2170">
        <f>COUNTIF($K$1:K113,1)</f>
        <v>1</v>
      </c>
      <c r="B113" s="2281">
        <f t="shared" si="1"/>
        <v>0</v>
      </c>
      <c r="C113" s="1983"/>
      <c r="D113" s="1984"/>
      <c r="E113" s="1985"/>
      <c r="F113" s="1986"/>
      <c r="G113" s="2074"/>
      <c r="H113" s="2075"/>
      <c r="I113" s="2075"/>
      <c r="J113" s="1972">
        <f>IFERROR(VLOOKUP(B113,DG!A:F,6,0),3000)</f>
        <v>3000</v>
      </c>
      <c r="K113" s="1973">
        <f>IF(J113&lt;2000,COUNTIF($B$2:B113,B113),0)</f>
        <v>0</v>
      </c>
      <c r="L113" s="1430"/>
      <c r="M113" s="1510"/>
      <c r="O113" s="1510"/>
    </row>
    <row r="114" spans="1:15" s="1285" customFormat="1" ht="25.2" customHeight="1">
      <c r="A114" s="2170">
        <f>COUNTIF($K$1:K114,1)</f>
        <v>1</v>
      </c>
      <c r="B114" s="2281">
        <f t="shared" si="1"/>
        <v>0</v>
      </c>
      <c r="C114" s="1983"/>
      <c r="D114" s="1984"/>
      <c r="E114" s="1985"/>
      <c r="F114" s="1986"/>
      <c r="G114" s="2074"/>
      <c r="H114" s="2075"/>
      <c r="I114" s="2075"/>
      <c r="J114" s="1972">
        <f>IFERROR(VLOOKUP(B114,DG!A:F,6,0),3000)</f>
        <v>3000</v>
      </c>
      <c r="K114" s="1973">
        <f>IF(J114&lt;2000,COUNTIF($B$2:B114,B114),0)</f>
        <v>0</v>
      </c>
      <c r="L114" s="1430"/>
      <c r="M114" s="1510"/>
      <c r="O114" s="1510"/>
    </row>
    <row r="115" spans="1:15" s="1285" customFormat="1" ht="25.2" customHeight="1">
      <c r="A115" s="2170">
        <f>COUNTIF($K$1:K115,1)</f>
        <v>1</v>
      </c>
      <c r="B115" s="2281">
        <f t="shared" si="1"/>
        <v>0</v>
      </c>
      <c r="C115" s="1983"/>
      <c r="D115" s="1984"/>
      <c r="E115" s="1985"/>
      <c r="F115" s="1986"/>
      <c r="G115" s="2074"/>
      <c r="H115" s="2075"/>
      <c r="I115" s="2075"/>
      <c r="J115" s="1972">
        <f>IFERROR(VLOOKUP(B115,DG!A:F,6,0),3000)</f>
        <v>3000</v>
      </c>
      <c r="K115" s="1973">
        <f>IF(J115&lt;2000,COUNTIF($B$2:B115,B115),0)</f>
        <v>0</v>
      </c>
      <c r="L115" s="1430"/>
      <c r="M115" s="1510"/>
      <c r="O115" s="1510"/>
    </row>
    <row r="116" spans="1:15" s="1285" customFormat="1" ht="25.2" customHeight="1">
      <c r="A116" s="2170">
        <f>COUNTIF($K$1:K116,1)</f>
        <v>1</v>
      </c>
      <c r="B116" s="2281">
        <f t="shared" si="1"/>
        <v>0</v>
      </c>
      <c r="C116" s="2079"/>
      <c r="D116" s="2080"/>
      <c r="E116" s="1985"/>
      <c r="F116" s="1986"/>
      <c r="G116" s="2074"/>
      <c r="H116" s="2075"/>
      <c r="I116" s="2075"/>
      <c r="J116" s="1972">
        <f>IFERROR(VLOOKUP(B116,DG!A:F,6,0),3000)</f>
        <v>3000</v>
      </c>
      <c r="K116" s="1973">
        <f>IF(J116&lt;2000,COUNTIF($B$2:B116,B116),0)</f>
        <v>0</v>
      </c>
      <c r="L116" s="1430"/>
      <c r="M116" s="1510"/>
      <c r="O116" s="1510"/>
    </row>
    <row r="117" spans="1:15" s="1285" customFormat="1" ht="25.2" customHeight="1">
      <c r="A117" s="2170">
        <f>COUNTIF($K$1:K117,1)</f>
        <v>1</v>
      </c>
      <c r="B117" s="2281">
        <f t="shared" si="1"/>
        <v>0</v>
      </c>
      <c r="C117" s="1983"/>
      <c r="D117" s="1984"/>
      <c r="E117" s="1985"/>
      <c r="F117" s="1986"/>
      <c r="G117" s="2074"/>
      <c r="H117" s="2075"/>
      <c r="I117" s="2075"/>
      <c r="J117" s="1972">
        <f>IFERROR(VLOOKUP(B117,DG!A:F,6,0),3000)</f>
        <v>3000</v>
      </c>
      <c r="K117" s="1973">
        <f>IF(J117&lt;2000,COUNTIF($B$2:B117,B117),0)</f>
        <v>0</v>
      </c>
      <c r="L117" s="1430"/>
      <c r="M117" s="1510"/>
      <c r="O117" s="1510"/>
    </row>
    <row r="118" spans="1:15" s="1285" customFormat="1" ht="25.2" customHeight="1">
      <c r="A118" s="2170">
        <f>COUNTIF($K$1:K118,1)</f>
        <v>1</v>
      </c>
      <c r="B118" s="2281">
        <f t="shared" si="1"/>
        <v>0</v>
      </c>
      <c r="C118" s="2079"/>
      <c r="D118" s="2080"/>
      <c r="E118" s="1985"/>
      <c r="F118" s="1986"/>
      <c r="G118" s="2074"/>
      <c r="H118" s="2075"/>
      <c r="I118" s="2075"/>
      <c r="J118" s="1972">
        <f>IFERROR(VLOOKUP(B118,DG!A:F,6,0),3000)</f>
        <v>3000</v>
      </c>
      <c r="K118" s="1973">
        <f>IF(J118&lt;2000,COUNTIF($B$2:B118,B118),0)</f>
        <v>0</v>
      </c>
      <c r="L118" s="1991"/>
      <c r="M118" s="1992"/>
      <c r="N118" s="1993"/>
      <c r="O118" s="1992"/>
    </row>
    <row r="119" spans="1:15" s="1285" customFormat="1" ht="25.2" customHeight="1">
      <c r="A119" s="2170">
        <f>COUNTIF($K$1:K119,1)</f>
        <v>1</v>
      </c>
      <c r="B119" s="2281">
        <f t="shared" si="1"/>
        <v>0</v>
      </c>
      <c r="C119" s="1983"/>
      <c r="D119" s="1984"/>
      <c r="E119" s="1985"/>
      <c r="F119" s="1986"/>
      <c r="G119" s="2074"/>
      <c r="H119" s="2075"/>
      <c r="I119" s="2075"/>
      <c r="J119" s="1972">
        <f>IFERROR(VLOOKUP(B119,DG!A:F,6,0),3000)</f>
        <v>3000</v>
      </c>
      <c r="K119" s="1973">
        <f>IF(J119&lt;2000,COUNTIF($B$2:B119,B119),0)</f>
        <v>0</v>
      </c>
      <c r="L119" s="1991"/>
      <c r="M119" s="1992"/>
      <c r="N119" s="1993"/>
      <c r="O119" s="1992"/>
    </row>
    <row r="120" spans="1:15" s="1285" customFormat="1" ht="25.2" customHeight="1">
      <c r="A120" s="2170">
        <f>COUNTIF($K$1:K120,1)</f>
        <v>1</v>
      </c>
      <c r="B120" s="2281">
        <f t="shared" si="1"/>
        <v>0</v>
      </c>
      <c r="C120" s="1983"/>
      <c r="D120" s="1984"/>
      <c r="E120" s="1985"/>
      <c r="F120" s="1986"/>
      <c r="G120" s="1987"/>
      <c r="H120" s="1988"/>
      <c r="I120" s="1988"/>
      <c r="J120" s="1972">
        <f>IFERROR(VLOOKUP(B120,DG!A:F,6,0),3000)</f>
        <v>3000</v>
      </c>
      <c r="K120" s="1973">
        <f>IF(J120&lt;2000,COUNTIF($B$2:B120,B120),0)</f>
        <v>0</v>
      </c>
      <c r="L120" s="1430"/>
      <c r="M120" s="1510"/>
      <c r="O120" s="1510"/>
    </row>
    <row r="121" spans="1:15" s="1285" customFormat="1" ht="25.2" customHeight="1">
      <c r="A121" s="2170">
        <f>COUNTIF($K$1:K121,1)</f>
        <v>1</v>
      </c>
      <c r="B121" s="2281">
        <f t="shared" si="1"/>
        <v>0</v>
      </c>
      <c r="C121" s="1983"/>
      <c r="D121" s="1984"/>
      <c r="E121" s="1985"/>
      <c r="F121" s="1986"/>
      <c r="G121" s="2074"/>
      <c r="H121" s="2075"/>
      <c r="I121" s="2075"/>
      <c r="J121" s="1972">
        <f>IFERROR(VLOOKUP(B121,DG!A:F,6,0),3000)</f>
        <v>3000</v>
      </c>
      <c r="K121" s="1973">
        <f>IF(J121&lt;2000,COUNTIF($B$2:B121,B121),0)</f>
        <v>0</v>
      </c>
      <c r="L121" s="1430"/>
      <c r="M121" s="1510"/>
      <c r="O121" s="1510"/>
    </row>
    <row r="122" spans="1:15" s="1285" customFormat="1" ht="25.2" customHeight="1">
      <c r="A122" s="2170">
        <f>COUNTIF($K$1:K122,1)</f>
        <v>1</v>
      </c>
      <c r="B122" s="2281">
        <f t="shared" si="1"/>
        <v>0</v>
      </c>
      <c r="C122" s="1983"/>
      <c r="D122" s="1984"/>
      <c r="E122" s="1985"/>
      <c r="F122" s="1986"/>
      <c r="G122" s="2076"/>
      <c r="H122" s="2077"/>
      <c r="I122" s="1988"/>
      <c r="J122" s="1972">
        <f>IFERROR(VLOOKUP(B122,DG!A:F,6,0),3000)</f>
        <v>3000</v>
      </c>
      <c r="K122" s="1973">
        <f>IF(J122&lt;2000,COUNTIF($B$2:B122,B122),0)</f>
        <v>0</v>
      </c>
      <c r="L122" s="1430"/>
      <c r="M122" s="1510"/>
      <c r="O122" s="1510"/>
    </row>
    <row r="123" spans="1:15" s="1285" customFormat="1" ht="25.2" customHeight="1">
      <c r="A123" s="2170">
        <f>COUNTIF($K$1:K123,1)</f>
        <v>1</v>
      </c>
      <c r="B123" s="2281">
        <f t="shared" si="1"/>
        <v>0</v>
      </c>
      <c r="C123" s="1983"/>
      <c r="D123" s="1984"/>
      <c r="E123" s="1985"/>
      <c r="F123" s="1986"/>
      <c r="G123" s="2074"/>
      <c r="H123" s="2075"/>
      <c r="I123" s="2075"/>
      <c r="J123" s="1972">
        <f>IFERROR(VLOOKUP(B123,DG!A:F,6,0),3000)</f>
        <v>3000</v>
      </c>
      <c r="K123" s="1973">
        <f>IF(J123&lt;2000,COUNTIF($B$2:B123,B123),0)</f>
        <v>0</v>
      </c>
      <c r="L123" s="1430"/>
      <c r="M123" s="1510"/>
      <c r="O123" s="1510"/>
    </row>
    <row r="124" spans="1:15" s="1285" customFormat="1" ht="25.2" customHeight="1">
      <c r="A124" s="2170">
        <f>COUNTIF($K$1:K124,1)</f>
        <v>1</v>
      </c>
      <c r="B124" s="2281">
        <f t="shared" si="1"/>
        <v>0</v>
      </c>
      <c r="C124" s="1983"/>
      <c r="D124" s="1984"/>
      <c r="E124" s="1985"/>
      <c r="F124" s="1986"/>
      <c r="G124" s="2074"/>
      <c r="H124" s="2075"/>
      <c r="I124" s="2075"/>
      <c r="J124" s="1972">
        <f>IFERROR(VLOOKUP(B124,DG!A:F,6,0),3000)</f>
        <v>3000</v>
      </c>
      <c r="K124" s="1973">
        <f>IF(J124&lt;2000,COUNTIF($B$2:B124,B124),0)</f>
        <v>0</v>
      </c>
      <c r="L124" s="1430"/>
      <c r="M124" s="1510"/>
      <c r="O124" s="1510"/>
    </row>
    <row r="125" spans="1:15" s="1285" customFormat="1" ht="25.2" customHeight="1">
      <c r="A125" s="2170">
        <f>COUNTIF($K$1:K125,1)</f>
        <v>1</v>
      </c>
      <c r="B125" s="2281">
        <f t="shared" si="1"/>
        <v>0</v>
      </c>
      <c r="C125" s="1983"/>
      <c r="D125" s="1984"/>
      <c r="E125" s="1985"/>
      <c r="F125" s="1986"/>
      <c r="G125" s="2074"/>
      <c r="H125" s="2075"/>
      <c r="I125" s="2075"/>
      <c r="J125" s="1972">
        <f>IFERROR(VLOOKUP(B125,DG!A:F,6,0),3000)</f>
        <v>3000</v>
      </c>
      <c r="K125" s="1973">
        <f>IF(J125&lt;2000,COUNTIF($B$2:B125,B125),0)</f>
        <v>0</v>
      </c>
      <c r="L125" s="1430"/>
      <c r="M125" s="1510"/>
      <c r="O125" s="1510"/>
    </row>
    <row r="126" spans="1:15" s="1285" customFormat="1" ht="25.2" customHeight="1">
      <c r="A126" s="2170">
        <f>COUNTIF($K$1:K126,1)</f>
        <v>1</v>
      </c>
      <c r="B126" s="2281">
        <f t="shared" si="1"/>
        <v>0</v>
      </c>
      <c r="C126" s="1983"/>
      <c r="D126" s="1984"/>
      <c r="E126" s="1985"/>
      <c r="F126" s="1986"/>
      <c r="G126" s="2074"/>
      <c r="H126" s="2075"/>
      <c r="I126" s="2075"/>
      <c r="J126" s="1972">
        <f>IFERROR(VLOOKUP(B126,DG!A:F,6,0),3000)</f>
        <v>3000</v>
      </c>
      <c r="K126" s="1973">
        <f>IF(J126&lt;2000,COUNTIF($B$2:B126,B126),0)</f>
        <v>0</v>
      </c>
      <c r="L126" s="1430"/>
      <c r="M126" s="1510"/>
      <c r="O126" s="1510"/>
    </row>
    <row r="127" spans="1:15" s="1285" customFormat="1" ht="25.2" customHeight="1">
      <c r="A127" s="2170">
        <f>COUNTIF($K$1:K127,1)</f>
        <v>1</v>
      </c>
      <c r="B127" s="2281">
        <f t="shared" si="1"/>
        <v>0</v>
      </c>
      <c r="C127" s="1289"/>
      <c r="D127" s="1977"/>
      <c r="E127" s="2222"/>
      <c r="F127" s="2227"/>
      <c r="G127" s="2232"/>
      <c r="H127" s="2232"/>
      <c r="I127" s="2232"/>
      <c r="J127" s="1972">
        <f>IFERROR(VLOOKUP(B127,DG!A:F,6,0),3000)</f>
        <v>3000</v>
      </c>
      <c r="K127" s="1973">
        <f>IF(J127&lt;2000,COUNTIF($B$2:B127,B127),0)</f>
        <v>0</v>
      </c>
      <c r="L127" s="1426"/>
      <c r="M127" s="1510"/>
      <c r="O127" s="1510"/>
    </row>
    <row r="128" spans="1:15" s="1285" customFormat="1" ht="25.2" customHeight="1">
      <c r="A128" s="2170">
        <f>COUNTIF($K$1:K128,1)</f>
        <v>1</v>
      </c>
      <c r="B128" s="2281">
        <f t="shared" si="1"/>
        <v>0</v>
      </c>
      <c r="C128" s="1289"/>
      <c r="D128" s="1977"/>
      <c r="E128" s="2222"/>
      <c r="F128" s="2227"/>
      <c r="G128" s="2232"/>
      <c r="H128" s="2232"/>
      <c r="I128" s="2232"/>
      <c r="J128" s="1972">
        <f>IFERROR(VLOOKUP(B128,DG!A:F,6,0),3000)</f>
        <v>3000</v>
      </c>
      <c r="K128" s="1973">
        <f>IF(J128&lt;2000,COUNTIF($B$2:B128,B128),0)</f>
        <v>0</v>
      </c>
      <c r="L128" s="1426"/>
      <c r="M128" s="1510"/>
      <c r="O128" s="1510"/>
    </row>
    <row r="129" spans="1:15" s="1285" customFormat="1" ht="25.2" customHeight="1">
      <c r="A129" s="2170">
        <f>COUNTIF($K$1:K129,1)</f>
        <v>1</v>
      </c>
      <c r="B129" s="2281">
        <f t="shared" si="1"/>
        <v>0</v>
      </c>
      <c r="C129" s="1983"/>
      <c r="D129" s="1984"/>
      <c r="E129" s="1985"/>
      <c r="F129" s="1986"/>
      <c r="G129" s="2074"/>
      <c r="H129" s="2075"/>
      <c r="I129" s="2075"/>
      <c r="J129" s="1972">
        <f>IFERROR(VLOOKUP(B129,DG!A:F,6,0),3000)</f>
        <v>3000</v>
      </c>
      <c r="K129" s="1973">
        <f>IF(J129&lt;2000,COUNTIF($B$2:B129,B129),0)</f>
        <v>0</v>
      </c>
      <c r="L129" s="1430"/>
      <c r="M129" s="1510"/>
      <c r="O129" s="1510"/>
    </row>
    <row r="130" spans="1:15" s="1285" customFormat="1" ht="25.2" customHeight="1">
      <c r="A130" s="2170">
        <f>COUNTIF($K$1:K130,1)</f>
        <v>1</v>
      </c>
      <c r="B130" s="2281">
        <f t="shared" ref="B130:B193" si="2">D130</f>
        <v>0</v>
      </c>
      <c r="C130" s="1983"/>
      <c r="D130" s="1984"/>
      <c r="E130" s="1985"/>
      <c r="F130" s="1986"/>
      <c r="G130" s="2074"/>
      <c r="H130" s="2075"/>
      <c r="I130" s="2075"/>
      <c r="J130" s="1972">
        <f>IFERROR(VLOOKUP(B130,DG!A:F,6,0),3000)</f>
        <v>3000</v>
      </c>
      <c r="K130" s="1973">
        <f>IF(J130&lt;2000,COUNTIF($B$2:B130,B130),0)</f>
        <v>0</v>
      </c>
      <c r="L130" s="1430"/>
      <c r="M130" s="1510"/>
      <c r="O130" s="1510"/>
    </row>
    <row r="131" spans="1:15" s="1285" customFormat="1" ht="25.2" customHeight="1">
      <c r="A131" s="2170">
        <f>COUNTIF($K$1:K131,1)</f>
        <v>1</v>
      </c>
      <c r="B131" s="2281">
        <f t="shared" si="2"/>
        <v>0</v>
      </c>
      <c r="C131" s="2079"/>
      <c r="D131" s="2080"/>
      <c r="E131" s="1985"/>
      <c r="F131" s="1986"/>
      <c r="G131" s="2074"/>
      <c r="H131" s="2075"/>
      <c r="I131" s="2075"/>
      <c r="J131" s="1972">
        <f>IFERROR(VLOOKUP(B131,DG!A:F,6,0),3000)</f>
        <v>3000</v>
      </c>
      <c r="K131" s="1973">
        <f>IF(J131&lt;2000,COUNTIF($B$2:B131,B131),0)</f>
        <v>0</v>
      </c>
      <c r="L131" s="1430"/>
      <c r="M131" s="1510"/>
      <c r="O131" s="1510"/>
    </row>
    <row r="132" spans="1:15" s="1285" customFormat="1" ht="25.2" customHeight="1">
      <c r="A132" s="2170">
        <f>COUNTIF($K$1:K132,1)</f>
        <v>1</v>
      </c>
      <c r="B132" s="2281">
        <f t="shared" si="2"/>
        <v>0</v>
      </c>
      <c r="C132" s="1983"/>
      <c r="D132" s="1984"/>
      <c r="E132" s="1985"/>
      <c r="F132" s="1986"/>
      <c r="G132" s="2074"/>
      <c r="H132" s="2075"/>
      <c r="I132" s="2075"/>
      <c r="J132" s="1972">
        <f>IFERROR(VLOOKUP(B132,DG!A:F,6,0),3000)</f>
        <v>3000</v>
      </c>
      <c r="K132" s="1973">
        <f>IF(J132&lt;2000,COUNTIF($B$2:B132,B132),0)</f>
        <v>0</v>
      </c>
      <c r="L132" s="1430"/>
      <c r="M132" s="1510"/>
      <c r="O132" s="1510"/>
    </row>
    <row r="133" spans="1:15" s="1285" customFormat="1" ht="25.2" customHeight="1">
      <c r="A133" s="2170">
        <f>COUNTIF($K$1:K133,1)</f>
        <v>1</v>
      </c>
      <c r="B133" s="2281">
        <f t="shared" si="2"/>
        <v>0</v>
      </c>
      <c r="C133" s="1983"/>
      <c r="D133" s="1984"/>
      <c r="E133" s="1985"/>
      <c r="F133" s="1986"/>
      <c r="G133" s="2074"/>
      <c r="H133" s="2075"/>
      <c r="I133" s="2075"/>
      <c r="J133" s="1972">
        <f>IFERROR(VLOOKUP(B133,DG!A:F,6,0),3000)</f>
        <v>3000</v>
      </c>
      <c r="K133" s="1973">
        <f>IF(J133&lt;2000,COUNTIF($B$2:B133,B133),0)</f>
        <v>0</v>
      </c>
      <c r="L133" s="1430"/>
      <c r="M133" s="1510"/>
      <c r="O133" s="1510"/>
    </row>
    <row r="134" spans="1:15" s="1285" customFormat="1" ht="25.2" customHeight="1">
      <c r="A134" s="2170">
        <f>COUNTIF($K$1:K134,1)</f>
        <v>1</v>
      </c>
      <c r="B134" s="2281">
        <f t="shared" si="2"/>
        <v>0</v>
      </c>
      <c r="C134" s="1983"/>
      <c r="D134" s="1984"/>
      <c r="E134" s="1985"/>
      <c r="F134" s="1986"/>
      <c r="G134" s="2074"/>
      <c r="H134" s="2075"/>
      <c r="I134" s="2075"/>
      <c r="J134" s="1972">
        <f>IFERROR(VLOOKUP(B134,DG!A:F,6,0),3000)</f>
        <v>3000</v>
      </c>
      <c r="K134" s="1973">
        <f>IF(J134&lt;2000,COUNTIF($B$2:B134,B134),0)</f>
        <v>0</v>
      </c>
      <c r="L134" s="1430"/>
      <c r="M134" s="1510"/>
      <c r="O134" s="1510"/>
    </row>
    <row r="135" spans="1:15" s="1285" customFormat="1" ht="25.2" customHeight="1">
      <c r="A135" s="2170">
        <f>COUNTIF($K$1:K135,1)</f>
        <v>1</v>
      </c>
      <c r="B135" s="2281">
        <f t="shared" si="2"/>
        <v>0</v>
      </c>
      <c r="C135" s="1289"/>
      <c r="D135" s="1977"/>
      <c r="E135" s="1506"/>
      <c r="F135" s="1978"/>
      <c r="G135" s="1987"/>
      <c r="H135" s="1988"/>
      <c r="I135" s="1988"/>
      <c r="J135" s="1972">
        <f>IFERROR(VLOOKUP(B135,DG!A:F,6,0),3000)</f>
        <v>3000</v>
      </c>
      <c r="K135" s="1973">
        <f>IF(J135&lt;2000,COUNTIF($B$2:B135,B135),0)</f>
        <v>0</v>
      </c>
      <c r="L135" s="1430"/>
      <c r="M135" s="1510"/>
      <c r="O135" s="1510"/>
    </row>
    <row r="136" spans="1:15" s="1285" customFormat="1" ht="25.2" customHeight="1">
      <c r="A136" s="2170">
        <f>COUNTIF($K$1:K136,1)</f>
        <v>1</v>
      </c>
      <c r="B136" s="2281">
        <f t="shared" si="2"/>
        <v>0</v>
      </c>
      <c r="C136" s="1983"/>
      <c r="D136" s="1984"/>
      <c r="E136" s="1985"/>
      <c r="F136" s="1986"/>
      <c r="G136" s="2074"/>
      <c r="H136" s="2075"/>
      <c r="I136" s="2075"/>
      <c r="J136" s="1972">
        <f>IFERROR(VLOOKUP(B136,DG!A:F,6,0),3000)</f>
        <v>3000</v>
      </c>
      <c r="K136" s="1973">
        <f>IF(J136&lt;2000,COUNTIF($B$2:B136,B136),0)</f>
        <v>0</v>
      </c>
      <c r="L136" s="1430"/>
      <c r="M136" s="1510"/>
      <c r="O136" s="1510"/>
    </row>
    <row r="137" spans="1:15" s="1285" customFormat="1" ht="25.2" customHeight="1">
      <c r="A137" s="2170">
        <f>COUNTIF($K$1:K137,1)</f>
        <v>1</v>
      </c>
      <c r="B137" s="2281">
        <f t="shared" si="2"/>
        <v>0</v>
      </c>
      <c r="C137" s="1989"/>
      <c r="D137" s="1990"/>
      <c r="E137" s="2222"/>
      <c r="F137" s="2227"/>
      <c r="G137" s="2232"/>
      <c r="H137" s="2232"/>
      <c r="I137" s="2232"/>
      <c r="J137" s="1972">
        <f>IFERROR(VLOOKUP(B137,DG!A:F,6,0),3000)</f>
        <v>3000</v>
      </c>
      <c r="K137" s="1973">
        <f>IF(J137&lt;2000,COUNTIF($B$2:B137,B137),0)</f>
        <v>0</v>
      </c>
      <c r="L137" s="2242"/>
      <c r="M137" s="1992"/>
      <c r="N137" s="1993"/>
      <c r="O137" s="1992"/>
    </row>
    <row r="138" spans="1:15" s="1285" customFormat="1" ht="25.2" customHeight="1">
      <c r="A138" s="2170">
        <f>COUNTIF($K$1:K138,1)</f>
        <v>1</v>
      </c>
      <c r="B138" s="2281">
        <f t="shared" si="2"/>
        <v>0</v>
      </c>
      <c r="C138" s="1983"/>
      <c r="D138" s="1984"/>
      <c r="E138" s="1985"/>
      <c r="F138" s="1986"/>
      <c r="G138" s="2074"/>
      <c r="H138" s="2075"/>
      <c r="I138" s="2075"/>
      <c r="J138" s="1972">
        <f>IFERROR(VLOOKUP(B138,DG!A:F,6,0),3000)</f>
        <v>3000</v>
      </c>
      <c r="K138" s="1973">
        <f>IF(J138&lt;2000,COUNTIF($B$2:B138,B138),0)</f>
        <v>0</v>
      </c>
      <c r="L138" s="1430"/>
      <c r="M138" s="1510"/>
      <c r="O138" s="1510"/>
    </row>
    <row r="139" spans="1:15" s="1285" customFormat="1" ht="25.2" customHeight="1">
      <c r="A139" s="2170">
        <f>COUNTIF($K$1:K139,1)</f>
        <v>1</v>
      </c>
      <c r="B139" s="2281">
        <f t="shared" si="2"/>
        <v>0</v>
      </c>
      <c r="C139" s="1983"/>
      <c r="D139" s="1984"/>
      <c r="E139" s="1985"/>
      <c r="F139" s="1986"/>
      <c r="G139" s="2074"/>
      <c r="H139" s="2075"/>
      <c r="I139" s="2075"/>
      <c r="J139" s="1972">
        <f>IFERROR(VLOOKUP(B139,DG!A:F,6,0),3000)</f>
        <v>3000</v>
      </c>
      <c r="K139" s="1973">
        <f>IF(J139&lt;2000,COUNTIF($B$2:B139,B139),0)</f>
        <v>0</v>
      </c>
      <c r="L139" s="1430"/>
      <c r="M139" s="1510"/>
      <c r="O139" s="1510"/>
    </row>
    <row r="140" spans="1:15" s="1285" customFormat="1" ht="25.2" customHeight="1">
      <c r="A140" s="2170">
        <f>COUNTIF($K$1:K140,1)</f>
        <v>1</v>
      </c>
      <c r="B140" s="2281">
        <f t="shared" si="2"/>
        <v>0</v>
      </c>
      <c r="C140" s="1983"/>
      <c r="D140" s="1984"/>
      <c r="E140" s="1985"/>
      <c r="F140" s="1986"/>
      <c r="G140" s="2074"/>
      <c r="H140" s="2075"/>
      <c r="I140" s="2075"/>
      <c r="J140" s="1972">
        <f>IFERROR(VLOOKUP(B140,DG!A:F,6,0),3000)</f>
        <v>3000</v>
      </c>
      <c r="K140" s="1973">
        <f>IF(J140&lt;2000,COUNTIF($B$2:B140,B140),0)</f>
        <v>0</v>
      </c>
      <c r="L140" s="1430"/>
      <c r="M140" s="1510"/>
      <c r="O140" s="1510"/>
    </row>
    <row r="141" spans="1:15" s="1285" customFormat="1" ht="25.2" customHeight="1">
      <c r="A141" s="2170">
        <f>COUNTIF($K$1:K141,1)</f>
        <v>1</v>
      </c>
      <c r="B141" s="2281">
        <f t="shared" si="2"/>
        <v>0</v>
      </c>
      <c r="C141" s="1983"/>
      <c r="D141" s="1984"/>
      <c r="E141" s="1985"/>
      <c r="F141" s="1986"/>
      <c r="G141" s="2074"/>
      <c r="H141" s="2075"/>
      <c r="I141" s="2075"/>
      <c r="J141" s="1972">
        <f>IFERROR(VLOOKUP(B141,DG!A:F,6,0),3000)</f>
        <v>3000</v>
      </c>
      <c r="K141" s="1973">
        <f>IF(J141&lt;2000,COUNTIF($B$2:B141,B141),0)</f>
        <v>0</v>
      </c>
      <c r="L141" s="1430"/>
      <c r="M141" s="1510"/>
      <c r="O141" s="1510"/>
    </row>
    <row r="142" spans="1:15" s="1285" customFormat="1" ht="25.2" customHeight="1">
      <c r="A142" s="2170">
        <f>COUNTIF($K$1:K142,1)</f>
        <v>1</v>
      </c>
      <c r="B142" s="2281">
        <f t="shared" si="2"/>
        <v>0</v>
      </c>
      <c r="C142" s="1983"/>
      <c r="D142" s="1984"/>
      <c r="E142" s="1985"/>
      <c r="F142" s="1986"/>
      <c r="G142" s="2074"/>
      <c r="H142" s="2075"/>
      <c r="I142" s="2075"/>
      <c r="J142" s="1972">
        <f>IFERROR(VLOOKUP(B142,DG!A:F,6,0),3000)</f>
        <v>3000</v>
      </c>
      <c r="K142" s="1973">
        <f>IF(J142&lt;2000,COUNTIF($B$2:B142,B142),0)</f>
        <v>0</v>
      </c>
      <c r="L142" s="1430"/>
      <c r="M142" s="1510"/>
      <c r="O142" s="1510"/>
    </row>
    <row r="143" spans="1:15" s="1285" customFormat="1" ht="25.2" customHeight="1">
      <c r="A143" s="2170">
        <f>COUNTIF($K$1:K143,1)</f>
        <v>1</v>
      </c>
      <c r="B143" s="2281">
        <f t="shared" si="2"/>
        <v>0</v>
      </c>
      <c r="C143" s="1289"/>
      <c r="D143" s="1977"/>
      <c r="E143" s="1506"/>
      <c r="F143" s="1978"/>
      <c r="G143" s="1987"/>
      <c r="H143" s="1988"/>
      <c r="I143" s="1988"/>
      <c r="J143" s="1972">
        <f>IFERROR(VLOOKUP(B143,DG!A:F,6,0),3000)</f>
        <v>3000</v>
      </c>
      <c r="K143" s="1973">
        <f>IF(J143&lt;2000,COUNTIF($B$2:B143,B143),0)</f>
        <v>0</v>
      </c>
      <c r="L143" s="1430"/>
      <c r="M143" s="1510"/>
      <c r="O143" s="1510"/>
    </row>
    <row r="144" spans="1:15" s="1285" customFormat="1" ht="25.2" customHeight="1">
      <c r="A144" s="2170">
        <f>COUNTIF($K$1:K144,1)</f>
        <v>1</v>
      </c>
      <c r="B144" s="2281">
        <f t="shared" si="2"/>
        <v>0</v>
      </c>
      <c r="C144" s="1289"/>
      <c r="D144" s="1977"/>
      <c r="E144" s="1506"/>
      <c r="F144" s="1978"/>
      <c r="G144" s="1987"/>
      <c r="H144" s="1988"/>
      <c r="I144" s="1988"/>
      <c r="J144" s="1972">
        <f>IFERROR(VLOOKUP(B144,DG!A:F,6,0),3000)</f>
        <v>3000</v>
      </c>
      <c r="K144" s="1973">
        <f>IF(J144&lt;2000,COUNTIF($B$2:B144,B144),0)</f>
        <v>0</v>
      </c>
      <c r="L144" s="1430"/>
      <c r="M144" s="1510"/>
      <c r="O144" s="1510"/>
    </row>
    <row r="145" spans="1:15" s="1285" customFormat="1" ht="25.2" customHeight="1">
      <c r="A145" s="2170">
        <f>COUNTIF($K$1:K145,1)</f>
        <v>1</v>
      </c>
      <c r="B145" s="2281">
        <f t="shared" si="2"/>
        <v>0</v>
      </c>
      <c r="C145" s="1983"/>
      <c r="D145" s="1984"/>
      <c r="E145" s="1985"/>
      <c r="F145" s="1986"/>
      <c r="G145" s="2074"/>
      <c r="H145" s="2075"/>
      <c r="I145" s="2075"/>
      <c r="J145" s="1972">
        <f>IFERROR(VLOOKUP(B145,DG!A:F,6,0),3000)</f>
        <v>3000</v>
      </c>
      <c r="K145" s="1973">
        <f>IF(J145&lt;2000,COUNTIF($B$2:B145,B145),0)</f>
        <v>0</v>
      </c>
      <c r="L145" s="1426"/>
      <c r="M145" s="1510"/>
      <c r="O145" s="1510"/>
    </row>
    <row r="146" spans="1:15" s="1285" customFormat="1" ht="25.2" customHeight="1">
      <c r="A146" s="2170">
        <f>COUNTIF($K$1:K146,1)</f>
        <v>1</v>
      </c>
      <c r="B146" s="2281">
        <f t="shared" si="2"/>
        <v>0</v>
      </c>
      <c r="C146" s="1983"/>
      <c r="D146" s="1984"/>
      <c r="E146" s="1985"/>
      <c r="F146" s="1986"/>
      <c r="G146" s="2074"/>
      <c r="H146" s="2075"/>
      <c r="I146" s="2075"/>
      <c r="J146" s="1972">
        <f>IFERROR(VLOOKUP(B146,DG!A:F,6,0),3000)</f>
        <v>3000</v>
      </c>
      <c r="K146" s="1973">
        <f>IF(J146&lt;2000,COUNTIF($B$2:B146,B146),0)</f>
        <v>0</v>
      </c>
      <c r="L146" s="1430"/>
      <c r="M146" s="1510"/>
      <c r="O146" s="1510"/>
    </row>
    <row r="147" spans="1:15" s="1285" customFormat="1" ht="25.2" customHeight="1">
      <c r="A147" s="2170">
        <f>COUNTIF($K$1:K147,1)</f>
        <v>1</v>
      </c>
      <c r="B147" s="2281">
        <f t="shared" si="2"/>
        <v>0</v>
      </c>
      <c r="C147" s="1983"/>
      <c r="D147" s="1984"/>
      <c r="E147" s="1985"/>
      <c r="F147" s="1986"/>
      <c r="G147" s="2074"/>
      <c r="H147" s="2075"/>
      <c r="I147" s="2075"/>
      <c r="J147" s="1972">
        <f>IFERROR(VLOOKUP(B147,DG!A:F,6,0),3000)</f>
        <v>3000</v>
      </c>
      <c r="K147" s="1973">
        <f>IF(J147&lt;2000,COUNTIF($B$2:B147,B147),0)</f>
        <v>0</v>
      </c>
      <c r="L147" s="1430"/>
      <c r="M147" s="1510"/>
      <c r="O147" s="1510"/>
    </row>
    <row r="148" spans="1:15" s="1285" customFormat="1" ht="25.2" customHeight="1">
      <c r="A148" s="2170">
        <f>COUNTIF($K$1:K148,1)</f>
        <v>1</v>
      </c>
      <c r="B148" s="2281">
        <f t="shared" si="2"/>
        <v>0</v>
      </c>
      <c r="C148" s="1983"/>
      <c r="D148" s="1984"/>
      <c r="E148" s="1985"/>
      <c r="F148" s="1986"/>
      <c r="G148" s="2074"/>
      <c r="H148" s="2075"/>
      <c r="I148" s="2075"/>
      <c r="J148" s="1972">
        <f>IFERROR(VLOOKUP(B148,DG!A:F,6,0),3000)</f>
        <v>3000</v>
      </c>
      <c r="K148" s="1973">
        <f>IF(J148&lt;2000,COUNTIF($B$2:B148,B148),0)</f>
        <v>0</v>
      </c>
      <c r="L148" s="1430"/>
      <c r="M148" s="1510"/>
      <c r="O148" s="1510"/>
    </row>
    <row r="149" spans="1:15" s="1285" customFormat="1" ht="25.2" customHeight="1">
      <c r="A149" s="2170">
        <f>COUNTIF($K$1:K149,1)</f>
        <v>1</v>
      </c>
      <c r="B149" s="2281">
        <f t="shared" si="2"/>
        <v>0</v>
      </c>
      <c r="C149" s="1975"/>
      <c r="D149" s="1979"/>
      <c r="E149" s="1980"/>
      <c r="F149" s="1981"/>
      <c r="G149" s="2074"/>
      <c r="H149" s="2075"/>
      <c r="I149" s="2075"/>
      <c r="J149" s="1972">
        <f>IFERROR(VLOOKUP(B149,DG!A:F,6,0),3000)</f>
        <v>3000</v>
      </c>
      <c r="K149" s="1973">
        <f>IF(J149&lt;2000,COUNTIF($B$2:B149,B149),0)</f>
        <v>0</v>
      </c>
      <c r="L149" s="1430"/>
      <c r="M149" s="1510"/>
      <c r="O149" s="1510"/>
    </row>
    <row r="150" spans="1:15" s="1285" customFormat="1" ht="25.2" customHeight="1">
      <c r="A150" s="2170">
        <f>COUNTIF($K$1:K150,1)</f>
        <v>1</v>
      </c>
      <c r="B150" s="2281">
        <f t="shared" si="2"/>
        <v>0</v>
      </c>
      <c r="C150" s="1289"/>
      <c r="D150" s="1977"/>
      <c r="E150" s="1506"/>
      <c r="F150" s="1978"/>
      <c r="G150" s="1987"/>
      <c r="H150" s="1988"/>
      <c r="I150" s="1988"/>
      <c r="J150" s="1972">
        <f>IFERROR(VLOOKUP(B150,DG!A:F,6,0),3000)</f>
        <v>3000</v>
      </c>
      <c r="K150" s="1973">
        <f>IF(J150&lt;2000,COUNTIF($B$2:B150,B150),0)</f>
        <v>0</v>
      </c>
      <c r="L150" s="1430"/>
      <c r="M150" s="1510"/>
      <c r="O150" s="1510"/>
    </row>
    <row r="151" spans="1:15" s="1285" customFormat="1" ht="25.2" customHeight="1">
      <c r="A151" s="2170">
        <f>COUNTIF($K$1:K151,1)</f>
        <v>1</v>
      </c>
      <c r="B151" s="2281">
        <f t="shared" si="2"/>
        <v>0</v>
      </c>
      <c r="C151" s="1289"/>
      <c r="D151" s="1977"/>
      <c r="E151" s="1506"/>
      <c r="F151" s="1978"/>
      <c r="G151" s="1987"/>
      <c r="H151" s="1988"/>
      <c r="I151" s="1988"/>
      <c r="J151" s="1972">
        <f>IFERROR(VLOOKUP(B151,DG!A:F,6,0),3000)</f>
        <v>3000</v>
      </c>
      <c r="K151" s="1973">
        <f>IF(J151&lt;2000,COUNTIF($B$2:B151,B151),0)</f>
        <v>0</v>
      </c>
      <c r="L151" s="1430"/>
      <c r="M151" s="1510"/>
      <c r="O151" s="1510"/>
    </row>
    <row r="152" spans="1:15" s="1285" customFormat="1" ht="25.2" customHeight="1">
      <c r="A152" s="2170">
        <f>COUNTIF($K$1:K152,1)</f>
        <v>1</v>
      </c>
      <c r="B152" s="2281">
        <f t="shared" si="2"/>
        <v>0</v>
      </c>
      <c r="C152" s="1289"/>
      <c r="D152" s="1977"/>
      <c r="E152" s="1506"/>
      <c r="F152" s="1978"/>
      <c r="G152" s="1987"/>
      <c r="H152" s="1988"/>
      <c r="I152" s="1988"/>
      <c r="J152" s="1972">
        <f>IFERROR(VLOOKUP(B152,DG!A:F,6,0),3000)</f>
        <v>3000</v>
      </c>
      <c r="K152" s="1973">
        <f>IF(J152&lt;2000,COUNTIF($B$2:B152,B152),0)</f>
        <v>0</v>
      </c>
      <c r="L152" s="1430"/>
      <c r="M152" s="1510"/>
      <c r="O152" s="1510"/>
    </row>
    <row r="153" spans="1:15" s="1285" customFormat="1" ht="25.2" customHeight="1">
      <c r="A153" s="2170">
        <f>COUNTIF($K$1:K153,1)</f>
        <v>1</v>
      </c>
      <c r="B153" s="2281">
        <f t="shared" si="2"/>
        <v>0</v>
      </c>
      <c r="C153" s="1975"/>
      <c r="D153" s="1979"/>
      <c r="E153" s="1980"/>
      <c r="F153" s="1981"/>
      <c r="G153" s="2076"/>
      <c r="H153" s="2075"/>
      <c r="I153" s="2075"/>
      <c r="J153" s="1972">
        <f>IFERROR(VLOOKUP(B153,DG!A:F,6,0),3000)</f>
        <v>3000</v>
      </c>
      <c r="K153" s="1973">
        <f>IF(J153&lt;2000,COUNTIF($B$2:B153,B153),0)</f>
        <v>0</v>
      </c>
      <c r="L153" s="1430"/>
      <c r="M153" s="1510"/>
      <c r="O153" s="1510"/>
    </row>
    <row r="154" spans="1:15" s="1285" customFormat="1" ht="25.2" customHeight="1">
      <c r="A154" s="2170">
        <f>COUNTIF($K$1:K154,1)</f>
        <v>1</v>
      </c>
      <c r="B154" s="2281">
        <f t="shared" si="2"/>
        <v>0</v>
      </c>
      <c r="C154" s="1983"/>
      <c r="D154" s="1984"/>
      <c r="E154" s="1985"/>
      <c r="F154" s="1986"/>
      <c r="G154" s="2074"/>
      <c r="H154" s="2075"/>
      <c r="I154" s="2075"/>
      <c r="J154" s="1972">
        <f>IFERROR(VLOOKUP(B154,DG!A:F,6,0),3000)</f>
        <v>3000</v>
      </c>
      <c r="K154" s="1973">
        <f>IF(J154&lt;2000,COUNTIF($B$2:B154,B154),0)</f>
        <v>0</v>
      </c>
      <c r="L154" s="1430"/>
      <c r="M154" s="1510"/>
      <c r="O154" s="1510"/>
    </row>
    <row r="155" spans="1:15" s="1285" customFormat="1" ht="25.2" customHeight="1">
      <c r="A155" s="2170">
        <f>COUNTIF($K$1:K155,1)</f>
        <v>1</v>
      </c>
      <c r="B155" s="2281">
        <f t="shared" si="2"/>
        <v>0</v>
      </c>
      <c r="C155" s="1983"/>
      <c r="D155" s="1984"/>
      <c r="E155" s="1985"/>
      <c r="F155" s="1986"/>
      <c r="G155" s="2074"/>
      <c r="H155" s="2075"/>
      <c r="I155" s="2075"/>
      <c r="J155" s="1972">
        <f>IFERROR(VLOOKUP(B155,DG!A:F,6,0),3000)</f>
        <v>3000</v>
      </c>
      <c r="K155" s="1973">
        <f>IF(J155&lt;2000,COUNTIF($B$2:B155,B155),0)</f>
        <v>0</v>
      </c>
      <c r="L155" s="1430"/>
      <c r="M155" s="1510"/>
      <c r="O155" s="1510"/>
    </row>
    <row r="156" spans="1:15" s="1285" customFormat="1" ht="25.2" customHeight="1">
      <c r="A156" s="2170">
        <f>COUNTIF($K$1:K156,1)</f>
        <v>1</v>
      </c>
      <c r="B156" s="2281">
        <f t="shared" si="2"/>
        <v>0</v>
      </c>
      <c r="C156" s="1975"/>
      <c r="D156" s="1979"/>
      <c r="E156" s="1980"/>
      <c r="F156" s="1981"/>
      <c r="G156" s="2074"/>
      <c r="H156" s="2075"/>
      <c r="I156" s="2075"/>
      <c r="J156" s="1972">
        <f>IFERROR(VLOOKUP(B156,DG!A:F,6,0),3000)</f>
        <v>3000</v>
      </c>
      <c r="K156" s="1973">
        <f>IF(J156&lt;2000,COUNTIF($B$2:B156,B156),0)</f>
        <v>0</v>
      </c>
      <c r="L156" s="1430"/>
      <c r="M156" s="1510"/>
      <c r="O156" s="1510"/>
    </row>
    <row r="157" spans="1:15" s="1285" customFormat="1" ht="25.2" customHeight="1">
      <c r="A157" s="2170">
        <f>COUNTIF($K$1:K157,1)</f>
        <v>1</v>
      </c>
      <c r="B157" s="2281">
        <f t="shared" si="2"/>
        <v>0</v>
      </c>
      <c r="C157" s="1289"/>
      <c r="D157" s="1977"/>
      <c r="E157" s="1506"/>
      <c r="F157" s="1978"/>
      <c r="G157" s="1987"/>
      <c r="H157" s="1988"/>
      <c r="I157" s="1988"/>
      <c r="J157" s="1972">
        <f>IFERROR(VLOOKUP(B157,DG!A:F,6,0),3000)</f>
        <v>3000</v>
      </c>
      <c r="K157" s="1973">
        <f>IF(J157&lt;2000,COUNTIF($B$2:B157,B157),0)</f>
        <v>0</v>
      </c>
      <c r="L157" s="1430"/>
      <c r="M157" s="1510"/>
      <c r="O157" s="1510"/>
    </row>
    <row r="158" spans="1:15" s="1285" customFormat="1" ht="25.2" customHeight="1">
      <c r="A158" s="2170">
        <f>COUNTIF($K$1:K158,1)</f>
        <v>1</v>
      </c>
      <c r="B158" s="2281">
        <f t="shared" si="2"/>
        <v>0</v>
      </c>
      <c r="C158" s="1983"/>
      <c r="D158" s="1984"/>
      <c r="E158" s="1985"/>
      <c r="F158" s="1986"/>
      <c r="G158" s="2074"/>
      <c r="H158" s="2075"/>
      <c r="I158" s="2075"/>
      <c r="J158" s="1972">
        <f>IFERROR(VLOOKUP(B158,DG!A:F,6,0),3000)</f>
        <v>3000</v>
      </c>
      <c r="K158" s="1973">
        <f>IF(J158&lt;2000,COUNTIF($B$2:B158,B158),0)</f>
        <v>0</v>
      </c>
      <c r="L158" s="1430"/>
      <c r="M158" s="1510"/>
      <c r="O158" s="1510"/>
    </row>
    <row r="159" spans="1:15" s="1285" customFormat="1" ht="25.2" customHeight="1">
      <c r="A159" s="2170">
        <f>COUNTIF($K$1:K159,1)</f>
        <v>1</v>
      </c>
      <c r="B159" s="2281">
        <f t="shared" si="2"/>
        <v>0</v>
      </c>
      <c r="C159" s="1983"/>
      <c r="D159" s="1984"/>
      <c r="E159" s="1985"/>
      <c r="F159" s="1986"/>
      <c r="G159" s="2074"/>
      <c r="H159" s="2075"/>
      <c r="I159" s="2075"/>
      <c r="J159" s="1972">
        <f>IFERROR(VLOOKUP(B159,DG!A:F,6,0),3000)</f>
        <v>3000</v>
      </c>
      <c r="K159" s="1973">
        <f>IF(J159&lt;2000,COUNTIF($B$2:B159,B159),0)</f>
        <v>0</v>
      </c>
      <c r="L159" s="1430"/>
      <c r="M159" s="1510"/>
      <c r="O159" s="1510"/>
    </row>
    <row r="160" spans="1:15" s="1285" customFormat="1" ht="25.2" customHeight="1">
      <c r="A160" s="2170">
        <f>COUNTIF($K$1:K160,1)</f>
        <v>1</v>
      </c>
      <c r="B160" s="2281">
        <f t="shared" si="2"/>
        <v>0</v>
      </c>
      <c r="C160" s="1983"/>
      <c r="D160" s="1984"/>
      <c r="E160" s="1985"/>
      <c r="F160" s="1986"/>
      <c r="G160" s="2076"/>
      <c r="H160" s="2077"/>
      <c r="I160" s="2078"/>
      <c r="J160" s="1972">
        <f>IFERROR(VLOOKUP(B160,DG!A:F,6,0),3000)</f>
        <v>3000</v>
      </c>
      <c r="K160" s="1973">
        <f>IF(J160&lt;2000,COUNTIF($B$2:B160,B160),0)</f>
        <v>0</v>
      </c>
      <c r="L160" s="1430"/>
      <c r="M160" s="1510"/>
      <c r="O160" s="1510"/>
    </row>
    <row r="161" spans="1:15" s="1285" customFormat="1" ht="25.2" customHeight="1">
      <c r="A161" s="2170">
        <f>COUNTIF($K$1:K161,1)</f>
        <v>1</v>
      </c>
      <c r="B161" s="2281">
        <f t="shared" si="2"/>
        <v>0</v>
      </c>
      <c r="C161" s="1289"/>
      <c r="D161" s="1977"/>
      <c r="E161" s="1506"/>
      <c r="F161" s="1978"/>
      <c r="G161" s="1987"/>
      <c r="H161" s="1988"/>
      <c r="I161" s="1988"/>
      <c r="J161" s="1972">
        <f>IFERROR(VLOOKUP(B161,DG!A:F,6,0),3000)</f>
        <v>3000</v>
      </c>
      <c r="K161" s="1973">
        <f>IF(J161&lt;2000,COUNTIF($B$2:B161,B161),0)</f>
        <v>0</v>
      </c>
      <c r="L161" s="1430"/>
      <c r="M161" s="1510"/>
      <c r="O161" s="1510"/>
    </row>
    <row r="162" spans="1:15" s="1285" customFormat="1" ht="25.2" customHeight="1">
      <c r="A162" s="2170">
        <f>COUNTIF($K$1:K162,1)</f>
        <v>1</v>
      </c>
      <c r="B162" s="2281">
        <f t="shared" si="2"/>
        <v>0</v>
      </c>
      <c r="C162" s="1983"/>
      <c r="D162" s="1984"/>
      <c r="E162" s="1985"/>
      <c r="F162" s="1986"/>
      <c r="G162" s="2074"/>
      <c r="H162" s="2075"/>
      <c r="I162" s="2075"/>
      <c r="J162" s="1972">
        <f>IFERROR(VLOOKUP(B162,DG!A:F,6,0),3000)</f>
        <v>3000</v>
      </c>
      <c r="K162" s="1973">
        <f>IF(J162&lt;2000,COUNTIF($B$2:B162,B162),0)</f>
        <v>0</v>
      </c>
      <c r="L162" s="1430"/>
      <c r="M162" s="1510"/>
      <c r="O162" s="1510"/>
    </row>
    <row r="163" spans="1:15" s="1285" customFormat="1" ht="25.2" customHeight="1">
      <c r="A163" s="2170">
        <f>COUNTIF($K$1:K163,1)</f>
        <v>1</v>
      </c>
      <c r="B163" s="2281">
        <f t="shared" si="2"/>
        <v>0</v>
      </c>
      <c r="C163" s="1983"/>
      <c r="D163" s="1984"/>
      <c r="E163" s="1985"/>
      <c r="F163" s="1986"/>
      <c r="G163" s="2074"/>
      <c r="H163" s="2075"/>
      <c r="I163" s="2075"/>
      <c r="J163" s="1972">
        <f>IFERROR(VLOOKUP(B163,DG!A:F,6,0),3000)</f>
        <v>3000</v>
      </c>
      <c r="K163" s="1973">
        <f>IF(J163&lt;2000,COUNTIF($B$2:B163,B163),0)</f>
        <v>0</v>
      </c>
      <c r="L163" s="1991"/>
      <c r="M163" s="1510"/>
      <c r="O163" s="1510"/>
    </row>
    <row r="164" spans="1:15" s="1285" customFormat="1" ht="25.2" customHeight="1">
      <c r="A164" s="2170">
        <f>COUNTIF($K$1:K164,1)</f>
        <v>1</v>
      </c>
      <c r="B164" s="2281">
        <f t="shared" si="2"/>
        <v>0</v>
      </c>
      <c r="C164" s="1289"/>
      <c r="D164" s="1977"/>
      <c r="E164" s="1506"/>
      <c r="F164" s="1978"/>
      <c r="G164" s="1987"/>
      <c r="H164" s="1988"/>
      <c r="I164" s="1988"/>
      <c r="J164" s="1972">
        <f>IFERROR(VLOOKUP(B164,DG!A:F,6,0),3000)</f>
        <v>3000</v>
      </c>
      <c r="K164" s="1973">
        <f>IF(J164&lt;2000,COUNTIF($B$2:B164,B164),0)</f>
        <v>0</v>
      </c>
      <c r="L164" s="1430"/>
      <c r="M164" s="1510"/>
      <c r="O164" s="1510"/>
    </row>
    <row r="165" spans="1:15" s="1285" customFormat="1" ht="25.2" customHeight="1">
      <c r="A165" s="2170">
        <f>COUNTIF($K$1:K165,1)</f>
        <v>1</v>
      </c>
      <c r="B165" s="2281">
        <f t="shared" si="2"/>
        <v>0</v>
      </c>
      <c r="C165" s="1983"/>
      <c r="D165" s="1984"/>
      <c r="E165" s="1985"/>
      <c r="F165" s="1986"/>
      <c r="G165" s="2074"/>
      <c r="H165" s="2075"/>
      <c r="I165" s="2075"/>
      <c r="J165" s="1972">
        <f>IFERROR(VLOOKUP(B165,DG!A:F,6,0),3000)</f>
        <v>3000</v>
      </c>
      <c r="K165" s="1973">
        <f>IF(J165&lt;2000,COUNTIF($B$2:B165,B165),0)</f>
        <v>0</v>
      </c>
      <c r="L165" s="1430"/>
      <c r="M165" s="1510"/>
      <c r="O165" s="1510"/>
    </row>
    <row r="166" spans="1:15" s="1285" customFormat="1" ht="25.2" customHeight="1">
      <c r="A166" s="2170">
        <f>COUNTIF($K$1:K166,1)</f>
        <v>1</v>
      </c>
      <c r="B166" s="2281">
        <f t="shared" si="2"/>
        <v>0</v>
      </c>
      <c r="C166" s="1289"/>
      <c r="D166" s="1977"/>
      <c r="E166" s="1506"/>
      <c r="F166" s="1978"/>
      <c r="G166" s="1987"/>
      <c r="H166" s="1988"/>
      <c r="I166" s="1988"/>
      <c r="J166" s="1972">
        <f>IFERROR(VLOOKUP(B166,DG!A:F,6,0),3000)</f>
        <v>3000</v>
      </c>
      <c r="K166" s="1973">
        <f>IF(J166&lt;2000,COUNTIF($B$2:B166,B166),0)</f>
        <v>0</v>
      </c>
      <c r="L166" s="1430"/>
      <c r="M166" s="1510"/>
      <c r="O166" s="1510"/>
    </row>
    <row r="167" spans="1:15" s="1285" customFormat="1" ht="25.2" customHeight="1">
      <c r="A167" s="2170">
        <f>COUNTIF($K$1:K167,1)</f>
        <v>1</v>
      </c>
      <c r="B167" s="2281">
        <f t="shared" si="2"/>
        <v>0</v>
      </c>
      <c r="C167" s="1983"/>
      <c r="D167" s="1984"/>
      <c r="E167" s="1985"/>
      <c r="F167" s="1986"/>
      <c r="G167" s="2074"/>
      <c r="H167" s="2075"/>
      <c r="I167" s="2075"/>
      <c r="J167" s="1972">
        <f>IFERROR(VLOOKUP(B167,DG!A:F,6,0),3000)</f>
        <v>3000</v>
      </c>
      <c r="K167" s="1973">
        <f>IF(J167&lt;2000,COUNTIF($B$2:B167,B167),0)</f>
        <v>0</v>
      </c>
      <c r="L167" s="1430"/>
      <c r="M167" s="1510"/>
      <c r="O167" s="1510"/>
    </row>
    <row r="168" spans="1:15" s="1285" customFormat="1" ht="25.2" customHeight="1">
      <c r="A168" s="2170">
        <f>COUNTIF($K$1:K168,1)</f>
        <v>1</v>
      </c>
      <c r="B168" s="2281">
        <f t="shared" si="2"/>
        <v>0</v>
      </c>
      <c r="C168" s="1975"/>
      <c r="D168" s="1979"/>
      <c r="E168" s="1980"/>
      <c r="F168" s="1981"/>
      <c r="G168" s="2074"/>
      <c r="H168" s="2075"/>
      <c r="I168" s="2075"/>
      <c r="J168" s="1972">
        <f>IFERROR(VLOOKUP(B168,DG!A:F,6,0),3000)</f>
        <v>3000</v>
      </c>
      <c r="K168" s="1973">
        <f>IF(J168&lt;2000,COUNTIF($B$2:B168,B168),0)</f>
        <v>0</v>
      </c>
      <c r="L168" s="1430"/>
      <c r="M168" s="1510"/>
      <c r="O168" s="1510"/>
    </row>
    <row r="169" spans="1:15" s="1285" customFormat="1" ht="25.2" customHeight="1">
      <c r="A169" s="2170">
        <f>COUNTIF($K$1:K169,1)</f>
        <v>1</v>
      </c>
      <c r="B169" s="2281">
        <f t="shared" si="2"/>
        <v>0</v>
      </c>
      <c r="C169" s="1289"/>
      <c r="D169" s="1977"/>
      <c r="E169" s="1506"/>
      <c r="F169" s="1978"/>
      <c r="G169" s="1987"/>
      <c r="H169" s="1988"/>
      <c r="I169" s="1988"/>
      <c r="J169" s="1972">
        <f>IFERROR(VLOOKUP(B169,DG!A:F,6,0),3000)</f>
        <v>3000</v>
      </c>
      <c r="K169" s="1973">
        <f>IF(J169&lt;2000,COUNTIF($B$2:B169,B169),0)</f>
        <v>0</v>
      </c>
      <c r="L169" s="1430"/>
      <c r="M169" s="1510"/>
      <c r="O169" s="1510"/>
    </row>
    <row r="170" spans="1:15" s="1285" customFormat="1" ht="25.2" customHeight="1">
      <c r="A170" s="2170">
        <f>COUNTIF($K$1:K170,1)</f>
        <v>1</v>
      </c>
      <c r="B170" s="2281">
        <f t="shared" si="2"/>
        <v>0</v>
      </c>
      <c r="C170" s="1983"/>
      <c r="D170" s="1984"/>
      <c r="E170" s="1985"/>
      <c r="F170" s="1986"/>
      <c r="G170" s="2074"/>
      <c r="H170" s="2075"/>
      <c r="I170" s="2075"/>
      <c r="J170" s="1972">
        <f>IFERROR(VLOOKUP(B170,DG!A:F,6,0),3000)</f>
        <v>3000</v>
      </c>
      <c r="K170" s="1973">
        <f>IF(J170&lt;2000,COUNTIF($B$2:B170,B170),0)</f>
        <v>0</v>
      </c>
      <c r="L170" s="1430"/>
      <c r="M170" s="1510"/>
      <c r="O170" s="1510"/>
    </row>
    <row r="171" spans="1:15" s="1285" customFormat="1" ht="25.2" customHeight="1">
      <c r="A171" s="2170">
        <f>COUNTIF($K$1:K171,1)</f>
        <v>1</v>
      </c>
      <c r="B171" s="2281">
        <f t="shared" si="2"/>
        <v>0</v>
      </c>
      <c r="C171" s="1983"/>
      <c r="D171" s="1984"/>
      <c r="E171" s="1985"/>
      <c r="F171" s="1986"/>
      <c r="G171" s="2074"/>
      <c r="H171" s="2075"/>
      <c r="I171" s="2075"/>
      <c r="J171" s="1972">
        <f>IFERROR(VLOOKUP(B171,DG!A:F,6,0),3000)</f>
        <v>3000</v>
      </c>
      <c r="K171" s="1973">
        <f>IF(J171&lt;2000,COUNTIF($B$2:B171,B171),0)</f>
        <v>0</v>
      </c>
      <c r="L171" s="1430"/>
      <c r="M171" s="1510"/>
      <c r="O171" s="1510"/>
    </row>
    <row r="172" spans="1:15" s="1285" customFormat="1" ht="25.2" customHeight="1">
      <c r="A172" s="2170">
        <f>COUNTIF($K$1:K172,1)</f>
        <v>1</v>
      </c>
      <c r="B172" s="2281">
        <f t="shared" si="2"/>
        <v>0</v>
      </c>
      <c r="C172" s="1975"/>
      <c r="D172" s="1979"/>
      <c r="E172" s="1980"/>
      <c r="F172" s="1981"/>
      <c r="G172" s="2076"/>
      <c r="H172" s="2077"/>
      <c r="I172" s="1988"/>
      <c r="J172" s="1972">
        <f>IFERROR(VLOOKUP(B172,DG!A:F,6,0),3000)</f>
        <v>3000</v>
      </c>
      <c r="K172" s="1973">
        <f>IF(J172&lt;2000,COUNTIF($B$2:B172,B172),0)</f>
        <v>0</v>
      </c>
      <c r="L172" s="1430"/>
      <c r="M172" s="1510"/>
      <c r="O172" s="1510"/>
    </row>
    <row r="173" spans="1:15" s="1285" customFormat="1" ht="25.2" customHeight="1">
      <c r="A173" s="2170">
        <f>COUNTIF($K$1:K173,1)</f>
        <v>1</v>
      </c>
      <c r="B173" s="2281">
        <f t="shared" si="2"/>
        <v>0</v>
      </c>
      <c r="C173" s="1983"/>
      <c r="D173" s="1984"/>
      <c r="E173" s="1985"/>
      <c r="F173" s="1986"/>
      <c r="G173" s="2074"/>
      <c r="H173" s="2075"/>
      <c r="I173" s="2075"/>
      <c r="J173" s="1972">
        <f>IFERROR(VLOOKUP(B173,DG!A:F,6,0),3000)</f>
        <v>3000</v>
      </c>
      <c r="K173" s="1973">
        <f>IF(J173&lt;2000,COUNTIF($B$2:B173,B173),0)</f>
        <v>0</v>
      </c>
      <c r="L173" s="1430"/>
      <c r="M173" s="1510"/>
      <c r="O173" s="1510"/>
    </row>
    <row r="174" spans="1:15" s="1285" customFormat="1" ht="25.2" customHeight="1">
      <c r="A174" s="2170">
        <f>COUNTIF($K$1:K174,1)</f>
        <v>1</v>
      </c>
      <c r="B174" s="2281">
        <f t="shared" si="2"/>
        <v>0</v>
      </c>
      <c r="C174" s="1983"/>
      <c r="D174" s="1984"/>
      <c r="E174" s="1985"/>
      <c r="F174" s="1986"/>
      <c r="G174" s="2074"/>
      <c r="H174" s="2075"/>
      <c r="I174" s="2075"/>
      <c r="J174" s="1972">
        <f>IFERROR(VLOOKUP(B174,DG!A:F,6,0),3000)</f>
        <v>3000</v>
      </c>
      <c r="K174" s="1973">
        <f>IF(J174&lt;2000,COUNTIF($B$2:B174,B174),0)</f>
        <v>0</v>
      </c>
      <c r="L174" s="1430"/>
      <c r="M174" s="1510"/>
      <c r="O174" s="1510"/>
    </row>
    <row r="175" spans="1:15" s="1285" customFormat="1" ht="25.2" customHeight="1">
      <c r="A175" s="2170">
        <f>COUNTIF($K$1:K175,1)</f>
        <v>1</v>
      </c>
      <c r="B175" s="2281">
        <f t="shared" si="2"/>
        <v>0</v>
      </c>
      <c r="C175" s="1975"/>
      <c r="D175" s="1979"/>
      <c r="E175" s="2224"/>
      <c r="F175" s="2229"/>
      <c r="G175" s="2235"/>
      <c r="H175" s="2235"/>
      <c r="I175" s="2232"/>
      <c r="J175" s="1972">
        <f>IFERROR(VLOOKUP(B175,DG!A:F,6,0),3000)</f>
        <v>3000</v>
      </c>
      <c r="K175" s="1973">
        <f>IF(J175&lt;2000,COUNTIF($B$2:B175,B175),0)</f>
        <v>0</v>
      </c>
      <c r="L175" s="1426"/>
      <c r="M175" s="1510"/>
      <c r="O175" s="1510"/>
    </row>
    <row r="176" spans="1:15" s="1285" customFormat="1" ht="25.2" customHeight="1">
      <c r="A176" s="2170">
        <f>COUNTIF($K$1:K176,1)</f>
        <v>1</v>
      </c>
      <c r="B176" s="2281">
        <f t="shared" si="2"/>
        <v>0</v>
      </c>
      <c r="C176" s="2079"/>
      <c r="D176" s="2080"/>
      <c r="E176" s="1985"/>
      <c r="F176" s="1986"/>
      <c r="G176" s="2074"/>
      <c r="H176" s="2075"/>
      <c r="I176" s="2075"/>
      <c r="J176" s="1972">
        <f>IFERROR(VLOOKUP(B176,DG!A:F,6,0),3000)</f>
        <v>3000</v>
      </c>
      <c r="K176" s="1973">
        <f>IF(J176&lt;2000,COUNTIF($B$2:B176,B176),0)</f>
        <v>0</v>
      </c>
      <c r="L176" s="1430"/>
      <c r="M176" s="1510"/>
      <c r="O176" s="1510"/>
    </row>
    <row r="177" spans="1:15" s="1285" customFormat="1" ht="25.2" customHeight="1">
      <c r="A177" s="2170">
        <f>COUNTIF($K$1:K177,1)</f>
        <v>1</v>
      </c>
      <c r="B177" s="2281">
        <f t="shared" si="2"/>
        <v>0</v>
      </c>
      <c r="C177" s="1983"/>
      <c r="D177" s="1984"/>
      <c r="E177" s="1985"/>
      <c r="F177" s="1986"/>
      <c r="G177" s="2074"/>
      <c r="H177" s="2075"/>
      <c r="I177" s="2075"/>
      <c r="J177" s="1972">
        <f>IFERROR(VLOOKUP(B177,DG!A:F,6,0),3000)</f>
        <v>3000</v>
      </c>
      <c r="K177" s="1973">
        <f>IF(J177&lt;2000,COUNTIF($B$2:B177,B177),0)</f>
        <v>0</v>
      </c>
      <c r="L177" s="1991"/>
      <c r="M177" s="1992"/>
      <c r="N177" s="1993"/>
      <c r="O177" s="1992"/>
    </row>
    <row r="178" spans="1:15" s="1285" customFormat="1" ht="25.2" customHeight="1">
      <c r="A178" s="2170">
        <f>COUNTIF($K$1:K178,1)</f>
        <v>1</v>
      </c>
      <c r="B178" s="2281">
        <f t="shared" si="2"/>
        <v>0</v>
      </c>
      <c r="C178" s="1289"/>
      <c r="D178" s="1977"/>
      <c r="E178" s="1506"/>
      <c r="F178" s="1978"/>
      <c r="G178" s="1987"/>
      <c r="H178" s="1988"/>
      <c r="I178" s="1988"/>
      <c r="J178" s="1972">
        <f>IFERROR(VLOOKUP(B178,DG!A:F,6,0),3000)</f>
        <v>3000</v>
      </c>
      <c r="K178" s="1973">
        <f>IF(J178&lt;2000,COUNTIF($B$2:B178,B178),0)</f>
        <v>0</v>
      </c>
      <c r="L178" s="1430"/>
      <c r="M178" s="1510"/>
      <c r="O178" s="1510"/>
    </row>
    <row r="179" spans="1:15" s="1285" customFormat="1" ht="25.2" customHeight="1">
      <c r="A179" s="2170">
        <f>COUNTIF($K$1:K179,1)</f>
        <v>1</v>
      </c>
      <c r="B179" s="2281">
        <f t="shared" si="2"/>
        <v>0</v>
      </c>
      <c r="C179" s="2079"/>
      <c r="D179" s="2080"/>
      <c r="E179" s="1985"/>
      <c r="F179" s="1986"/>
      <c r="G179" s="2074"/>
      <c r="H179" s="2075"/>
      <c r="I179" s="2075"/>
      <c r="J179" s="1972">
        <f>IFERROR(VLOOKUP(B179,DG!A:F,6,0),3000)</f>
        <v>3000</v>
      </c>
      <c r="K179" s="1973">
        <f>IF(J179&lt;2000,COUNTIF($B$2:B179,B179),0)</f>
        <v>0</v>
      </c>
      <c r="L179" s="1430"/>
      <c r="M179" s="1510"/>
      <c r="O179" s="1510"/>
    </row>
    <row r="180" spans="1:15" s="1285" customFormat="1" ht="25.2" customHeight="1">
      <c r="A180" s="2170">
        <f>COUNTIF($K$1:K180,1)</f>
        <v>1</v>
      </c>
      <c r="B180" s="2281">
        <f t="shared" si="2"/>
        <v>0</v>
      </c>
      <c r="C180" s="1289"/>
      <c r="D180" s="1977"/>
      <c r="E180" s="2222"/>
      <c r="F180" s="2227"/>
      <c r="G180" s="2232"/>
      <c r="H180" s="2232"/>
      <c r="I180" s="2232"/>
      <c r="J180" s="1972">
        <f>IFERROR(VLOOKUP(B180,DG!A:F,6,0),3000)</f>
        <v>3000</v>
      </c>
      <c r="K180" s="1973">
        <f>IF(J180&lt;2000,COUNTIF($B$2:B180,B180),0)</f>
        <v>0</v>
      </c>
      <c r="L180" s="1426"/>
      <c r="M180" s="1510"/>
      <c r="O180" s="1510"/>
    </row>
    <row r="181" spans="1:15" s="1285" customFormat="1" ht="25.2" customHeight="1">
      <c r="A181" s="2170">
        <f>COUNTIF($K$1:K181,1)</f>
        <v>1</v>
      </c>
      <c r="B181" s="2281">
        <f t="shared" si="2"/>
        <v>0</v>
      </c>
      <c r="C181" s="1983"/>
      <c r="D181" s="1984"/>
      <c r="E181" s="1985"/>
      <c r="F181" s="1986"/>
      <c r="G181" s="2074"/>
      <c r="H181" s="2075"/>
      <c r="I181" s="2075"/>
      <c r="J181" s="1972">
        <f>IFERROR(VLOOKUP(B181,DG!A:F,6,0),3000)</f>
        <v>3000</v>
      </c>
      <c r="K181" s="1973">
        <f>IF(J181&lt;2000,COUNTIF($B$2:B181,B181),0)</f>
        <v>0</v>
      </c>
      <c r="L181" s="1426"/>
      <c r="M181" s="1510"/>
      <c r="O181" s="1510"/>
    </row>
    <row r="182" spans="1:15" s="1285" customFormat="1" ht="25.2" customHeight="1">
      <c r="A182" s="2170">
        <f>COUNTIF($K$1:K182,1)</f>
        <v>1</v>
      </c>
      <c r="B182" s="2281">
        <f t="shared" si="2"/>
        <v>0</v>
      </c>
      <c r="C182" s="1983"/>
      <c r="D182" s="1984"/>
      <c r="E182" s="1985"/>
      <c r="F182" s="1986"/>
      <c r="G182" s="2074"/>
      <c r="H182" s="2075"/>
      <c r="I182" s="2075"/>
      <c r="J182" s="1972">
        <f>IFERROR(VLOOKUP(B182,DG!A:F,6,0),3000)</f>
        <v>3000</v>
      </c>
      <c r="K182" s="1973">
        <f>IF(J182&lt;2000,COUNTIF($B$2:B182,B182),0)</f>
        <v>0</v>
      </c>
      <c r="L182" s="1430"/>
      <c r="M182" s="1510"/>
      <c r="O182" s="1510"/>
    </row>
    <row r="183" spans="1:15" s="1285" customFormat="1" ht="25.2" customHeight="1">
      <c r="A183" s="2170">
        <f>COUNTIF($K$1:K183,1)</f>
        <v>1</v>
      </c>
      <c r="B183" s="2281">
        <f t="shared" si="2"/>
        <v>0</v>
      </c>
      <c r="C183" s="2079"/>
      <c r="D183" s="2080"/>
      <c r="E183" s="1985"/>
      <c r="F183" s="1986"/>
      <c r="G183" s="2074"/>
      <c r="H183" s="2075"/>
      <c r="I183" s="2075"/>
      <c r="J183" s="1972">
        <f>IFERROR(VLOOKUP(B183,DG!A:F,6,0),3000)</f>
        <v>3000</v>
      </c>
      <c r="K183" s="1973">
        <f>IF(J183&lt;2000,COUNTIF($B$2:B183,B183),0)</f>
        <v>0</v>
      </c>
      <c r="L183" s="1991"/>
      <c r="M183" s="1992"/>
      <c r="N183" s="1993"/>
      <c r="O183" s="1992"/>
    </row>
    <row r="184" spans="1:15" s="1285" customFormat="1" ht="25.2" customHeight="1">
      <c r="A184" s="2170">
        <f>COUNTIF($K$1:K184,1)</f>
        <v>1</v>
      </c>
      <c r="B184" s="2281">
        <f t="shared" si="2"/>
        <v>0</v>
      </c>
      <c r="C184" s="1983"/>
      <c r="D184" s="1984"/>
      <c r="E184" s="1985"/>
      <c r="F184" s="1986"/>
      <c r="G184" s="2074"/>
      <c r="H184" s="2075"/>
      <c r="I184" s="2075"/>
      <c r="J184" s="1972">
        <f>IFERROR(VLOOKUP(B184,DG!A:F,6,0),3000)</f>
        <v>3000</v>
      </c>
      <c r="K184" s="1973">
        <f>IF(J184&lt;2000,COUNTIF($B$2:B184,B184),0)</f>
        <v>0</v>
      </c>
      <c r="L184" s="1430"/>
      <c r="M184" s="1510"/>
      <c r="O184" s="1510"/>
    </row>
    <row r="185" spans="1:15" s="1285" customFormat="1" ht="25.2" customHeight="1">
      <c r="A185" s="2170">
        <f>COUNTIF($K$1:K185,1)</f>
        <v>1</v>
      </c>
      <c r="B185" s="2281">
        <f t="shared" si="2"/>
        <v>0</v>
      </c>
      <c r="C185" s="1289"/>
      <c r="D185" s="1977"/>
      <c r="E185" s="1506"/>
      <c r="F185" s="1978"/>
      <c r="G185" s="1987"/>
      <c r="H185" s="1988"/>
      <c r="I185" s="1988"/>
      <c r="J185" s="1972">
        <f>IFERROR(VLOOKUP(B185,DG!A:F,6,0),3000)</f>
        <v>3000</v>
      </c>
      <c r="K185" s="1973">
        <f>IF(J185&lt;2000,COUNTIF($B$2:B185,B185),0)</f>
        <v>0</v>
      </c>
      <c r="L185" s="1430"/>
      <c r="M185" s="1510"/>
      <c r="O185" s="1510"/>
    </row>
    <row r="186" spans="1:15" s="1285" customFormat="1" ht="25.2" customHeight="1">
      <c r="A186" s="2170">
        <f>COUNTIF($K$1:K186,1)</f>
        <v>1</v>
      </c>
      <c r="B186" s="2281">
        <f t="shared" si="2"/>
        <v>0</v>
      </c>
      <c r="C186" s="1983"/>
      <c r="D186" s="1984"/>
      <c r="E186" s="1985"/>
      <c r="F186" s="1986"/>
      <c r="G186" s="1987"/>
      <c r="H186" s="1988"/>
      <c r="I186" s="1988"/>
      <c r="J186" s="1972">
        <f>IFERROR(VLOOKUP(B186,DG!A:F,6,0),3000)</f>
        <v>3000</v>
      </c>
      <c r="K186" s="1973">
        <f>IF(J186&lt;2000,COUNTIF($B$2:B186,B186),0)</f>
        <v>0</v>
      </c>
      <c r="L186" s="1426"/>
      <c r="M186" s="1510"/>
      <c r="O186" s="1510"/>
    </row>
    <row r="187" spans="1:15" s="1285" customFormat="1" ht="25.2" customHeight="1">
      <c r="A187" s="2170">
        <f>COUNTIF($K$1:K187,1)</f>
        <v>1</v>
      </c>
      <c r="B187" s="2281">
        <f t="shared" si="2"/>
        <v>0</v>
      </c>
      <c r="C187" s="1983"/>
      <c r="D187" s="1984"/>
      <c r="E187" s="1985"/>
      <c r="F187" s="1986"/>
      <c r="G187" s="2074"/>
      <c r="H187" s="2075"/>
      <c r="I187" s="2075"/>
      <c r="J187" s="1972">
        <f>IFERROR(VLOOKUP(B187,DG!A:F,6,0),3000)</f>
        <v>3000</v>
      </c>
      <c r="K187" s="1973">
        <f>IF(J187&lt;2000,COUNTIF($B$2:B187,B187),0)</f>
        <v>0</v>
      </c>
      <c r="L187" s="1430"/>
      <c r="M187" s="1510"/>
      <c r="O187" s="1510"/>
    </row>
    <row r="188" spans="1:15" s="1285" customFormat="1" ht="25.2" customHeight="1">
      <c r="A188" s="2170">
        <f>COUNTIF($K$1:K188,1)</f>
        <v>1</v>
      </c>
      <c r="B188" s="2281">
        <f t="shared" si="2"/>
        <v>0</v>
      </c>
      <c r="C188" s="1989"/>
      <c r="D188" s="1990"/>
      <c r="E188" s="1506"/>
      <c r="F188" s="1978"/>
      <c r="G188" s="1987"/>
      <c r="H188" s="1988"/>
      <c r="I188" s="1988"/>
      <c r="J188" s="1972">
        <f>IFERROR(VLOOKUP(B188,DG!A:F,6,0),3000)</f>
        <v>3000</v>
      </c>
      <c r="K188" s="1973">
        <f>IF(J188&lt;2000,COUNTIF($B$1:B189,B188),0)</f>
        <v>0</v>
      </c>
      <c r="L188" s="1991"/>
      <c r="M188" s="1992"/>
      <c r="N188" s="1993"/>
      <c r="O188" s="1992"/>
    </row>
    <row r="189" spans="1:15" s="1285" customFormat="1" ht="25.2" customHeight="1">
      <c r="A189" s="2170">
        <f>COUNTIF($K$1:K189,1)</f>
        <v>1</v>
      </c>
      <c r="B189" s="2281">
        <f t="shared" si="2"/>
        <v>0</v>
      </c>
      <c r="C189" s="1983"/>
      <c r="D189" s="1984"/>
      <c r="E189" s="1985"/>
      <c r="F189" s="1986"/>
      <c r="G189" s="2074"/>
      <c r="H189" s="2075"/>
      <c r="I189" s="2075"/>
      <c r="J189" s="1972">
        <f>IFERROR(VLOOKUP(B189,DG!A:F,6,0),3000)</f>
        <v>3000</v>
      </c>
      <c r="K189" s="1973">
        <f>IF(J189&lt;2000,COUNTIF($B$2:B189,B189),0)</f>
        <v>0</v>
      </c>
      <c r="L189" s="1430"/>
      <c r="M189" s="1510"/>
      <c r="O189" s="1510"/>
    </row>
    <row r="190" spans="1:15" s="1285" customFormat="1" ht="25.2" customHeight="1">
      <c r="A190" s="2170">
        <f>COUNTIF($K$1:K190,1)</f>
        <v>1</v>
      </c>
      <c r="B190" s="2281">
        <f t="shared" si="2"/>
        <v>0</v>
      </c>
      <c r="C190" s="1983"/>
      <c r="D190" s="1984"/>
      <c r="E190" s="1985"/>
      <c r="F190" s="1986"/>
      <c r="G190" s="2074"/>
      <c r="H190" s="2075"/>
      <c r="I190" s="2075"/>
      <c r="J190" s="1972">
        <f>IFERROR(VLOOKUP(B190,DG!A:F,6,0),3000)</f>
        <v>3000</v>
      </c>
      <c r="K190" s="1973">
        <f>IF(J190&lt;2000,COUNTIF($B$2:B190,B190),0)</f>
        <v>0</v>
      </c>
      <c r="L190" s="1430"/>
      <c r="M190" s="1510"/>
      <c r="O190" s="1510"/>
    </row>
    <row r="191" spans="1:15" s="1285" customFormat="1" ht="25.2" customHeight="1">
      <c r="A191" s="2170">
        <f>COUNTIF($K$1:K191,1)</f>
        <v>1</v>
      </c>
      <c r="B191" s="2281">
        <f t="shared" si="2"/>
        <v>0</v>
      </c>
      <c r="C191" s="1983"/>
      <c r="D191" s="1984"/>
      <c r="E191" s="1985"/>
      <c r="F191" s="1986"/>
      <c r="G191" s="2074"/>
      <c r="H191" s="2075"/>
      <c r="I191" s="2075"/>
      <c r="J191" s="1972">
        <f>IFERROR(VLOOKUP(B191,DG!A:F,6,0),3000)</f>
        <v>3000</v>
      </c>
      <c r="K191" s="1973">
        <f>IF(J191&lt;2000,COUNTIF($B$2:B191,B191),0)</f>
        <v>0</v>
      </c>
      <c r="L191" s="1430"/>
      <c r="M191" s="1510"/>
      <c r="O191" s="1510"/>
    </row>
    <row r="192" spans="1:15" s="1285" customFormat="1" ht="25.2" customHeight="1">
      <c r="A192" s="2170">
        <f>COUNTIF($K$1:K192,1)</f>
        <v>1</v>
      </c>
      <c r="B192" s="2281">
        <f t="shared" si="2"/>
        <v>0</v>
      </c>
      <c r="C192" s="1983"/>
      <c r="D192" s="1984"/>
      <c r="E192" s="1985"/>
      <c r="F192" s="1986"/>
      <c r="G192" s="2074"/>
      <c r="H192" s="2075"/>
      <c r="I192" s="2075"/>
      <c r="J192" s="1972">
        <f>IFERROR(VLOOKUP(B192,DG!A:F,6,0),3000)</f>
        <v>3000</v>
      </c>
      <c r="K192" s="1973">
        <f>IF(J192&lt;2000,COUNTIF($B$2:B192,B192),0)</f>
        <v>0</v>
      </c>
      <c r="L192" s="1430"/>
      <c r="M192" s="1510"/>
      <c r="O192" s="1510"/>
    </row>
    <row r="193" spans="1:15" s="1285" customFormat="1" ht="25.2" customHeight="1">
      <c r="A193" s="2170">
        <f>COUNTIF($K$1:K193,1)</f>
        <v>1</v>
      </c>
      <c r="B193" s="2281">
        <f t="shared" si="2"/>
        <v>0</v>
      </c>
      <c r="C193" s="1983"/>
      <c r="D193" s="1984"/>
      <c r="E193" s="1985"/>
      <c r="F193" s="1986"/>
      <c r="G193" s="2074"/>
      <c r="H193" s="2075"/>
      <c r="I193" s="2075"/>
      <c r="J193" s="1972">
        <f>IFERROR(VLOOKUP(B193,DG!A:F,6,0),3000)</f>
        <v>3000</v>
      </c>
      <c r="K193" s="1973">
        <f>IF(J193&lt;2000,COUNTIF($B$2:B193,B193),0)</f>
        <v>0</v>
      </c>
      <c r="L193" s="1430"/>
      <c r="M193" s="1510"/>
      <c r="O193" s="1510"/>
    </row>
    <row r="194" spans="1:15" s="1285" customFormat="1" ht="25.2" customHeight="1">
      <c r="A194" s="2170">
        <f>COUNTIF($K$1:K194,1)</f>
        <v>1</v>
      </c>
      <c r="B194" s="2281">
        <f t="shared" ref="B194:B257" si="3">D194</f>
        <v>0</v>
      </c>
      <c r="C194" s="1983"/>
      <c r="D194" s="1984"/>
      <c r="E194" s="1985"/>
      <c r="F194" s="1986"/>
      <c r="G194" s="2074"/>
      <c r="H194" s="2075"/>
      <c r="I194" s="2075"/>
      <c r="J194" s="1972">
        <f>IFERROR(VLOOKUP(B194,DG!A:F,6,0),3000)</f>
        <v>3000</v>
      </c>
      <c r="K194" s="1973">
        <f>IF(J194&lt;2000,COUNTIF($B$2:B194,B194),0)</f>
        <v>0</v>
      </c>
      <c r="L194" s="1430"/>
      <c r="M194" s="1510"/>
      <c r="O194" s="1510"/>
    </row>
    <row r="195" spans="1:15" s="1285" customFormat="1" ht="25.2" customHeight="1">
      <c r="A195" s="2170">
        <f>COUNTIF($K$1:K195,1)</f>
        <v>1</v>
      </c>
      <c r="B195" s="2281">
        <f t="shared" si="3"/>
        <v>0</v>
      </c>
      <c r="C195" s="1983"/>
      <c r="D195" s="1984"/>
      <c r="E195" s="1985"/>
      <c r="F195" s="1986"/>
      <c r="G195" s="2074"/>
      <c r="H195" s="2075"/>
      <c r="I195" s="2075"/>
      <c r="J195" s="1972">
        <f>IFERROR(VLOOKUP(B195,DG!A:F,6,0),3000)</f>
        <v>3000</v>
      </c>
      <c r="K195" s="1973">
        <f>IF(J195&lt;2000,COUNTIF($B$2:B195,B195),0)</f>
        <v>0</v>
      </c>
      <c r="L195" s="1430"/>
      <c r="M195" s="1510"/>
      <c r="O195" s="1510"/>
    </row>
    <row r="196" spans="1:15" s="1285" customFormat="1" ht="25.2" customHeight="1">
      <c r="A196" s="2170">
        <f>COUNTIF($K$1:K196,1)</f>
        <v>1</v>
      </c>
      <c r="B196" s="2281">
        <f t="shared" si="3"/>
        <v>0</v>
      </c>
      <c r="C196" s="2159"/>
      <c r="D196" s="2160"/>
      <c r="E196" s="1980"/>
      <c r="F196" s="1981"/>
      <c r="G196" s="2076"/>
      <c r="H196" s="2077"/>
      <c r="I196" s="2075"/>
      <c r="J196" s="1972">
        <f>IFERROR(VLOOKUP(B196,DG!A:F,6,0),3000)</f>
        <v>3000</v>
      </c>
      <c r="K196" s="1973">
        <f>IF(J196&lt;2000,COUNTIF($B$2:B196,B196),0)</f>
        <v>0</v>
      </c>
      <c r="L196" s="1991"/>
      <c r="M196" s="1992"/>
      <c r="N196" s="1993"/>
      <c r="O196" s="1992"/>
    </row>
    <row r="197" spans="1:15" s="1285" customFormat="1" ht="25.2" customHeight="1">
      <c r="A197" s="2170">
        <f>COUNTIF($K$1:K197,1)</f>
        <v>1</v>
      </c>
      <c r="B197" s="2281">
        <f t="shared" si="3"/>
        <v>0</v>
      </c>
      <c r="C197" s="1983"/>
      <c r="D197" s="1984"/>
      <c r="E197" s="1985"/>
      <c r="F197" s="1986"/>
      <c r="G197" s="2074"/>
      <c r="H197" s="2075"/>
      <c r="I197" s="2075"/>
      <c r="J197" s="1972">
        <f>IFERROR(VLOOKUP(B197,DG!A:F,6,0),3000)</f>
        <v>3000</v>
      </c>
      <c r="K197" s="1973">
        <f>IF(J197&lt;2000,COUNTIF($B$2:B197,B197),0)</f>
        <v>0</v>
      </c>
      <c r="L197" s="1430"/>
      <c r="M197" s="1510"/>
      <c r="O197" s="1510"/>
    </row>
    <row r="198" spans="1:15" s="1285" customFormat="1" ht="25.2" customHeight="1">
      <c r="A198" s="2170">
        <f>COUNTIF($K$1:K198,1)</f>
        <v>1</v>
      </c>
      <c r="B198" s="2281">
        <f t="shared" si="3"/>
        <v>0</v>
      </c>
      <c r="C198" s="1983"/>
      <c r="D198" s="1984"/>
      <c r="E198" s="1985"/>
      <c r="F198" s="1986"/>
      <c r="G198" s="2074"/>
      <c r="H198" s="2075"/>
      <c r="I198" s="2075"/>
      <c r="J198" s="1972">
        <f>IFERROR(VLOOKUP(B198,DG!A:F,6,0),3000)</f>
        <v>3000</v>
      </c>
      <c r="K198" s="1973">
        <f>IF(J198&lt;2000,COUNTIF($B$2:B198,B198),0)</f>
        <v>0</v>
      </c>
      <c r="L198" s="1430"/>
      <c r="M198" s="1510"/>
      <c r="O198" s="1510"/>
    </row>
    <row r="199" spans="1:15" s="1285" customFormat="1" ht="25.2" customHeight="1">
      <c r="A199" s="2170">
        <f>COUNTIF($K$1:K199,1)</f>
        <v>1</v>
      </c>
      <c r="B199" s="2281">
        <f t="shared" si="3"/>
        <v>0</v>
      </c>
      <c r="C199" s="1975"/>
      <c r="D199" s="1979"/>
      <c r="E199" s="1980"/>
      <c r="F199" s="1981"/>
      <c r="G199" s="2076"/>
      <c r="H199" s="2077"/>
      <c r="I199" s="2078"/>
      <c r="J199" s="1972">
        <f>IFERROR(VLOOKUP(B199,DG!A:F,6,0),3000)</f>
        <v>3000</v>
      </c>
      <c r="K199" s="1973">
        <f>IF(J199&lt;2000,COUNTIF($B$2:B199,B199),0)</f>
        <v>0</v>
      </c>
      <c r="L199" s="1430"/>
      <c r="M199" s="1510"/>
      <c r="O199" s="1510"/>
    </row>
    <row r="200" spans="1:15" s="1285" customFormat="1" ht="25.2" customHeight="1">
      <c r="A200" s="2170">
        <f>COUNTIF($K$1:K200,1)</f>
        <v>1</v>
      </c>
      <c r="B200" s="2281">
        <f t="shared" si="3"/>
        <v>0</v>
      </c>
      <c r="C200" s="1983"/>
      <c r="D200" s="1984"/>
      <c r="E200" s="1985"/>
      <c r="F200" s="1986"/>
      <c r="G200" s="2076"/>
      <c r="H200" s="2075"/>
      <c r="I200" s="2075"/>
      <c r="J200" s="1972">
        <f>IFERROR(VLOOKUP(B200,DG!A:F,6,0),3000)</f>
        <v>3000</v>
      </c>
      <c r="K200" s="1973">
        <f>IF(J200&lt;2000,COUNTIF($B$2:B200,B200),0)</f>
        <v>0</v>
      </c>
      <c r="L200" s="1430"/>
      <c r="M200" s="1510"/>
      <c r="O200" s="1510"/>
    </row>
    <row r="201" spans="1:15" s="1285" customFormat="1" ht="25.2" customHeight="1">
      <c r="A201" s="2170">
        <f>COUNTIF($K$1:K201,1)</f>
        <v>1</v>
      </c>
      <c r="B201" s="2281">
        <f t="shared" si="3"/>
        <v>0</v>
      </c>
      <c r="C201" s="1289"/>
      <c r="D201" s="1977"/>
      <c r="E201" s="1506"/>
      <c r="F201" s="1978"/>
      <c r="G201" s="1987"/>
      <c r="H201" s="1988"/>
      <c r="I201" s="1988"/>
      <c r="J201" s="1972">
        <f>IFERROR(VLOOKUP(B201,DG!A:F,6,0),3000)</f>
        <v>3000</v>
      </c>
      <c r="K201" s="1973">
        <f>IF(J201&lt;2000,COUNTIF($B$2:B201,B201),0)</f>
        <v>0</v>
      </c>
      <c r="L201" s="1430"/>
      <c r="M201" s="1510"/>
      <c r="O201" s="1510"/>
    </row>
    <row r="202" spans="1:15" s="1285" customFormat="1" ht="25.2" customHeight="1">
      <c r="A202" s="2170">
        <f>COUNTIF($K$1:K202,1)</f>
        <v>1</v>
      </c>
      <c r="B202" s="2281">
        <f t="shared" si="3"/>
        <v>0</v>
      </c>
      <c r="C202" s="1983"/>
      <c r="D202" s="1984"/>
      <c r="E202" s="1985"/>
      <c r="F202" s="1986"/>
      <c r="G202" s="2074"/>
      <c r="H202" s="2075"/>
      <c r="I202" s="2075"/>
      <c r="J202" s="1972">
        <f>IFERROR(VLOOKUP(B202,DG!A:F,6,0),3000)</f>
        <v>3000</v>
      </c>
      <c r="K202" s="1973">
        <f>IF(J202&lt;2000,COUNTIF($B$2:B202,B202),0)</f>
        <v>0</v>
      </c>
      <c r="L202" s="1430"/>
      <c r="M202" s="1510"/>
      <c r="O202" s="1510"/>
    </row>
    <row r="203" spans="1:15" s="1285" customFormat="1" ht="25.2" customHeight="1">
      <c r="A203" s="2170">
        <f>COUNTIF($K$1:K203,1)</f>
        <v>1</v>
      </c>
      <c r="B203" s="2281">
        <f t="shared" si="3"/>
        <v>0</v>
      </c>
      <c r="C203" s="1983"/>
      <c r="D203" s="1984"/>
      <c r="E203" s="1985"/>
      <c r="F203" s="1986"/>
      <c r="G203" s="1987"/>
      <c r="H203" s="1988"/>
      <c r="I203" s="1988"/>
      <c r="J203" s="1972">
        <f>IFERROR(VLOOKUP(B203,DG!A:F,6,0),3000)</f>
        <v>3000</v>
      </c>
      <c r="K203" s="1973">
        <f>IF(J203&lt;2000,COUNTIF($B$2:B203,B203),0)</f>
        <v>0</v>
      </c>
      <c r="L203" s="1430"/>
      <c r="M203" s="1510"/>
      <c r="O203" s="1510"/>
    </row>
    <row r="204" spans="1:15" ht="25.2" customHeight="1">
      <c r="A204" s="2170">
        <f>COUNTIF($K$1:K204,1)</f>
        <v>1</v>
      </c>
      <c r="B204" s="2281">
        <f t="shared" si="3"/>
        <v>0</v>
      </c>
      <c r="C204" s="1983"/>
      <c r="D204" s="1984"/>
      <c r="E204" s="2223"/>
      <c r="F204" s="2228"/>
      <c r="G204" s="2234"/>
      <c r="H204" s="2238"/>
      <c r="I204" s="2238"/>
      <c r="J204" s="1972">
        <f>IFERROR(VLOOKUP(B204,DG!A:F,6,0),3000)</f>
        <v>3000</v>
      </c>
      <c r="K204" s="1973">
        <f>IF(J204&lt;2000,COUNTIF($B$2:B204,B204),0)</f>
        <v>0</v>
      </c>
      <c r="L204" s="1430"/>
      <c r="N204" s="1285"/>
    </row>
    <row r="205" spans="1:15" ht="25.2" customHeight="1">
      <c r="A205" s="2170">
        <f>COUNTIF($K$1:K205,1)</f>
        <v>1</v>
      </c>
      <c r="B205" s="2281">
        <f t="shared" si="3"/>
        <v>0</v>
      </c>
      <c r="E205" s="2240"/>
      <c r="F205" s="2241"/>
      <c r="G205" s="2242"/>
      <c r="H205" s="2242"/>
      <c r="I205" s="2242"/>
      <c r="J205" s="1972">
        <f>IFERROR(VLOOKUP(B205,DG!A:F,6,0),3000)</f>
        <v>3000</v>
      </c>
      <c r="K205" s="1973">
        <f>IF(J205&lt;2000,COUNTIF($B$2:B205,B205),0)</f>
        <v>0</v>
      </c>
    </row>
    <row r="206" spans="1:15" ht="25.2" customHeight="1">
      <c r="A206" s="2170">
        <f>COUNTIF($K$1:K206,1)</f>
        <v>1</v>
      </c>
      <c r="B206" s="2281">
        <f t="shared" si="3"/>
        <v>0</v>
      </c>
      <c r="C206" s="1983"/>
      <c r="D206" s="1984"/>
      <c r="E206" s="2223"/>
      <c r="F206" s="2228"/>
      <c r="G206" s="2233"/>
      <c r="H206" s="2237"/>
      <c r="I206" s="2237"/>
      <c r="J206" s="1972">
        <f>IFERROR(VLOOKUP(B206,DG!A:F,6,0),3000)</f>
        <v>3000</v>
      </c>
      <c r="K206" s="1973">
        <f>IF(J206&lt;2000,COUNTIF($B$2:B206,B206),0)</f>
        <v>0</v>
      </c>
      <c r="L206" s="1430"/>
    </row>
    <row r="207" spans="1:15" ht="25.2" customHeight="1">
      <c r="A207" s="2170">
        <f>COUNTIF($K$1:K207,1)</f>
        <v>1</v>
      </c>
      <c r="B207" s="2281">
        <f t="shared" si="3"/>
        <v>0</v>
      </c>
      <c r="E207" s="2240"/>
      <c r="F207" s="2241"/>
      <c r="G207" s="2242"/>
      <c r="H207" s="2242"/>
      <c r="I207" s="2242"/>
      <c r="J207" s="1972">
        <f>IFERROR(VLOOKUP(B207,DG!A:F,6,0),3000)</f>
        <v>3000</v>
      </c>
      <c r="K207" s="1973">
        <f>IF(J207&lt;2000,COUNTIF($B$2:B207,B207),0)</f>
        <v>0</v>
      </c>
      <c r="N207" s="1285"/>
    </row>
    <row r="208" spans="1:15" ht="25.2" customHeight="1">
      <c r="A208" s="2170">
        <f>COUNTIF($K$1:K208,1)</f>
        <v>1</v>
      </c>
      <c r="B208" s="2281">
        <f t="shared" si="3"/>
        <v>0</v>
      </c>
      <c r="C208" s="1983"/>
      <c r="D208" s="1984"/>
      <c r="E208" s="2223"/>
      <c r="F208" s="2228"/>
      <c r="G208" s="2234"/>
      <c r="H208" s="2238"/>
      <c r="I208" s="2238"/>
      <c r="J208" s="1972">
        <f>IFERROR(VLOOKUP(B208,DG!A:F,6,0),3000)</f>
        <v>3000</v>
      </c>
      <c r="K208" s="1973">
        <f>IF(J208&lt;2000,COUNTIF($B$2:B208,B208),0)</f>
        <v>0</v>
      </c>
      <c r="L208" s="1430"/>
      <c r="N208" s="1285"/>
    </row>
    <row r="209" spans="1:14" ht="25.2" customHeight="1">
      <c r="A209" s="2170">
        <f>COUNTIF($K$1:K209,1)</f>
        <v>1</v>
      </c>
      <c r="B209" s="2281">
        <f t="shared" si="3"/>
        <v>0</v>
      </c>
      <c r="C209" s="1983"/>
      <c r="D209" s="1984"/>
      <c r="E209" s="2223"/>
      <c r="F209" s="2228"/>
      <c r="G209" s="2234"/>
      <c r="H209" s="2238"/>
      <c r="I209" s="2238"/>
      <c r="J209" s="1972">
        <f>IFERROR(VLOOKUP(B209,DG!A:F,6,0),3000)</f>
        <v>3000</v>
      </c>
      <c r="K209" s="1973">
        <f>IF(J209&lt;2000,COUNTIF($B$2:B209,B209),0)</f>
        <v>0</v>
      </c>
      <c r="L209" s="1430"/>
      <c r="N209" s="1285"/>
    </row>
    <row r="210" spans="1:14" ht="25.2" customHeight="1">
      <c r="A210" s="2170">
        <f>COUNTIF($K$1:K210,1)</f>
        <v>1</v>
      </c>
      <c r="B210" s="2281">
        <f t="shared" si="3"/>
        <v>0</v>
      </c>
      <c r="C210" s="1983"/>
      <c r="D210" s="1984"/>
      <c r="E210" s="2223"/>
      <c r="F210" s="2228"/>
      <c r="G210" s="2234"/>
      <c r="H210" s="2238"/>
      <c r="I210" s="2238"/>
      <c r="J210" s="1972">
        <f>IFERROR(VLOOKUP(B210,DG!A:F,6,0),3000)</f>
        <v>3000</v>
      </c>
      <c r="K210" s="1973">
        <f>IF(J210&lt;2000,COUNTIF($B$2:B210,B210),0)</f>
        <v>0</v>
      </c>
      <c r="L210" s="1430"/>
      <c r="N210" s="1285"/>
    </row>
    <row r="211" spans="1:14" ht="25.2" customHeight="1">
      <c r="A211" s="2170">
        <f>COUNTIF($K$1:K211,1)</f>
        <v>1</v>
      </c>
      <c r="B211" s="2281">
        <f t="shared" si="3"/>
        <v>0</v>
      </c>
      <c r="C211" s="1983"/>
      <c r="D211" s="1984"/>
      <c r="E211" s="2223"/>
      <c r="F211" s="2228"/>
      <c r="G211" s="2234"/>
      <c r="H211" s="2238"/>
      <c r="I211" s="2238"/>
      <c r="J211" s="1972">
        <f>IFERROR(VLOOKUP(B211,DG!A:F,6,0),3000)</f>
        <v>3000</v>
      </c>
      <c r="K211" s="1973">
        <f>IF(J211&lt;2000,COUNTIF($B$2:B211,B211),0)</f>
        <v>0</v>
      </c>
      <c r="L211" s="1430"/>
    </row>
    <row r="212" spans="1:14" ht="25.2" customHeight="1">
      <c r="A212" s="2170">
        <f>COUNTIF($K$1:K212,1)</f>
        <v>1</v>
      </c>
      <c r="B212" s="2281">
        <f t="shared" si="3"/>
        <v>0</v>
      </c>
      <c r="C212" s="1975"/>
      <c r="D212" s="1979"/>
      <c r="E212" s="2226"/>
      <c r="F212" s="2231"/>
      <c r="G212" s="2236"/>
      <c r="H212" s="2238"/>
      <c r="I212" s="2238"/>
      <c r="J212" s="1972">
        <f>IFERROR(VLOOKUP(B212,DG!A:F,6,0),3000)</f>
        <v>3000</v>
      </c>
      <c r="K212" s="1973">
        <f>IF(J212&lt;2000,COUNTIF($B$2:B212,B212),0)</f>
        <v>0</v>
      </c>
      <c r="L212" s="1430"/>
    </row>
    <row r="213" spans="1:14" ht="25.2" customHeight="1">
      <c r="A213" s="2170">
        <f>COUNTIF($K$1:K213,1)</f>
        <v>1</v>
      </c>
      <c r="B213" s="2281">
        <f t="shared" si="3"/>
        <v>0</v>
      </c>
      <c r="E213" s="2225"/>
      <c r="F213" s="2230"/>
      <c r="G213" s="2233"/>
      <c r="H213" s="2237"/>
      <c r="I213" s="2237"/>
      <c r="J213" s="1972">
        <f>IFERROR(VLOOKUP(B213,DG!A:F,6,0),3000)</f>
        <v>3000</v>
      </c>
      <c r="K213" s="1973">
        <f>IF(J213&lt;2000,COUNTIF($B$2:B213,B213),0)</f>
        <v>0</v>
      </c>
      <c r="L213" s="1430"/>
    </row>
    <row r="214" spans="1:14" ht="25.2" customHeight="1">
      <c r="A214" s="2170">
        <f>COUNTIF($K$1:K214,1)</f>
        <v>1</v>
      </c>
      <c r="B214" s="2281">
        <f t="shared" si="3"/>
        <v>0</v>
      </c>
      <c r="C214" s="1983"/>
      <c r="D214" s="1984"/>
      <c r="E214" s="2223"/>
      <c r="F214" s="2228"/>
      <c r="G214" s="2234"/>
      <c r="H214" s="2238"/>
      <c r="I214" s="2238"/>
      <c r="J214" s="1972">
        <f>IFERROR(VLOOKUP(B214,DG!A:F,6,0),3000)</f>
        <v>3000</v>
      </c>
      <c r="K214" s="1973">
        <f>IF(J214&lt;2000,COUNTIF($B$2:B214,B214),0)</f>
        <v>0</v>
      </c>
      <c r="L214" s="1430"/>
    </row>
    <row r="215" spans="1:14" ht="25.2" customHeight="1">
      <c r="A215" s="2170">
        <f>COUNTIF($K$1:K215,1)</f>
        <v>1</v>
      </c>
      <c r="B215" s="2281">
        <f t="shared" si="3"/>
        <v>0</v>
      </c>
      <c r="E215" s="2225"/>
      <c r="F215" s="2230"/>
      <c r="G215" s="2233"/>
      <c r="H215" s="2237"/>
      <c r="I215" s="2237"/>
      <c r="J215" s="1972">
        <f>IFERROR(VLOOKUP(B215,DG!A:F,6,0),3000)</f>
        <v>3000</v>
      </c>
      <c r="K215" s="1973">
        <f>IF(J215&lt;2000,COUNTIF($B$2:B215,B215),0)</f>
        <v>0</v>
      </c>
      <c r="L215" s="1430"/>
      <c r="N215" s="1285"/>
    </row>
    <row r="216" spans="1:14" ht="25.2" customHeight="1">
      <c r="A216" s="2170">
        <f>COUNTIF($K$1:K216,1)</f>
        <v>1</v>
      </c>
      <c r="B216" s="2281">
        <f t="shared" si="3"/>
        <v>0</v>
      </c>
      <c r="E216" s="2225"/>
      <c r="F216" s="2230"/>
      <c r="G216" s="2233"/>
      <c r="H216" s="2237"/>
      <c r="I216" s="2237"/>
      <c r="J216" s="1972">
        <f>IFERROR(VLOOKUP(B216,DG!A:F,6,0),3000)</f>
        <v>3000</v>
      </c>
      <c r="K216" s="1973">
        <f>IF(J216&lt;2000,COUNTIF($B$2:B216,B216),0)</f>
        <v>0</v>
      </c>
      <c r="L216" s="1430"/>
    </row>
    <row r="217" spans="1:14" ht="25.2" customHeight="1">
      <c r="A217" s="2170">
        <f>COUNTIF($K$1:K217,1)</f>
        <v>1</v>
      </c>
      <c r="B217" s="2281">
        <f t="shared" si="3"/>
        <v>0</v>
      </c>
      <c r="E217" s="2225"/>
      <c r="F217" s="2230"/>
      <c r="G217" s="2233"/>
      <c r="H217" s="2237"/>
      <c r="I217" s="2237"/>
      <c r="J217" s="1972">
        <f>IFERROR(VLOOKUP(B217,DG!A:F,6,0),3000)</f>
        <v>3000</v>
      </c>
      <c r="K217" s="1973">
        <f>IF(J217&lt;2000,COUNTIF($B$2:B217,B217),0)</f>
        <v>0</v>
      </c>
      <c r="L217" s="1430"/>
      <c r="N217" s="1285"/>
    </row>
    <row r="218" spans="1:14" ht="25.2" customHeight="1">
      <c r="A218" s="2170">
        <f>COUNTIF($K$1:K218,1)</f>
        <v>1</v>
      </c>
      <c r="B218" s="2281">
        <f t="shared" si="3"/>
        <v>0</v>
      </c>
      <c r="E218" s="2225"/>
      <c r="F218" s="2230"/>
      <c r="G218" s="2233"/>
      <c r="H218" s="2237"/>
      <c r="I218" s="2237"/>
      <c r="J218" s="1972">
        <f>IFERROR(VLOOKUP(B218,DG!A:F,6,0),3000)</f>
        <v>3000</v>
      </c>
      <c r="K218" s="1973">
        <f>IF(J218&lt;2000,COUNTIF($B$2:B218,B218),0)</f>
        <v>0</v>
      </c>
      <c r="L218" s="1430"/>
      <c r="N218" s="1285"/>
    </row>
    <row r="219" spans="1:14" ht="25.2" customHeight="1">
      <c r="A219" s="2170">
        <f>COUNTIF($K$1:K219,1)</f>
        <v>1</v>
      </c>
      <c r="B219" s="2281">
        <f t="shared" si="3"/>
        <v>0</v>
      </c>
      <c r="E219" s="2240"/>
      <c r="F219" s="2241"/>
      <c r="G219" s="2242"/>
      <c r="H219" s="2242"/>
      <c r="I219" s="2242"/>
      <c r="J219" s="1972">
        <f>IFERROR(VLOOKUP(B219,DG!A:F,6,0),3000)</f>
        <v>3000</v>
      </c>
      <c r="K219" s="1973">
        <f>IF(J219&lt;2000,COUNTIF($B$2:B219,B219),0)</f>
        <v>0</v>
      </c>
    </row>
    <row r="220" spans="1:14" ht="25.2" customHeight="1">
      <c r="A220" s="2170">
        <f>COUNTIF($K$1:K220,1)</f>
        <v>1</v>
      </c>
      <c r="B220" s="2281">
        <f t="shared" si="3"/>
        <v>0</v>
      </c>
      <c r="C220" s="1983"/>
      <c r="D220" s="1984"/>
      <c r="E220" s="2223"/>
      <c r="F220" s="2228"/>
      <c r="G220" s="2234"/>
      <c r="H220" s="2238"/>
      <c r="I220" s="2238"/>
      <c r="J220" s="1972">
        <f>IFERROR(VLOOKUP(B220,DG!A:F,6,0),3000)</f>
        <v>3000</v>
      </c>
      <c r="K220" s="1973">
        <f>IF(J220&lt;2000,COUNTIF($B$2:B220,B220),0)</f>
        <v>0</v>
      </c>
      <c r="L220" s="1430"/>
      <c r="N220" s="1285"/>
    </row>
    <row r="221" spans="1:14" ht="25.2" customHeight="1">
      <c r="A221" s="2170">
        <f>COUNTIF($K$1:K221,1)</f>
        <v>1</v>
      </c>
      <c r="B221" s="2281">
        <f t="shared" si="3"/>
        <v>0</v>
      </c>
      <c r="C221" s="1983"/>
      <c r="D221" s="1984"/>
      <c r="E221" s="2223"/>
      <c r="F221" s="2228"/>
      <c r="G221" s="2234"/>
      <c r="H221" s="2238"/>
      <c r="I221" s="2238"/>
      <c r="J221" s="1972">
        <f>IFERROR(VLOOKUP(B221,DG!A:F,6,0),3000)</f>
        <v>3000</v>
      </c>
      <c r="K221" s="1973">
        <f>IF(J221&lt;2000,COUNTIF($B$2:B221,B221),0)</f>
        <v>0</v>
      </c>
      <c r="L221" s="1430"/>
    </row>
    <row r="222" spans="1:14" ht="25.2" customHeight="1">
      <c r="A222" s="2170">
        <f>COUNTIF($K$1:K222,1)</f>
        <v>1</v>
      </c>
      <c r="B222" s="2281">
        <f t="shared" si="3"/>
        <v>0</v>
      </c>
      <c r="E222" s="2225"/>
      <c r="F222" s="2230"/>
      <c r="G222" s="2233"/>
      <c r="H222" s="2237"/>
      <c r="I222" s="2237"/>
      <c r="J222" s="1972">
        <f>IFERROR(VLOOKUP(B222,DG!A:F,6,0),3000)</f>
        <v>3000</v>
      </c>
      <c r="K222" s="1973">
        <f>IF(J222&lt;2000,COUNTIF($B$2:B222,B222),0)</f>
        <v>0</v>
      </c>
      <c r="L222" s="1430"/>
    </row>
    <row r="223" spans="1:14" ht="25.2" customHeight="1">
      <c r="A223" s="2170">
        <f>COUNTIF($K$1:K223,1)</f>
        <v>1</v>
      </c>
      <c r="B223" s="2281">
        <f t="shared" si="3"/>
        <v>0</v>
      </c>
      <c r="C223" s="1983"/>
      <c r="D223" s="1984"/>
      <c r="E223" s="2223"/>
      <c r="F223" s="2228"/>
      <c r="G223" s="2234"/>
      <c r="H223" s="2238"/>
      <c r="I223" s="2238"/>
      <c r="J223" s="1972">
        <f>IFERROR(VLOOKUP(B223,DG!A:F,6,0),3000)</f>
        <v>3000</v>
      </c>
      <c r="K223" s="1973">
        <f>IF(J223&lt;2000,COUNTIF($B$2:B223,B223),0)</f>
        <v>0</v>
      </c>
      <c r="L223" s="1430"/>
    </row>
    <row r="224" spans="1:14" ht="25.2" customHeight="1">
      <c r="A224" s="2170">
        <f>COUNTIF($K$1:K224,1)</f>
        <v>1</v>
      </c>
      <c r="B224" s="2281">
        <f t="shared" si="3"/>
        <v>0</v>
      </c>
      <c r="C224" s="1983"/>
      <c r="D224" s="1984"/>
      <c r="E224" s="2223"/>
      <c r="F224" s="2228"/>
      <c r="G224" s="2234"/>
      <c r="H224" s="2238"/>
      <c r="I224" s="2238"/>
      <c r="J224" s="1972">
        <f>IFERROR(VLOOKUP(B224,DG!A:F,6,0),3000)</f>
        <v>3000</v>
      </c>
      <c r="K224" s="1973">
        <f>IF(J224&lt;2000,COUNTIF($B$2:B224,B224),0)</f>
        <v>0</v>
      </c>
      <c r="L224" s="1430"/>
      <c r="N224" s="1285"/>
    </row>
    <row r="225" spans="1:15" ht="25.2" customHeight="1">
      <c r="A225" s="2170">
        <f>COUNTIF($K$1:K225,1)</f>
        <v>1</v>
      </c>
      <c r="B225" s="2281">
        <f t="shared" si="3"/>
        <v>0</v>
      </c>
      <c r="C225" s="2079"/>
      <c r="D225" s="2080"/>
      <c r="E225" s="2223"/>
      <c r="F225" s="2228"/>
      <c r="G225" s="2234"/>
      <c r="H225" s="2238"/>
      <c r="I225" s="2238"/>
      <c r="J225" s="1972">
        <f>IFERROR(VLOOKUP(B225,DG!A:F,6,0),3000)</f>
        <v>3000</v>
      </c>
      <c r="K225" s="1973">
        <f>IF(J225&lt;2000,COUNTIF($B$2:B225,B225),0)</f>
        <v>0</v>
      </c>
      <c r="L225" s="1991"/>
      <c r="M225" s="1992"/>
      <c r="N225" s="1993"/>
      <c r="O225" s="1992"/>
    </row>
    <row r="226" spans="1:15" ht="25.2" customHeight="1">
      <c r="A226" s="2170">
        <f>COUNTIF($K$1:K226,1)</f>
        <v>1</v>
      </c>
      <c r="B226" s="2281">
        <f t="shared" si="3"/>
        <v>0</v>
      </c>
      <c r="C226" s="1983"/>
      <c r="D226" s="1984"/>
      <c r="E226" s="2223"/>
      <c r="F226" s="2228"/>
      <c r="G226" s="2234"/>
      <c r="H226" s="2238"/>
      <c r="I226" s="2238"/>
      <c r="J226" s="1972">
        <f>IFERROR(VLOOKUP(B226,DG!A:F,6,0),3000)</f>
        <v>3000</v>
      </c>
      <c r="K226" s="1973">
        <f>IF(J226&lt;2000,COUNTIF($B$2:B226,B226),0)</f>
        <v>0</v>
      </c>
      <c r="L226" s="1430"/>
    </row>
    <row r="227" spans="1:15" ht="25.2" customHeight="1">
      <c r="A227" s="2170">
        <f>COUNTIF($K$1:K227,1)</f>
        <v>1</v>
      </c>
      <c r="B227" s="2281">
        <f t="shared" si="3"/>
        <v>0</v>
      </c>
      <c r="C227" s="1983"/>
      <c r="D227" s="1984"/>
      <c r="E227" s="2223"/>
      <c r="F227" s="2228"/>
      <c r="G227" s="2234"/>
      <c r="H227" s="2238"/>
      <c r="I227" s="2238"/>
      <c r="J227" s="1972">
        <f>IFERROR(VLOOKUP(B227,DG!A:F,6,0),3000)</f>
        <v>3000</v>
      </c>
      <c r="K227" s="1973">
        <f>IF(J227&lt;2000,COUNTIF($B$2:B227,B227),0)</f>
        <v>0</v>
      </c>
      <c r="L227" s="1430"/>
    </row>
    <row r="228" spans="1:15" ht="25.2" customHeight="1">
      <c r="A228" s="2170">
        <f>COUNTIF($K$1:K228,1)</f>
        <v>1</v>
      </c>
      <c r="B228" s="2281">
        <f t="shared" si="3"/>
        <v>0</v>
      </c>
      <c r="C228" s="1983"/>
      <c r="D228" s="1984"/>
      <c r="E228" s="2223"/>
      <c r="F228" s="2228"/>
      <c r="G228" s="2234"/>
      <c r="H228" s="2238"/>
      <c r="I228" s="2238"/>
      <c r="J228" s="1972">
        <f>IFERROR(VLOOKUP(B228,DG!A:F,6,0),3000)</f>
        <v>3000</v>
      </c>
      <c r="K228" s="1973">
        <f>IF(J228&lt;2000,COUNTIF($B$2:B228,B228),0)</f>
        <v>0</v>
      </c>
      <c r="L228" s="1430"/>
    </row>
    <row r="229" spans="1:15" ht="25.2" customHeight="1">
      <c r="A229" s="2170">
        <f>COUNTIF($K$1:K229,1)</f>
        <v>1</v>
      </c>
      <c r="B229" s="2281">
        <f t="shared" si="3"/>
        <v>0</v>
      </c>
      <c r="C229" s="1983"/>
      <c r="D229" s="1984"/>
      <c r="E229" s="2223"/>
      <c r="F229" s="2228"/>
      <c r="G229" s="2234"/>
      <c r="H229" s="2238"/>
      <c r="I229" s="2238"/>
      <c r="J229" s="1972">
        <f>IFERROR(VLOOKUP(B229,DG!A:F,6,0),3000)</f>
        <v>3000</v>
      </c>
      <c r="K229" s="1973">
        <f>IF(J229&lt;2000,COUNTIF($B$2:B229,B229),0)</f>
        <v>0</v>
      </c>
      <c r="L229" s="1430"/>
    </row>
    <row r="230" spans="1:15" ht="25.2" customHeight="1">
      <c r="A230" s="2170">
        <f>COUNTIF($K$1:K230,1)</f>
        <v>1</v>
      </c>
      <c r="B230" s="2281">
        <f t="shared" si="3"/>
        <v>0</v>
      </c>
      <c r="C230" s="1983"/>
      <c r="D230" s="1984"/>
      <c r="E230" s="2223"/>
      <c r="F230" s="2228"/>
      <c r="G230" s="2234"/>
      <c r="H230" s="2238"/>
      <c r="I230" s="2238"/>
      <c r="J230" s="1972">
        <f>IFERROR(VLOOKUP(B230,DG!A:F,6,0),3000)</f>
        <v>3000</v>
      </c>
      <c r="K230" s="1973">
        <f>IF(J230&lt;2000,COUNTIF($B$2:B230,B230),0)</f>
        <v>0</v>
      </c>
      <c r="L230" s="1430"/>
    </row>
    <row r="231" spans="1:15" ht="25.2" customHeight="1">
      <c r="A231" s="2170">
        <f>COUNTIF($K$1:K231,1)</f>
        <v>1</v>
      </c>
      <c r="B231" s="2281">
        <f t="shared" si="3"/>
        <v>0</v>
      </c>
      <c r="C231" s="1989"/>
      <c r="D231" s="1990"/>
      <c r="E231" s="2240"/>
      <c r="F231" s="2241"/>
      <c r="G231" s="2242"/>
      <c r="H231" s="2242"/>
      <c r="I231" s="2242"/>
      <c r="J231" s="1972">
        <f>IFERROR(VLOOKUP(B231,DG!A:F,6,0),3000)</f>
        <v>3000</v>
      </c>
      <c r="K231" s="1973">
        <f>IF(J231&lt;2000,COUNTIF($B$2:B231,B231),0)</f>
        <v>0</v>
      </c>
      <c r="L231" s="2242"/>
      <c r="M231" s="1992"/>
      <c r="N231" s="1993"/>
      <c r="O231" s="1992"/>
    </row>
    <row r="232" spans="1:15" ht="25.2" customHeight="1">
      <c r="A232" s="2170">
        <f>COUNTIF($K$1:K232,1)</f>
        <v>1</v>
      </c>
      <c r="B232" s="2281">
        <f t="shared" si="3"/>
        <v>0</v>
      </c>
      <c r="E232" s="2240"/>
      <c r="F232" s="2241"/>
      <c r="G232" s="2242"/>
      <c r="H232" s="2242"/>
      <c r="I232" s="2242"/>
      <c r="J232" s="1972">
        <f>IFERROR(VLOOKUP(B232,DG!A:F,6,0),3000)</f>
        <v>3000</v>
      </c>
      <c r="K232" s="1973">
        <f>IF(J232&lt;2000,COUNTIF($B$2:B232,B232),0)</f>
        <v>0</v>
      </c>
    </row>
    <row r="233" spans="1:15" ht="25.2" customHeight="1">
      <c r="A233" s="2170">
        <f>COUNTIF($K$1:K233,1)</f>
        <v>1</v>
      </c>
      <c r="B233" s="2281">
        <f t="shared" si="3"/>
        <v>0</v>
      </c>
      <c r="J233" s="1972">
        <f>IFERROR(VLOOKUP(B233,DG!A:F,6,0),3000)</f>
        <v>3000</v>
      </c>
      <c r="K233" s="1973">
        <f>IF(J233&lt;2000,COUNTIF($B$2:B233,B233),0)</f>
        <v>0</v>
      </c>
    </row>
    <row r="234" spans="1:15" ht="25.2" customHeight="1">
      <c r="A234" s="2170">
        <f>COUNTIF($K$1:K234,1)</f>
        <v>1</v>
      </c>
      <c r="B234" s="2281">
        <f t="shared" si="3"/>
        <v>0</v>
      </c>
      <c r="J234" s="1972">
        <f>IFERROR(VLOOKUP(B234,DG!A:F,6,0),3000)</f>
        <v>3000</v>
      </c>
      <c r="K234" s="1973">
        <f>IF(J234&lt;2000,COUNTIF($B$2:B234,B234),0)</f>
        <v>0</v>
      </c>
    </row>
    <row r="235" spans="1:15" ht="25.2" customHeight="1">
      <c r="A235" s="2170">
        <f>COUNTIF($K$1:K235,1)</f>
        <v>1</v>
      </c>
      <c r="B235" s="2281">
        <f t="shared" si="3"/>
        <v>0</v>
      </c>
      <c r="J235" s="1972">
        <f>IFERROR(VLOOKUP(B235,DG!A:F,6,0),3000)</f>
        <v>3000</v>
      </c>
      <c r="K235" s="1973">
        <f>IF(J235&lt;2000,COUNTIF($B$2:B235,B235),0)</f>
        <v>0</v>
      </c>
    </row>
    <row r="236" spans="1:15" ht="25.2" customHeight="1">
      <c r="A236" s="2170">
        <f>COUNTIF($K$1:K236,1)</f>
        <v>1</v>
      </c>
      <c r="B236" s="2281">
        <f t="shared" si="3"/>
        <v>0</v>
      </c>
      <c r="J236" s="1972">
        <f>IFERROR(VLOOKUP(B236,DG!A:F,6,0),3000)</f>
        <v>3000</v>
      </c>
      <c r="K236" s="1973">
        <f>IF(J236&lt;2000,COUNTIF($B$2:B236,B236),0)</f>
        <v>0</v>
      </c>
    </row>
    <row r="237" spans="1:15" ht="25.2" customHeight="1">
      <c r="A237" s="2170">
        <f>COUNTIF($K$1:K237,1)</f>
        <v>1</v>
      </c>
      <c r="B237" s="2281">
        <f t="shared" si="3"/>
        <v>0</v>
      </c>
      <c r="J237" s="1972">
        <f>IFERROR(VLOOKUP(B237,DG!A:F,6,0),3000)</f>
        <v>3000</v>
      </c>
      <c r="K237" s="1973">
        <f>IF(J237&lt;2000,COUNTIF($B$2:B237,B237),0)</f>
        <v>0</v>
      </c>
    </row>
    <row r="238" spans="1:15" ht="25.2" customHeight="1">
      <c r="A238" s="2170">
        <f>COUNTIF($K$1:K238,1)</f>
        <v>1</v>
      </c>
      <c r="B238" s="2281">
        <f t="shared" si="3"/>
        <v>0</v>
      </c>
      <c r="J238" s="1972">
        <f>IFERROR(VLOOKUP(B238,DG!A:F,6,0),3000)</f>
        <v>3000</v>
      </c>
      <c r="K238" s="1973">
        <f>IF(J238&lt;2000,COUNTIF($B$2:B238,B238),0)</f>
        <v>0</v>
      </c>
    </row>
    <row r="239" spans="1:15" ht="25.2" customHeight="1">
      <c r="A239" s="2170">
        <f>COUNTIF($K$1:K239,1)</f>
        <v>1</v>
      </c>
      <c r="B239" s="2281">
        <f t="shared" si="3"/>
        <v>0</v>
      </c>
      <c r="J239" s="1972">
        <f>IFERROR(VLOOKUP(B239,DG!A:F,6,0),3000)</f>
        <v>3000</v>
      </c>
      <c r="K239" s="1973">
        <f>IF(J239&lt;2000,COUNTIF($B$2:B239,B239),0)</f>
        <v>0</v>
      </c>
    </row>
    <row r="240" spans="1:15" ht="25.2" customHeight="1">
      <c r="A240" s="2170">
        <f>COUNTIF($K$1:K240,1)</f>
        <v>1</v>
      </c>
      <c r="B240" s="2281">
        <f t="shared" si="3"/>
        <v>0</v>
      </c>
      <c r="J240" s="1972">
        <f>IFERROR(VLOOKUP(B240,DG!A:F,6,0),3000)</f>
        <v>3000</v>
      </c>
      <c r="K240" s="1973">
        <f>IF(J240&lt;2000,COUNTIF($B$2:B240,B240),0)</f>
        <v>0</v>
      </c>
    </row>
    <row r="241" spans="1:14" ht="25.2" customHeight="1">
      <c r="A241" s="2170">
        <f>COUNTIF($K$1:K241,1)</f>
        <v>1</v>
      </c>
      <c r="B241" s="2281">
        <f t="shared" si="3"/>
        <v>0</v>
      </c>
      <c r="J241" s="1972">
        <f>IFERROR(VLOOKUP(B241,DG!A:F,6,0),3000)</f>
        <v>3000</v>
      </c>
      <c r="K241" s="1973">
        <f>IF(J241&lt;2000,COUNTIF($B$2:B241,B241),0)</f>
        <v>0</v>
      </c>
    </row>
    <row r="242" spans="1:14" ht="25.2" customHeight="1">
      <c r="A242" s="2170">
        <f>COUNTIF($K$1:K242,1)</f>
        <v>1</v>
      </c>
      <c r="B242" s="2281">
        <f t="shared" si="3"/>
        <v>0</v>
      </c>
      <c r="J242" s="1972">
        <f>IFERROR(VLOOKUP(B242,DG!A:F,6,0),3000)</f>
        <v>3000</v>
      </c>
      <c r="K242" s="1973">
        <f>IF(J242&lt;2000,COUNTIF($B$2:B242,B242),0)</f>
        <v>0</v>
      </c>
    </row>
    <row r="243" spans="1:14" ht="25.2" customHeight="1">
      <c r="A243" s="2170">
        <f>COUNTIF($K$1:K243,1)</f>
        <v>1</v>
      </c>
      <c r="B243" s="2281">
        <f t="shared" si="3"/>
        <v>0</v>
      </c>
      <c r="J243" s="1972">
        <f>IFERROR(VLOOKUP(B243,DG!A:F,6,0),3000)</f>
        <v>3000</v>
      </c>
      <c r="K243" s="1973">
        <f>IF(J243&lt;2000,COUNTIF($B$2:B243,B243),0)</f>
        <v>0</v>
      </c>
    </row>
    <row r="244" spans="1:14" ht="25.2" customHeight="1">
      <c r="A244" s="2170">
        <f>COUNTIF($K$1:K244,1)</f>
        <v>1</v>
      </c>
      <c r="B244" s="2281">
        <f t="shared" si="3"/>
        <v>0</v>
      </c>
      <c r="J244" s="1972">
        <f>IFERROR(VLOOKUP(B244,DG!A:F,6,0),3000)</f>
        <v>3000</v>
      </c>
      <c r="K244" s="1973">
        <f>IF(J244&lt;2000,COUNTIF($B$2:B244,B244),0)</f>
        <v>0</v>
      </c>
      <c r="N244" s="1285"/>
    </row>
    <row r="245" spans="1:14" ht="25.2" customHeight="1">
      <c r="A245" s="2170">
        <f>COUNTIF($K$1:K245,1)</f>
        <v>1</v>
      </c>
      <c r="B245" s="2281">
        <f t="shared" si="3"/>
        <v>0</v>
      </c>
      <c r="J245" s="1972">
        <f>IFERROR(VLOOKUP(B245,DG!A:F,6,0),3000)</f>
        <v>3000</v>
      </c>
      <c r="K245" s="1973">
        <f>IF(J245&lt;2000,COUNTIF($B$2:B245,B245),0)</f>
        <v>0</v>
      </c>
    </row>
    <row r="246" spans="1:14" ht="25.2" customHeight="1">
      <c r="A246" s="2170">
        <f>COUNTIF($K$1:K246,1)</f>
        <v>1</v>
      </c>
      <c r="B246" s="2281">
        <f t="shared" si="3"/>
        <v>0</v>
      </c>
      <c r="J246" s="1972">
        <f>IFERROR(VLOOKUP(B246,DG!A:F,6,0),3000)</f>
        <v>3000</v>
      </c>
      <c r="K246" s="1973">
        <f>IF(J246&lt;2000,COUNTIF($B$2:B246,B246),0)</f>
        <v>0</v>
      </c>
      <c r="N246" s="1285"/>
    </row>
    <row r="247" spans="1:14" ht="25.2" customHeight="1">
      <c r="A247" s="2170">
        <f>COUNTIF($K$1:K247,1)</f>
        <v>1</v>
      </c>
      <c r="B247" s="2281">
        <f t="shared" si="3"/>
        <v>0</v>
      </c>
      <c r="J247" s="1972">
        <f>IFERROR(VLOOKUP(B247,DG!A:F,6,0),3000)</f>
        <v>3000</v>
      </c>
      <c r="K247" s="1973">
        <f>IF(J247&lt;2000,COUNTIF($B$2:B247,B247),0)</f>
        <v>0</v>
      </c>
    </row>
    <row r="248" spans="1:14" ht="25.2" customHeight="1">
      <c r="A248" s="2170">
        <f>COUNTIF($K$1:K248,1)</f>
        <v>1</v>
      </c>
      <c r="B248" s="2281">
        <f t="shared" si="3"/>
        <v>0</v>
      </c>
      <c r="J248" s="1972">
        <f>IFERROR(VLOOKUP(B248,DG!A:F,6,0),3000)</f>
        <v>3000</v>
      </c>
      <c r="K248" s="1973">
        <f>IF(J248&lt;2000,COUNTIF($B$2:B248,B248),0)</f>
        <v>0</v>
      </c>
    </row>
    <row r="249" spans="1:14" ht="25.2" customHeight="1">
      <c r="A249" s="2170">
        <f>COUNTIF($K$1:K249,1)</f>
        <v>1</v>
      </c>
      <c r="B249" s="2281">
        <f t="shared" si="3"/>
        <v>0</v>
      </c>
      <c r="J249" s="1972">
        <f>IFERROR(VLOOKUP(B249,DG!A:F,6,0),3000)</f>
        <v>3000</v>
      </c>
      <c r="K249" s="1973">
        <f>IF(J249&lt;2000,COUNTIF($B$2:B249,B249),0)</f>
        <v>0</v>
      </c>
    </row>
    <row r="250" spans="1:14" ht="25.2" customHeight="1">
      <c r="A250" s="2170">
        <f>COUNTIF($K$1:K250,1)</f>
        <v>1</v>
      </c>
      <c r="B250" s="2281">
        <f t="shared" si="3"/>
        <v>0</v>
      </c>
      <c r="J250" s="1972">
        <f>IFERROR(VLOOKUP(B250,DG!A:F,6,0),3000)</f>
        <v>3000</v>
      </c>
      <c r="K250" s="1973">
        <f>IF(J250&lt;2000,COUNTIF($B$2:B250,B250),0)</f>
        <v>0</v>
      </c>
      <c r="N250" s="1285"/>
    </row>
    <row r="251" spans="1:14" ht="25.2" customHeight="1">
      <c r="A251" s="2170">
        <f>COUNTIF($K$1:K251,1)</f>
        <v>1</v>
      </c>
      <c r="B251" s="2281">
        <f t="shared" si="3"/>
        <v>0</v>
      </c>
      <c r="J251" s="1972">
        <f>IFERROR(VLOOKUP(B251,DG!A:F,6,0),3000)</f>
        <v>3000</v>
      </c>
      <c r="K251" s="1973">
        <f>IF(J251&lt;2000,COUNTIF($B$2:B251,B251),0)</f>
        <v>0</v>
      </c>
    </row>
    <row r="252" spans="1:14" ht="25.2" customHeight="1">
      <c r="A252" s="2170">
        <f>COUNTIF($K$1:K252,1)</f>
        <v>1</v>
      </c>
      <c r="B252" s="2281">
        <f t="shared" si="3"/>
        <v>0</v>
      </c>
      <c r="J252" s="1972">
        <f>IFERROR(VLOOKUP(B252,DG!A:F,6,0),3000)</f>
        <v>3000</v>
      </c>
      <c r="K252" s="1973">
        <f>IF(J252&lt;2000,COUNTIF($B$2:B252,B252),0)</f>
        <v>0</v>
      </c>
    </row>
    <row r="253" spans="1:14" ht="25.2" customHeight="1">
      <c r="A253" s="2170">
        <f>COUNTIF($K$1:K253,1)</f>
        <v>1</v>
      </c>
      <c r="B253" s="2281">
        <f t="shared" si="3"/>
        <v>0</v>
      </c>
      <c r="J253" s="1972">
        <f>IFERROR(VLOOKUP(B253,DG!A:F,6,0),3000)</f>
        <v>3000</v>
      </c>
      <c r="K253" s="1973">
        <f>IF(J253&lt;2000,COUNTIF($B$2:B253,B253),0)</f>
        <v>0</v>
      </c>
    </row>
    <row r="254" spans="1:14" ht="25.2" customHeight="1">
      <c r="A254" s="2170">
        <f>COUNTIF($K$1:K254,1)</f>
        <v>2</v>
      </c>
      <c r="B254" s="2281">
        <f t="shared" si="3"/>
        <v>1</v>
      </c>
      <c r="C254" s="1983"/>
      <c r="D254" s="1984">
        <f>'Du thau'!C11</f>
        <v>1</v>
      </c>
      <c r="E254" s="2223">
        <f>'Du thau'!D11</f>
        <v>3</v>
      </c>
      <c r="F254" s="2228" t="str">
        <f>'Du thau'!F11</f>
        <v>Dây điện CV mềm 2x4mm2: 8m/bảng (đi bên trong trụ chiếu sáng luồn ra)</v>
      </c>
      <c r="G254" s="2234" t="str">
        <f>'Du thau'!G11</f>
        <v>mét</v>
      </c>
      <c r="H254" s="2238">
        <f>'Du thau'!H11</f>
        <v>340</v>
      </c>
      <c r="I254" s="2238">
        <f>'Du thau'!BE11</f>
        <v>340</v>
      </c>
      <c r="J254" s="1972">
        <f>IFERROR(VLOOKUP(B254,DG!A:F,6,0),3000)</f>
        <v>50</v>
      </c>
      <c r="K254" s="1973">
        <f>IF(J254&lt;2000,COUNTIF($B$2:B254,B254),0)</f>
        <v>1</v>
      </c>
      <c r="L254" s="1430"/>
    </row>
    <row r="255" spans="1:14" ht="25.2" customHeight="1">
      <c r="A255" s="2170">
        <f>COUNTIF($K$1:K255,1)</f>
        <v>2</v>
      </c>
      <c r="B255" s="2281">
        <f t="shared" si="3"/>
        <v>2</v>
      </c>
      <c r="C255" s="1983"/>
      <c r="D255" s="1984">
        <f>'Du thau'!C23</f>
        <v>2</v>
      </c>
      <c r="E255" s="2223">
        <f>'Du thau'!D23</f>
        <v>14</v>
      </c>
      <c r="F255" s="2228" t="str">
        <f>'Du thau'!F23</f>
        <v>Dây điện nguồn 2x1,5mm2</v>
      </c>
      <c r="G255" s="2236" t="str">
        <f>'Du thau'!G23</f>
        <v>m</v>
      </c>
      <c r="H255" s="2239">
        <f>'Du thau'!H23</f>
        <v>320</v>
      </c>
      <c r="I255" s="2237">
        <f>'Du thau'!BE23</f>
        <v>320</v>
      </c>
      <c r="J255" s="1972">
        <f>IFERROR(VLOOKUP(B255,DG!A:F,6,0),3000)</f>
        <v>3000</v>
      </c>
      <c r="K255" s="1973">
        <f>IF(J255&lt;2000,COUNTIF($B$2:B255,B255),0)</f>
        <v>0</v>
      </c>
      <c r="L255" s="1430"/>
    </row>
    <row r="256" spans="1:14" ht="25.2" customHeight="1">
      <c r="A256" s="2170">
        <f>COUNTIF($K$1:K256,1)</f>
        <v>2</v>
      </c>
      <c r="B256" s="2281">
        <f t="shared" si="3"/>
        <v>3</v>
      </c>
      <c r="C256" s="1983"/>
      <c r="D256" s="1984">
        <f>'Du thau'!C25</f>
        <v>3</v>
      </c>
      <c r="E256" s="2223">
        <f>'Du thau'!D25</f>
        <v>16</v>
      </c>
      <c r="F256" s="2228" t="str">
        <f>'Du thau'!F25</f>
        <v>Dây điện nguồn CVV 3.5</v>
      </c>
      <c r="G256" s="2234" t="str">
        <f>'Du thau'!G25</f>
        <v>m</v>
      </c>
      <c r="H256" s="2238">
        <f>'Du thau'!H25</f>
        <v>2000</v>
      </c>
      <c r="I256" s="2238">
        <f>'Du thau'!BE25</f>
        <v>2000</v>
      </c>
      <c r="J256" s="1972">
        <f>IFERROR(VLOOKUP(B256,DG!A:F,6,0),3000)</f>
        <v>3000</v>
      </c>
      <c r="K256" s="1973">
        <f>IF(J256&lt;2000,COUNTIF($B$2:B256,B256),0)</f>
        <v>0</v>
      </c>
      <c r="L256" s="1430"/>
    </row>
    <row r="257" spans="1:15" ht="25.2" customHeight="1">
      <c r="A257" s="2170">
        <f>COUNTIF($K$1:K257,1)</f>
        <v>2</v>
      </c>
      <c r="B257" s="2281">
        <f t="shared" si="3"/>
        <v>5</v>
      </c>
      <c r="C257" s="1989"/>
      <c r="D257" s="1990">
        <f>'Du thau'!C10</f>
        <v>5</v>
      </c>
      <c r="E257" s="2225">
        <f>'Du thau'!D10</f>
        <v>2</v>
      </c>
      <c r="F257" s="2228" t="str">
        <f>'Du thau'!F10</f>
        <v>Ống ruột gà xám Ø20: 08 mét/ bảng</v>
      </c>
      <c r="G257" s="2234" t="str">
        <f>'Du thau'!G10</f>
        <v>mét</v>
      </c>
      <c r="H257" s="2238">
        <f>'Du thau'!H10</f>
        <v>340</v>
      </c>
      <c r="I257" s="2237">
        <f>'Du thau'!BE10</f>
        <v>340</v>
      </c>
      <c r="J257" s="1972">
        <f>IFERROR(VLOOKUP(B257,DG!A:F,6,0),3000)</f>
        <v>3000</v>
      </c>
      <c r="K257" s="1973">
        <f>IF(J257&lt;2000,COUNTIF($B$2:B257,B257),0)</f>
        <v>0</v>
      </c>
      <c r="L257" s="1991"/>
      <c r="M257" s="1992"/>
      <c r="N257" s="1993"/>
      <c r="O257" s="1992"/>
    </row>
    <row r="258" spans="1:15" ht="25.2" customHeight="1">
      <c r="A258" s="2170">
        <f>COUNTIF($K$1:K258,1)</f>
        <v>2</v>
      </c>
      <c r="B258" s="2281">
        <f t="shared" ref="B258:B272" si="4">D258</f>
        <v>6</v>
      </c>
      <c r="C258" s="1983"/>
      <c r="D258" s="1984">
        <f>'Du thau'!C14</f>
        <v>6</v>
      </c>
      <c r="E258" s="2223">
        <f>'Du thau'!D14</f>
        <v>5</v>
      </c>
      <c r="F258" s="2228" t="str">
        <f>'Du thau'!F14</f>
        <v>Cọc tiếp đất Φ16x2400mm mạ đồng</v>
      </c>
      <c r="G258" s="2234" t="str">
        <f>'Du thau'!G14</f>
        <v>cọc</v>
      </c>
      <c r="H258" s="2238">
        <f>'Du thau'!H14</f>
        <v>17</v>
      </c>
      <c r="I258" s="2238">
        <f>'Du thau'!BE14</f>
        <v>17</v>
      </c>
      <c r="J258" s="1972">
        <f>IFERROR(VLOOKUP(B258,DG!A:F,6,0),3000)</f>
        <v>3000</v>
      </c>
      <c r="K258" s="1973">
        <f>IF(J258&lt;2000,COUNTIF($B$2:B258,B258),0)</f>
        <v>0</v>
      </c>
      <c r="L258" s="1430"/>
    </row>
    <row r="259" spans="1:15" ht="25.2" customHeight="1">
      <c r="A259" s="2170">
        <f>COUNTIF($K$1:K259,1)</f>
        <v>2</v>
      </c>
      <c r="B259" s="2281">
        <f t="shared" si="4"/>
        <v>7</v>
      </c>
      <c r="D259" s="1977">
        <f>'Du thau'!C15</f>
        <v>7</v>
      </c>
      <c r="E259" s="2240">
        <f>'Du thau'!D15</f>
        <v>6</v>
      </c>
      <c r="F259" s="2517" t="str">
        <f>'Du thau'!F15</f>
        <v>Kẹp cọc tiếp đất đồng</v>
      </c>
      <c r="G259" s="2520" t="str">
        <f>'Du thau'!G15</f>
        <v>cái</v>
      </c>
      <c r="H259" s="2520">
        <f>'Du thau'!H15</f>
        <v>17</v>
      </c>
      <c r="I259" s="2242">
        <f>'Du thau'!BE15</f>
        <v>17</v>
      </c>
      <c r="J259" s="1972">
        <f>IFERROR(VLOOKUP(B259,DG!A:F,6,0),3000)</f>
        <v>3000</v>
      </c>
      <c r="K259" s="1973">
        <f>IF(J259&lt;2000,COUNTIF($B$2:B259,B259),0)</f>
        <v>0</v>
      </c>
    </row>
    <row r="260" spans="1:15" ht="25.2" customHeight="1">
      <c r="A260" s="2170">
        <f>COUNTIF($K$1:K260,1)</f>
        <v>2</v>
      </c>
      <c r="B260" s="2281">
        <f t="shared" si="4"/>
        <v>8</v>
      </c>
      <c r="C260" s="1983"/>
      <c r="D260" s="1984">
        <f>'Du thau'!C16</f>
        <v>8</v>
      </c>
      <c r="E260" s="2223">
        <f>'Du thau'!D16</f>
        <v>7</v>
      </c>
      <c r="F260" s="2518" t="str">
        <f>'Du thau'!F16</f>
        <v>Ốc siết cáp đồng M11mm2</v>
      </c>
      <c r="G260" s="2521" t="str">
        <f>'Du thau'!G16</f>
        <v>cái</v>
      </c>
      <c r="H260" s="2521">
        <f>'Du thau'!H16</f>
        <v>17</v>
      </c>
      <c r="I260" s="2521">
        <f>'Du thau'!BE16</f>
        <v>17</v>
      </c>
      <c r="J260" s="1972">
        <f>IFERROR(VLOOKUP(B260,DG!A:F,6,0),3000)</f>
        <v>3000</v>
      </c>
      <c r="K260" s="1973">
        <f>IF(J260&lt;2000,COUNTIF($B$2:B260,B260),0)</f>
        <v>0</v>
      </c>
      <c r="L260" s="1430"/>
    </row>
    <row r="261" spans="1:15" ht="25.2" customHeight="1">
      <c r="A261" s="2170">
        <f>COUNTIF($K$1:K261,1)</f>
        <v>2</v>
      </c>
      <c r="B261" s="2281">
        <f t="shared" si="4"/>
        <v>9</v>
      </c>
      <c r="D261" s="1977">
        <f>'Du thau'!C17</f>
        <v>9</v>
      </c>
      <c r="E261" s="2240">
        <f>'Du thau'!D17</f>
        <v>8</v>
      </c>
      <c r="F261" s="2517" t="str">
        <f>'Du thau'!F17</f>
        <v>Bulông Φ8x30 + long đền: bắt dây nối đất vào đèn</v>
      </c>
      <c r="G261" s="2520" t="str">
        <f>'Du thau'!G17</f>
        <v>bộ</v>
      </c>
      <c r="H261" s="2520">
        <f>'Du thau'!H17</f>
        <v>17</v>
      </c>
      <c r="I261" s="2242">
        <f>'Du thau'!BE17</f>
        <v>17</v>
      </c>
      <c r="J261" s="1972">
        <f>IFERROR(VLOOKUP(B261,DG!A:F,6,0),3000)</f>
        <v>3000</v>
      </c>
      <c r="K261" s="1973">
        <f>IF(J261&lt;2000,COUNTIF($B$2:B261,B261),0)</f>
        <v>0</v>
      </c>
    </row>
    <row r="262" spans="1:15" ht="25.2" customHeight="1">
      <c r="A262" s="2170">
        <f>COUNTIF($K$1:K262,1)</f>
        <v>2</v>
      </c>
      <c r="B262" s="2281">
        <f t="shared" si="4"/>
        <v>10</v>
      </c>
      <c r="C262" s="1983"/>
      <c r="D262" s="1984">
        <f>'Du thau'!C18</f>
        <v>10</v>
      </c>
      <c r="E262" s="2223">
        <f>'Du thau'!D18</f>
        <v>10</v>
      </c>
      <c r="F262" s="2228" t="str">
        <f>'Du thau'!F18</f>
        <v>Đầu cosse ép đồng Cu11mm2</v>
      </c>
      <c r="G262" s="2234" t="str">
        <f>'Du thau'!G18</f>
        <v>cái</v>
      </c>
      <c r="H262" s="2238">
        <f>'Du thau'!H18</f>
        <v>34</v>
      </c>
      <c r="I262" s="2238">
        <f>'Du thau'!BE18</f>
        <v>34</v>
      </c>
      <c r="J262" s="1972">
        <f>IFERROR(VLOOKUP(B262,DG!A:F,6,0),3000)</f>
        <v>3000</v>
      </c>
      <c r="K262" s="1973">
        <f>IF(J262&lt;2000,COUNTIF($B$2:B262,B262),0)</f>
        <v>0</v>
      </c>
      <c r="L262" s="1430"/>
    </row>
    <row r="263" spans="1:15" ht="25.2" customHeight="1">
      <c r="A263" s="2170">
        <f>COUNTIF($K$1:K263,1)</f>
        <v>2</v>
      </c>
      <c r="B263" s="2281">
        <f t="shared" si="4"/>
        <v>11</v>
      </c>
      <c r="D263" s="1977">
        <f>'Du thau'!C22</f>
        <v>11</v>
      </c>
      <c r="E263" s="2240">
        <f>'Du thau'!D22</f>
        <v>13</v>
      </c>
      <c r="F263" s="2465" t="str">
        <f>'Du thau'!F22</f>
        <v>Nguồn cấp Camera</v>
      </c>
      <c r="G263" s="2519" t="str">
        <f>'Du thau'!G22</f>
        <v>Bộ</v>
      </c>
      <c r="H263" s="2519">
        <f>'Du thau'!H22</f>
        <v>16</v>
      </c>
      <c r="I263" s="2242">
        <f>'Du thau'!BE22</f>
        <v>16</v>
      </c>
      <c r="J263" s="1972">
        <f>IFERROR(VLOOKUP(B263,DG!A:F,6,0),3000)</f>
        <v>3000</v>
      </c>
      <c r="K263" s="1973">
        <f>IF(J263&lt;2000,COUNTIF($B$2:B263,B263),0)</f>
        <v>0</v>
      </c>
      <c r="L263" s="1430"/>
    </row>
    <row r="264" spans="1:15" ht="25.2" customHeight="1">
      <c r="A264" s="2170">
        <f>COUNTIF($K$1:K264,1)</f>
        <v>2</v>
      </c>
      <c r="B264" s="2281">
        <f t="shared" si="4"/>
        <v>12</v>
      </c>
      <c r="D264" s="1977">
        <f>'Du thau'!C24</f>
        <v>12</v>
      </c>
      <c r="E264" s="2240">
        <f>'Du thau'!D24</f>
        <v>15</v>
      </c>
      <c r="F264" s="2465" t="str">
        <f>'Du thau'!F24</f>
        <v>Hộp nhựa bảo vệ nguồn</v>
      </c>
      <c r="G264" s="2519" t="str">
        <f>'Du thau'!G24</f>
        <v>bộ</v>
      </c>
      <c r="H264" s="2519">
        <f>'Du thau'!H24</f>
        <v>16</v>
      </c>
      <c r="I264" s="2242">
        <f>'Du thau'!BE24</f>
        <v>16</v>
      </c>
      <c r="J264" s="1972">
        <f>IFERROR(VLOOKUP(B264,DG!A:F,6,0),3000)</f>
        <v>3000</v>
      </c>
      <c r="K264" s="1973">
        <f>IF(J264&lt;2000,COUNTIF($B$2:B264,B264),0)</f>
        <v>0</v>
      </c>
    </row>
    <row r="265" spans="1:15" ht="25.2" customHeight="1">
      <c r="A265" s="2170">
        <f>COUNTIF($K$1:K265,1)</f>
        <v>2</v>
      </c>
      <c r="B265" s="2281">
        <f t="shared" si="4"/>
        <v>13</v>
      </c>
      <c r="D265" s="1977">
        <f>'Du thau'!C26</f>
        <v>13</v>
      </c>
      <c r="E265" s="2225">
        <f>'Du thau'!D26</f>
        <v>17</v>
      </c>
      <c r="F265" s="2228" t="str">
        <f>'Du thau'!F26</f>
        <v>Ống nhựa PVC-D21 bảo vệ dây nguồn (cây dài 4m)</v>
      </c>
      <c r="G265" s="2234" t="str">
        <f>'Du thau'!G26</f>
        <v>cây</v>
      </c>
      <c r="H265" s="2238">
        <f>'Du thau'!H26</f>
        <v>275</v>
      </c>
      <c r="I265" s="2237">
        <f>'Du thau'!BE26</f>
        <v>275</v>
      </c>
      <c r="J265" s="1972">
        <f>IFERROR(VLOOKUP(B265,DG!A:F,6,0),3000)</f>
        <v>3000</v>
      </c>
      <c r="K265" s="1973">
        <f>IF(J265&lt;2000,COUNTIF($B$2:B265,B265),0)</f>
        <v>0</v>
      </c>
      <c r="L265" s="1430"/>
    </row>
    <row r="266" spans="1:15" ht="25.2" customHeight="1">
      <c r="A266" s="2170">
        <f>COUNTIF($K$1:K266,1)</f>
        <v>2</v>
      </c>
      <c r="B266" s="2281">
        <f t="shared" si="4"/>
        <v>14</v>
      </c>
      <c r="C266" s="1983"/>
      <c r="D266" s="1984">
        <f>'Du thau'!C27</f>
        <v>14</v>
      </c>
      <c r="E266" s="2223">
        <f>'Du thau'!D27</f>
        <v>18</v>
      </c>
      <c r="F266" s="2228" t="str">
        <f>'Du thau'!F27</f>
        <v>Nối chữ T</v>
      </c>
      <c r="G266" s="2236" t="str">
        <f>'Du thau'!G27</f>
        <v>cái</v>
      </c>
      <c r="H266" s="2239">
        <f>'Du thau'!H27</f>
        <v>68</v>
      </c>
      <c r="I266" s="2237">
        <f>'Du thau'!BE27</f>
        <v>68</v>
      </c>
      <c r="J266" s="1972">
        <f>IFERROR(VLOOKUP(B266,DG!A:F,6,0),3000)</f>
        <v>3000</v>
      </c>
      <c r="K266" s="1973">
        <f>IF(J266&lt;2000,COUNTIF($B$2:B266,B266),0)</f>
        <v>0</v>
      </c>
      <c r="L266" s="1430"/>
    </row>
    <row r="267" spans="1:15" ht="25.2" customHeight="1">
      <c r="A267" s="2170">
        <f>COUNTIF($K$1:K267,1)</f>
        <v>2</v>
      </c>
      <c r="B267" s="2281">
        <f t="shared" si="4"/>
        <v>15</v>
      </c>
      <c r="C267" s="1983"/>
      <c r="D267" s="1984">
        <f>'Du thau'!C28</f>
        <v>15</v>
      </c>
      <c r="E267" s="2223">
        <f>'Du thau'!D28</f>
        <v>19</v>
      </c>
      <c r="F267" s="2228" t="str">
        <f>'Du thau'!F28</f>
        <v>Co nối</v>
      </c>
      <c r="G267" s="2234" t="str">
        <f>'Du thau'!G28</f>
        <v>bộ</v>
      </c>
      <c r="H267" s="2238">
        <f>'Du thau'!H28</f>
        <v>68</v>
      </c>
      <c r="I267" s="2238">
        <f>'Du thau'!BE28</f>
        <v>68</v>
      </c>
      <c r="J267" s="1972">
        <f>IFERROR(VLOOKUP(B267,DG!A:F,6,0),3000)</f>
        <v>3000</v>
      </c>
      <c r="K267" s="1973">
        <f>IF(J267&lt;2000,COUNTIF($B$2:B267,B267),0)</f>
        <v>0</v>
      </c>
      <c r="L267" s="1430"/>
    </row>
    <row r="268" spans="1:15" ht="25.2" customHeight="1">
      <c r="A268" s="2170">
        <f>COUNTIF($K$1:K268,1)</f>
        <v>2</v>
      </c>
      <c r="B268" s="2281">
        <f t="shared" si="4"/>
        <v>16</v>
      </c>
      <c r="C268" s="1975"/>
      <c r="D268" s="1979">
        <f>'Du thau'!C29</f>
        <v>16</v>
      </c>
      <c r="E268" s="2226">
        <f>'Du thau'!D29</f>
        <v>20</v>
      </c>
      <c r="F268" s="2231" t="str">
        <f>'Du thau'!F29</f>
        <v>Tủ điện lưu trữ</v>
      </c>
      <c r="G268" s="2236" t="str">
        <f>'Du thau'!G29</f>
        <v>bộ</v>
      </c>
      <c r="H268" s="2239">
        <f>'Du thau'!H29</f>
        <v>2</v>
      </c>
      <c r="I268" s="2460">
        <f>'Du thau'!BE29</f>
        <v>2</v>
      </c>
      <c r="J268" s="1972">
        <f>IFERROR(VLOOKUP(B268,DG!A:F,6,0),3000)</f>
        <v>3000</v>
      </c>
      <c r="K268" s="1973">
        <f>IF(J268&lt;2000,COUNTIF($B$2:B268,B268),0)</f>
        <v>0</v>
      </c>
      <c r="L268" s="1430"/>
    </row>
    <row r="269" spans="1:15" ht="25.2" customHeight="1">
      <c r="A269" s="2170">
        <f>COUNTIF($K$1:K269,1)</f>
        <v>2</v>
      </c>
      <c r="B269" s="2281">
        <f t="shared" si="4"/>
        <v>17</v>
      </c>
      <c r="C269" s="2159"/>
      <c r="D269" s="2160">
        <f>'Du thau'!C31</f>
        <v>17</v>
      </c>
      <c r="E269" s="2226">
        <f>'Du thau'!D31</f>
        <v>22</v>
      </c>
      <c r="F269" s="2231" t="str">
        <f>'Du thau'!F31</f>
        <v>Xi bi sử dụng cho màn hình Led</v>
      </c>
      <c r="G269" s="2236" t="str">
        <f>'Du thau'!G31</f>
        <v>cái</v>
      </c>
      <c r="H269" s="2239">
        <f>'Du thau'!H31</f>
        <v>16</v>
      </c>
      <c r="I269" s="2238">
        <f>'Du thau'!$BE$31</f>
        <v>16</v>
      </c>
      <c r="J269" s="1972">
        <f>IFERROR(VLOOKUP(B269,DG!A:F,6,0),3000)</f>
        <v>3000</v>
      </c>
      <c r="K269" s="1973">
        <f>IF(J269&lt;2000,COUNTIF($B$2:B269,B269),0)</f>
        <v>0</v>
      </c>
      <c r="L269" s="1991"/>
      <c r="M269" s="1992"/>
      <c r="N269" s="1993"/>
      <c r="O269" s="1992"/>
    </row>
    <row r="270" spans="1:15" ht="25.2" customHeight="1">
      <c r="A270" s="2170">
        <f>COUNTIF($K$1:K270,1)</f>
        <v>3</v>
      </c>
      <c r="B270" s="2281">
        <f t="shared" si="4"/>
        <v>18</v>
      </c>
      <c r="C270" s="1983"/>
      <c r="D270" s="1984">
        <f>'Du thau'!C33</f>
        <v>18</v>
      </c>
      <c r="E270" s="2223">
        <f>'Du thau'!D33</f>
        <v>23</v>
      </c>
      <c r="F270" s="2228" t="str">
        <f>'Du thau'!F33</f>
        <v>Led dây 50X50mm (20m một trụ) (sử dụng nguồn điện 220V.</v>
      </c>
      <c r="G270" s="2234" t="str">
        <f>'Du thau'!G33</f>
        <v>m</v>
      </c>
      <c r="H270" s="2238">
        <f>'Du thau'!H33</f>
        <v>680</v>
      </c>
      <c r="I270" s="2238">
        <f>'Du thau'!BE33</f>
        <v>680</v>
      </c>
      <c r="J270" s="1972">
        <v>10</v>
      </c>
      <c r="K270" s="1973">
        <f>IF(J270&lt;2000,COUNTIF($B$2:B270,B270),0)</f>
        <v>1</v>
      </c>
      <c r="L270" s="1430"/>
    </row>
    <row r="271" spans="1:15" ht="25.2" customHeight="1">
      <c r="A271" s="2170">
        <f>COUNTIF($K$1:K271,1)</f>
        <v>3</v>
      </c>
      <c r="B271" s="2281">
        <f t="shared" si="4"/>
        <v>19</v>
      </c>
      <c r="C271" s="1983"/>
      <c r="D271" s="1984">
        <f>'Du thau'!C34</f>
        <v>19</v>
      </c>
      <c r="E271" s="2516">
        <f>'Du thau'!D34</f>
        <v>24</v>
      </c>
      <c r="F271" s="2465" t="str">
        <f>'Du thau'!F34</f>
        <v>Bộ chuyển đổi nguồn điện AC sang nguồn điện DC</v>
      </c>
      <c r="G271" s="2519" t="str">
        <f>'Du thau'!G34</f>
        <v>bộ</v>
      </c>
      <c r="H271" s="2519">
        <f>'Du thau'!H34</f>
        <v>34</v>
      </c>
      <c r="I271" s="2519">
        <f>'Du thau'!BE34</f>
        <v>34</v>
      </c>
      <c r="J271" s="1972">
        <f>IFERROR(VLOOKUP(B271,DG!A:F,6,0),3000)</f>
        <v>3000</v>
      </c>
      <c r="K271" s="1973">
        <f>IF(J271&lt;2000,COUNTIF($B$2:B271,B271),0)</f>
        <v>0</v>
      </c>
      <c r="L271" s="1430"/>
    </row>
    <row r="272" spans="1:15" ht="25.2" customHeight="1">
      <c r="A272" s="2170">
        <f>COUNTIF($K$1:K272,1)</f>
        <v>4</v>
      </c>
      <c r="B272" s="2281">
        <f t="shared" si="4"/>
        <v>20</v>
      </c>
      <c r="C272" s="1983"/>
      <c r="D272" s="1984">
        <f>'Du thau'!C35</f>
        <v>20</v>
      </c>
      <c r="E272" s="2223">
        <f>'Du thau'!D35</f>
        <v>25</v>
      </c>
      <c r="F272" s="2228" t="str">
        <f>'Du thau'!F35</f>
        <v>Keo alu (500ml/chai)</v>
      </c>
      <c r="G272" s="2233" t="str">
        <f>'Du thau'!G35</f>
        <v>Chai</v>
      </c>
      <c r="H272" s="2237">
        <f>'Du thau'!H35</f>
        <v>34</v>
      </c>
      <c r="I272" s="2237">
        <f>'Du thau'!BE35</f>
        <v>34</v>
      </c>
      <c r="J272" s="1972">
        <v>12</v>
      </c>
      <c r="K272" s="1973">
        <f>IF(J272&lt;2000,COUNTIF($B$2:B272,B272),0)</f>
        <v>1</v>
      </c>
      <c r="L272" s="1430"/>
    </row>
  </sheetData>
  <autoFilter ref="B1:O272" xr:uid="{00000000-0009-0000-0000-000015000000}">
    <sortState xmlns:xlrd2="http://schemas.microsoft.com/office/spreadsheetml/2017/richdata2" ref="B2:O272">
      <sortCondition ref="B1:B272"/>
    </sortState>
  </autoFilter>
  <sortState xmlns:xlrd2="http://schemas.microsoft.com/office/spreadsheetml/2017/richdata2" ref="B2:K203">
    <sortCondition ref="J2:J203"/>
    <sortCondition ref="B2:B203"/>
  </sortState>
  <conditionalFormatting sqref="E2:E3 E204:E1048576">
    <cfRule type="containsText" dxfId="17" priority="20" operator="containsText" text="phần">
      <formula>NOT(ISERROR(SEARCH("phần",E2)))</formula>
    </cfRule>
    <cfRule type="containsText" dxfId="16" priority="21" operator="containsText" text="bộ">
      <formula>NOT(ISERROR(SEARCH("bộ",E2)))</formula>
    </cfRule>
    <cfRule type="containsText" dxfId="15" priority="22" operator="containsText" text="đóng">
      <formula>NOT(ISERROR(SEARCH("đóng",E2)))</formula>
    </cfRule>
    <cfRule type="containsText" dxfId="14" priority="23" operator="containsText" text="kéo">
      <formula>NOT(ISERROR(SEARCH("kéo",E2)))</formula>
    </cfRule>
    <cfRule type="cellIs" dxfId="13" priority="24" operator="equal">
      <formula>"đóng"</formula>
    </cfRule>
    <cfRule type="containsText" dxfId="12" priority="25" operator="containsText" text="đổ">
      <formula>NOT(ISERROR(SEARCH("đổ",E2)))</formula>
    </cfRule>
    <cfRule type="containsText" dxfId="11" priority="26" operator="containsText" text="đắp">
      <formula>NOT(ISERROR(SEARCH("đắp",E2)))</formula>
    </cfRule>
    <cfRule type="containsText" dxfId="10" priority="27" operator="containsText" text="Đào">
      <formula>NOT(ISERROR(SEARCH("Đào",E2)))</formula>
    </cfRule>
  </conditionalFormatting>
  <conditionalFormatting sqref="E4:E203 F53:I54">
    <cfRule type="containsText" dxfId="9" priority="1" operator="containsText" text="phần">
      <formula>NOT(ISERROR(SEARCH("phần",E4)))</formula>
    </cfRule>
    <cfRule type="containsText" dxfId="8" priority="2" operator="containsText" text="bộ">
      <formula>NOT(ISERROR(SEARCH("bộ",E4)))</formula>
    </cfRule>
    <cfRule type="containsText" dxfId="7" priority="3" operator="containsText" text="đóng">
      <formula>NOT(ISERROR(SEARCH("đóng",E4)))</formula>
    </cfRule>
    <cfRule type="containsText" dxfId="6" priority="4" operator="containsText" text="kéo">
      <formula>NOT(ISERROR(SEARCH("kéo",E4)))</formula>
    </cfRule>
    <cfRule type="cellIs" dxfId="5" priority="5" operator="equal">
      <formula>"đóng"</formula>
    </cfRule>
    <cfRule type="containsText" dxfId="4" priority="6" operator="containsText" text="đổ">
      <formula>NOT(ISERROR(SEARCH("đổ",E4)))</formula>
    </cfRule>
    <cfRule type="containsText" dxfId="3" priority="7" operator="containsText" text="đắp">
      <formula>NOT(ISERROR(SEARCH("đắp",E4)))</formula>
    </cfRule>
    <cfRule type="containsText" dxfId="2" priority="8" operator="containsText" text="Đào">
      <formula>NOT(ISERROR(SEARCH("Đào",E4)))</formula>
    </cfRule>
  </conditionalFormatting>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tabColor rgb="FFFFFF00"/>
  </sheetPr>
  <dimension ref="A1:AA140"/>
  <sheetViews>
    <sheetView showZeros="0" topLeftCell="A10" zoomScale="85" zoomScaleNormal="85" workbookViewId="0">
      <selection activeCell="N132" sqref="B1:N132"/>
    </sheetView>
  </sheetViews>
  <sheetFormatPr defaultColWidth="8.90625" defaultRowHeight="24.9" customHeight="1"/>
  <cols>
    <col min="1" max="1" width="12.90625" style="856" customWidth="1"/>
    <col min="2" max="2" width="4.1796875" style="860" customWidth="1"/>
    <col min="3" max="3" width="22.81640625" style="878" customWidth="1"/>
    <col min="4" max="4" width="5.81640625" style="878" customWidth="1"/>
    <col min="5" max="5" width="7.1796875" style="860" customWidth="1"/>
    <col min="6" max="6" width="24.36328125" style="860" hidden="1" customWidth="1"/>
    <col min="7" max="7" width="23.81640625" style="860" hidden="1" customWidth="1"/>
    <col min="8" max="8" width="18.36328125" style="860" hidden="1" customWidth="1"/>
    <col min="9" max="9" width="1" style="860" hidden="1" customWidth="1"/>
    <col min="10" max="10" width="15.54296875" style="860" hidden="1" customWidth="1"/>
    <col min="11" max="11" width="11.1796875" style="879" hidden="1" customWidth="1"/>
    <col min="12" max="12" width="17.26953125" style="860" customWidth="1"/>
    <col min="13" max="13" width="11.179687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40"/>
      <c r="B1" s="2785" t="s">
        <v>4205</v>
      </c>
      <c r="C1" s="2785"/>
      <c r="D1" s="2785"/>
      <c r="E1" s="2785"/>
      <c r="F1" s="2785"/>
      <c r="G1" s="2785"/>
      <c r="H1" s="2785"/>
      <c r="I1" s="2785"/>
      <c r="J1" s="2785"/>
      <c r="K1" s="2786"/>
      <c r="L1" s="2785"/>
      <c r="M1" s="2785"/>
      <c r="N1" s="2785"/>
      <c r="O1" s="1271"/>
      <c r="P1" s="1489"/>
      <c r="Q1" s="1490" t="s">
        <v>4206</v>
      </c>
      <c r="R1" s="1273">
        <v>42358</v>
      </c>
      <c r="S1" s="1274"/>
      <c r="T1" s="1274"/>
      <c r="U1" s="1274"/>
      <c r="V1" s="1274"/>
      <c r="W1" s="1274"/>
      <c r="X1" s="1274"/>
      <c r="Y1" s="1274"/>
      <c r="Z1" s="1274"/>
      <c r="AA1" s="1274"/>
    </row>
    <row r="2" spans="1:27" s="854" customFormat="1" ht="47.4" customHeight="1">
      <c r="A2" s="2140"/>
      <c r="B2" s="1271"/>
      <c r="C2" s="1272" t="str">
        <f>chitiet!E7</f>
        <v>Công trình: Gói Thầu Số 07 (Xây Dựng): Hệ thống pano, đèn led trang trí, camera an ninh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1"/>
      <c r="B3" s="2787" t="str">
        <f>WORD!W2&amp;", ngày            tháng           năm 2020"</f>
        <v>Xuân Lộc, ngày            tháng           năm 2020</v>
      </c>
      <c r="C3" s="2787"/>
      <c r="D3" s="2787"/>
      <c r="E3" s="2787"/>
      <c r="F3" s="2787"/>
      <c r="G3" s="2787"/>
      <c r="H3" s="2788"/>
      <c r="I3" s="2788"/>
      <c r="J3" s="2787"/>
      <c r="K3" s="2789"/>
      <c r="L3" s="2787"/>
      <c r="M3" s="2787"/>
      <c r="N3" s="2787"/>
      <c r="O3" s="987"/>
      <c r="P3" s="987"/>
      <c r="Q3" s="1493"/>
      <c r="R3" s="1277"/>
      <c r="S3" s="1277"/>
      <c r="T3" s="1277"/>
      <c r="U3" s="1277"/>
      <c r="V3" s="1277"/>
      <c r="W3" s="1277"/>
      <c r="X3" s="1277"/>
      <c r="Y3" s="1277"/>
      <c r="Z3" s="1277"/>
      <c r="AA3" s="1277"/>
    </row>
    <row r="4" spans="1:27" s="863" customFormat="1" ht="44.25" customHeight="1">
      <c r="A4" s="1480"/>
      <c r="B4" s="2784" t="s">
        <v>1714</v>
      </c>
      <c r="C4" s="2784" t="s">
        <v>4207</v>
      </c>
      <c r="D4" s="2784" t="s">
        <v>4208</v>
      </c>
      <c r="E4" s="2784" t="s">
        <v>4209</v>
      </c>
      <c r="F4" s="2784" t="s">
        <v>4210</v>
      </c>
      <c r="G4" s="2784" t="s">
        <v>4211</v>
      </c>
      <c r="H4" s="2784" t="s">
        <v>4518</v>
      </c>
      <c r="I4" s="2784"/>
      <c r="J4" s="2784" t="s">
        <v>5316</v>
      </c>
      <c r="K4" s="2790"/>
      <c r="L4" s="2784" t="s">
        <v>5315</v>
      </c>
      <c r="M4" s="2784"/>
      <c r="N4" s="1476" t="s">
        <v>4212</v>
      </c>
      <c r="O4" s="1482"/>
      <c r="P4" s="1439" t="s">
        <v>4504</v>
      </c>
      <c r="Q4" s="1440"/>
      <c r="R4" s="1481"/>
      <c r="S4" s="862"/>
      <c r="T4" s="862"/>
      <c r="U4" s="862"/>
      <c r="V4" s="862"/>
      <c r="W4" s="862"/>
      <c r="X4" s="862"/>
      <c r="Y4" s="862"/>
      <c r="Z4" s="862"/>
      <c r="AA4" s="862"/>
    </row>
    <row r="5" spans="1:27" s="863" customFormat="1" ht="24.9" customHeight="1">
      <c r="A5" s="1480"/>
      <c r="B5" s="2784"/>
      <c r="C5" s="2784"/>
      <c r="D5" s="2784"/>
      <c r="E5" s="2784"/>
      <c r="F5" s="2784"/>
      <c r="G5" s="2784"/>
      <c r="H5" s="1268" t="s">
        <v>4213</v>
      </c>
      <c r="I5" s="1268" t="s">
        <v>4214</v>
      </c>
      <c r="J5" s="1476" t="s">
        <v>4213</v>
      </c>
      <c r="K5" s="1478" t="s">
        <v>4214</v>
      </c>
      <c r="L5" s="1476" t="s">
        <v>4215</v>
      </c>
      <c r="M5" s="1436" t="s">
        <v>4214</v>
      </c>
      <c r="N5" s="1268"/>
      <c r="O5" s="1269">
        <v>1</v>
      </c>
      <c r="P5" s="1442"/>
      <c r="Q5" s="1438"/>
      <c r="R5" s="1481"/>
      <c r="S5" s="862"/>
      <c r="T5" s="862"/>
      <c r="U5" s="862"/>
      <c r="V5" s="862"/>
      <c r="W5" s="862"/>
      <c r="X5" s="862"/>
      <c r="Y5" s="862"/>
      <c r="Z5" s="862"/>
      <c r="AA5" s="862"/>
    </row>
    <row r="6" spans="1:27" s="863" customFormat="1" ht="51" customHeight="1">
      <c r="A6" s="2171">
        <v>1</v>
      </c>
      <c r="B6" s="1736">
        <f>SUM($O$6:O6)</f>
        <v>1</v>
      </c>
      <c r="C6" s="2522" t="str">
        <f>TongHopKL!F254</f>
        <v>Dây điện CV mềm 2x4mm2: 8m/bảng (đi bên trong trụ chiếu sáng luồn ra)</v>
      </c>
      <c r="D6" s="2523" t="str">
        <f>TongHopKL!G254</f>
        <v>mét</v>
      </c>
      <c r="E6" s="2523">
        <f>TongHopKL!H254</f>
        <v>340</v>
      </c>
      <c r="F6" s="2524">
        <f>TongHopKL!I254</f>
        <v>340</v>
      </c>
      <c r="G6" s="1736" t="str">
        <f>IFERROR(VLOOKUP(A6,Solieu!G:M,3,0),"")</f>
        <v/>
      </c>
      <c r="H6" s="1736"/>
      <c r="I6" s="1740"/>
      <c r="J6" s="1741" t="str">
        <f>IFERROR(VLOOKUP(A6,Solieu!G:M,4,0),"")</f>
        <v/>
      </c>
      <c r="K6" s="1742" t="str">
        <f>IFERROR(VLOOKUP(A6,Solieu!G:M,5,0),"")</f>
        <v/>
      </c>
      <c r="L6" s="1955" t="str">
        <f>IFERROR(VLOOKUP(A6,'Du thau'!C:BM,62,0),"")</f>
        <v>201365/BB-TNĐ</v>
      </c>
      <c r="M6" s="1740">
        <f>IFERROR(VLOOKUP(A6,'Du thau'!C:BM,63,0),"")</f>
        <v>43915</v>
      </c>
      <c r="N6" s="1268" t="s">
        <v>4217</v>
      </c>
      <c r="O6" s="1483">
        <f>IF(ISERROR(C6),"",1)</f>
        <v>1</v>
      </c>
      <c r="P6" s="52">
        <f>VLOOKUP(A6,TongHopKL!D:M,8,0)</f>
        <v>1</v>
      </c>
      <c r="Q6" s="1441"/>
      <c r="R6" s="1484"/>
      <c r="S6" s="864"/>
      <c r="T6" s="864"/>
      <c r="U6" s="862"/>
      <c r="V6" s="862"/>
      <c r="W6" s="862"/>
      <c r="X6" s="862"/>
      <c r="Y6" s="862"/>
      <c r="Z6" s="862"/>
      <c r="AA6" s="862"/>
    </row>
    <row r="7" spans="1:27" s="863" customFormat="1" ht="35.1" customHeight="1">
      <c r="A7" s="2171">
        <v>2</v>
      </c>
      <c r="B7" s="1736">
        <f>SUM($O$6:O7)</f>
        <v>2</v>
      </c>
      <c r="C7" s="2522" t="str">
        <f>TongHopKL!F255</f>
        <v>Dây điện nguồn 2x1,5mm2</v>
      </c>
      <c r="D7" s="2523" t="str">
        <f>TongHopKL!G255</f>
        <v>m</v>
      </c>
      <c r="E7" s="2523">
        <f>TongHopKL!H255</f>
        <v>320</v>
      </c>
      <c r="F7" s="2524">
        <f>TongHopKL!I255</f>
        <v>320</v>
      </c>
      <c r="G7" s="1736" t="str">
        <f>IFERROR(VLOOKUP(A7,Solieu!G:M,3,0),"")</f>
        <v/>
      </c>
      <c r="H7" s="1736"/>
      <c r="I7" s="1740"/>
      <c r="J7" s="1741" t="str">
        <f>IFERROR(VLOOKUP(A7,Solieu!G:M,4,0),"")</f>
        <v/>
      </c>
      <c r="K7" s="1742" t="str">
        <f>IFERROR(VLOOKUP(A7,Solieu!G:M,5,0),"")</f>
        <v/>
      </c>
      <c r="L7" s="1955" t="str">
        <f>IFERROR(VLOOKUP(A7,'Du thau'!C:BM,62,0),"")</f>
        <v>201366/BB-TNĐ</v>
      </c>
      <c r="M7" s="1740">
        <f>IFERROR(VLOOKUP(A7,'Du thau'!C:BM,63,0),"")</f>
        <v>43915</v>
      </c>
      <c r="N7" s="1268" t="s">
        <v>4217</v>
      </c>
      <c r="O7" s="1483">
        <f t="shared" ref="O7:O70" si="0">IF(ISERROR(C7),"",1)</f>
        <v>1</v>
      </c>
      <c r="P7" s="52">
        <f>VLOOKUP(A7,TongHopKL!D:M,8,0)</f>
        <v>0</v>
      </c>
      <c r="Q7" s="1441"/>
      <c r="R7" s="1484"/>
      <c r="S7" s="864"/>
      <c r="T7" s="865"/>
      <c r="U7" s="862"/>
      <c r="V7" s="862"/>
      <c r="W7" s="862"/>
      <c r="X7" s="862"/>
      <c r="Y7" s="862"/>
      <c r="Z7" s="862"/>
      <c r="AA7" s="862"/>
    </row>
    <row r="8" spans="1:27" s="863" customFormat="1" ht="35.1" customHeight="1">
      <c r="A8" s="2171">
        <v>3</v>
      </c>
      <c r="B8" s="1736">
        <f>SUM($O$6:O8)</f>
        <v>3</v>
      </c>
      <c r="C8" s="2522" t="str">
        <f>TongHopKL!F256</f>
        <v>Dây điện nguồn CVV 3.5</v>
      </c>
      <c r="D8" s="2523" t="str">
        <f>TongHopKL!G256</f>
        <v>m</v>
      </c>
      <c r="E8" s="2523">
        <f>TongHopKL!H256</f>
        <v>2000</v>
      </c>
      <c r="F8" s="2524">
        <f>TongHopKL!I256</f>
        <v>2000</v>
      </c>
      <c r="G8" s="1736" t="str">
        <f>IFERROR(VLOOKUP(A8,Solieu!G:M,3,0),"")</f>
        <v/>
      </c>
      <c r="H8" s="1736"/>
      <c r="I8" s="1740"/>
      <c r="J8" s="1741" t="str">
        <f>IFERROR(VLOOKUP(A8,Solieu!G:M,4,0),"")</f>
        <v/>
      </c>
      <c r="K8" s="1742" t="str">
        <f>IFERROR(VLOOKUP(A8,Solieu!G:M,5,0),"")</f>
        <v/>
      </c>
      <c r="L8" s="1955" t="str">
        <f>IFERROR(VLOOKUP(A8,'Du thau'!C:BM,62,0),"")</f>
        <v>201364/BB-TNĐ</v>
      </c>
      <c r="M8" s="1740">
        <f>IFERROR(VLOOKUP(A8,'Du thau'!C:BM,63,0),"")</f>
        <v>43915</v>
      </c>
      <c r="N8" s="1268" t="s">
        <v>4217</v>
      </c>
      <c r="O8" s="1483">
        <f t="shared" si="0"/>
        <v>1</v>
      </c>
      <c r="P8" s="52">
        <f>VLOOKUP(A8,TongHopKL!D:M,8,0)</f>
        <v>0</v>
      </c>
      <c r="Q8" s="1441"/>
      <c r="R8" s="1484"/>
      <c r="S8" s="864"/>
      <c r="T8" s="865"/>
      <c r="U8" s="862"/>
      <c r="V8" s="862"/>
      <c r="W8" s="862"/>
      <c r="X8" s="862"/>
      <c r="Y8" s="862"/>
      <c r="Z8" s="862"/>
      <c r="AA8" s="862"/>
    </row>
    <row r="9" spans="1:27" s="863" customFormat="1" ht="35.1" customHeight="1">
      <c r="A9" s="2171">
        <v>4</v>
      </c>
      <c r="B9" s="1736">
        <f>SUM($O$6:O9)</f>
        <v>4</v>
      </c>
      <c r="C9" s="2522" t="str">
        <f>TongHopKL!F257</f>
        <v>Ống ruột gà xám Ø20: 08 mét/ bảng</v>
      </c>
      <c r="D9" s="2523" t="str">
        <f>TongHopKL!G257</f>
        <v>mét</v>
      </c>
      <c r="E9" s="2523">
        <f>TongHopKL!H257</f>
        <v>340</v>
      </c>
      <c r="F9" s="2524">
        <f>TongHopKL!I257</f>
        <v>340</v>
      </c>
      <c r="G9" s="1736" t="str">
        <f>IFERROR(VLOOKUP(A9,Solieu!G:M,3,0),"")</f>
        <v/>
      </c>
      <c r="H9" s="1736"/>
      <c r="I9" s="1740"/>
      <c r="J9" s="1741" t="str">
        <f>IFERROR(VLOOKUP(A9,Solieu!G:M,4,0),"")</f>
        <v/>
      </c>
      <c r="K9" s="1742" t="str">
        <f>IFERROR(VLOOKUP(A9,Solieu!G:M,5,0),"")</f>
        <v/>
      </c>
      <c r="L9" s="1955" t="str">
        <f>IFERROR(VLOOKUP(A9,'Du thau'!C:BM,62,0),"")</f>
        <v/>
      </c>
      <c r="M9" s="1740" t="str">
        <f>IFERROR(VLOOKUP(A9,'Du thau'!C:BM,63,0),"")</f>
        <v/>
      </c>
      <c r="N9" s="1268" t="s">
        <v>4217</v>
      </c>
      <c r="O9" s="1483">
        <f t="shared" si="0"/>
        <v>1</v>
      </c>
      <c r="P9" s="52" t="e">
        <f>VLOOKUP(A9,TongHopKL!D:M,8,0)</f>
        <v>#N/A</v>
      </c>
      <c r="Q9" s="1441"/>
      <c r="R9" s="1481"/>
      <c r="S9" s="862"/>
      <c r="T9" s="865"/>
      <c r="U9" s="862"/>
      <c r="V9" s="862"/>
      <c r="W9" s="862"/>
      <c r="X9" s="862"/>
      <c r="Y9" s="862"/>
      <c r="Z9" s="862"/>
      <c r="AA9" s="862"/>
    </row>
    <row r="10" spans="1:27" s="863" customFormat="1" ht="35.1" customHeight="1">
      <c r="A10" s="2171">
        <v>5</v>
      </c>
      <c r="B10" s="1736">
        <f>SUM($O$6:O10)</f>
        <v>5</v>
      </c>
      <c r="C10" s="2522" t="str">
        <f>TongHopKL!F258</f>
        <v>Cọc tiếp đất Φ16x2400mm mạ đồng</v>
      </c>
      <c r="D10" s="2523" t="str">
        <f>TongHopKL!G258</f>
        <v>cọc</v>
      </c>
      <c r="E10" s="2523">
        <f>TongHopKL!H258</f>
        <v>17</v>
      </c>
      <c r="F10" s="2524">
        <f>TongHopKL!I258</f>
        <v>17</v>
      </c>
      <c r="G10" s="1736" t="str">
        <f>IFERROR(VLOOKUP(A10,Solieu!G:M,3,0),"")</f>
        <v/>
      </c>
      <c r="H10" s="1736"/>
      <c r="I10" s="1740"/>
      <c r="J10" s="1741" t="str">
        <f>IFERROR(VLOOKUP(A10,Solieu!G:M,4,0),"")</f>
        <v/>
      </c>
      <c r="K10" s="1742" t="str">
        <f>IFERROR(VLOOKUP(A10,Solieu!G:M,5,0),"")</f>
        <v/>
      </c>
      <c r="L10" s="1955">
        <f>IFERROR(VLOOKUP(A10,'Du thau'!C:BM,62,0),"")</f>
        <v>0</v>
      </c>
      <c r="M10" s="1740">
        <f>IFERROR(VLOOKUP(A10,'Du thau'!C:BM,63,0),"")</f>
        <v>0</v>
      </c>
      <c r="N10" s="1268" t="s">
        <v>4217</v>
      </c>
      <c r="O10" s="1483">
        <f t="shared" si="0"/>
        <v>1</v>
      </c>
      <c r="P10" s="52">
        <f>VLOOKUP(A10,TongHopKL!D:M,8,0)</f>
        <v>0</v>
      </c>
      <c r="Q10" s="1441"/>
      <c r="R10" s="1481"/>
      <c r="S10" s="862"/>
      <c r="T10" s="865"/>
      <c r="U10" s="862"/>
      <c r="V10" s="862"/>
      <c r="W10" s="862"/>
      <c r="X10" s="862"/>
      <c r="Y10" s="862"/>
      <c r="Z10" s="862"/>
      <c r="AA10" s="862"/>
    </row>
    <row r="11" spans="1:27" s="1267" customFormat="1" ht="35.1" customHeight="1">
      <c r="A11" s="2171">
        <v>6</v>
      </c>
      <c r="B11" s="1736">
        <f>SUM($O$6:O11)</f>
        <v>6</v>
      </c>
      <c r="C11" s="2522" t="str">
        <f>TongHopKL!F259</f>
        <v>Kẹp cọc tiếp đất đồng</v>
      </c>
      <c r="D11" s="2523" t="str">
        <f>TongHopKL!G259</f>
        <v>cái</v>
      </c>
      <c r="E11" s="2523">
        <f>TongHopKL!H259</f>
        <v>17</v>
      </c>
      <c r="F11" s="2524">
        <f>TongHopKL!I259</f>
        <v>17</v>
      </c>
      <c r="G11" s="1736" t="str">
        <f>IFERROR(VLOOKUP(A11,Solieu!G:M,3,0),"")</f>
        <v/>
      </c>
      <c r="H11" s="1736"/>
      <c r="I11" s="1740"/>
      <c r="J11" s="1741" t="str">
        <f>IFERROR(VLOOKUP(A11,Solieu!G:M,4,0),"")</f>
        <v/>
      </c>
      <c r="K11" s="1742" t="str">
        <f>IFERROR(VLOOKUP(A11,Solieu!G:M,5,0),"")</f>
        <v/>
      </c>
      <c r="L11" s="1955">
        <f>IFERROR(VLOOKUP(A11,'Du thau'!C:BM,62,0),"")</f>
        <v>0</v>
      </c>
      <c r="M11" s="1740">
        <f>IFERROR(VLOOKUP(A11,'Du thau'!C:BM,63,0),"")</f>
        <v>0</v>
      </c>
      <c r="N11" s="1268" t="s">
        <v>4217</v>
      </c>
      <c r="O11" s="1483">
        <f t="shared" si="0"/>
        <v>1</v>
      </c>
      <c r="P11" s="52">
        <f>VLOOKUP(A11,TongHopKL!D:M,8,0)</f>
        <v>0</v>
      </c>
      <c r="Q11" s="1441"/>
      <c r="R11" s="1266"/>
      <c r="S11" s="1265"/>
      <c r="T11" s="1265"/>
      <c r="U11" s="1265"/>
      <c r="V11" s="1265"/>
      <c r="W11" s="1265"/>
      <c r="X11" s="1265"/>
      <c r="Y11" s="1265"/>
      <c r="Z11" s="1265"/>
      <c r="AA11" s="1265"/>
    </row>
    <row r="12" spans="1:27" s="1267" customFormat="1" ht="35.1" customHeight="1">
      <c r="A12" s="2171">
        <v>7</v>
      </c>
      <c r="B12" s="1736">
        <f>SUM($O$6:O12)</f>
        <v>7</v>
      </c>
      <c r="C12" s="2522" t="str">
        <f>TongHopKL!F260</f>
        <v>Ốc siết cáp đồng M11mm2</v>
      </c>
      <c r="D12" s="2523" t="str">
        <f>TongHopKL!G260</f>
        <v>cái</v>
      </c>
      <c r="E12" s="2523">
        <f>TongHopKL!H260</f>
        <v>17</v>
      </c>
      <c r="F12" s="2524">
        <f>TongHopKL!I260</f>
        <v>17</v>
      </c>
      <c r="G12" s="1736" t="str">
        <f>IFERROR(VLOOKUP(A12,Solieu!G:M,3,0),"")</f>
        <v/>
      </c>
      <c r="H12" s="1736"/>
      <c r="I12" s="1740"/>
      <c r="J12" s="1741" t="str">
        <f>IFERROR(VLOOKUP(A12,Solieu!G:M,4,0),"")</f>
        <v/>
      </c>
      <c r="K12" s="1742" t="str">
        <f>IFERROR(VLOOKUP(A12,Solieu!G:M,5,0),"")</f>
        <v/>
      </c>
      <c r="L12" s="1955">
        <f>IFERROR(VLOOKUP(A12,'Du thau'!C:BM,62,0),"")</f>
        <v>0</v>
      </c>
      <c r="M12" s="1740">
        <f>IFERROR(VLOOKUP(A12,'Du thau'!C:BM,63,0),"")</f>
        <v>0</v>
      </c>
      <c r="N12" s="1268" t="s">
        <v>4217</v>
      </c>
      <c r="O12" s="1483">
        <f t="shared" si="0"/>
        <v>1</v>
      </c>
      <c r="P12" s="52">
        <f>VLOOKUP(A12,TongHopKL!D:M,8,0)</f>
        <v>0</v>
      </c>
      <c r="Q12" s="1441"/>
      <c r="R12" s="1266"/>
      <c r="S12" s="1265"/>
      <c r="T12" s="1265"/>
      <c r="U12" s="1265"/>
      <c r="V12" s="1265"/>
      <c r="W12" s="1265"/>
      <c r="X12" s="1265"/>
      <c r="Y12" s="1265"/>
      <c r="Z12" s="1265"/>
      <c r="AA12" s="1265"/>
    </row>
    <row r="13" spans="1:27" s="1267" customFormat="1" ht="35.1" customHeight="1">
      <c r="A13" s="2171">
        <v>8</v>
      </c>
      <c r="B13" s="1736">
        <f>SUM($O$6:O13)</f>
        <v>8</v>
      </c>
      <c r="C13" s="2522" t="str">
        <f>TongHopKL!F261</f>
        <v>Bulông Φ8x30 + long đền: bắt dây nối đất vào đèn</v>
      </c>
      <c r="D13" s="2523" t="str">
        <f>TongHopKL!G261</f>
        <v>bộ</v>
      </c>
      <c r="E13" s="2523">
        <f>TongHopKL!H261</f>
        <v>17</v>
      </c>
      <c r="F13" s="2524">
        <f>TongHopKL!I261</f>
        <v>17</v>
      </c>
      <c r="G13" s="1736" t="str">
        <f>IFERROR(VLOOKUP(A13,Solieu!G:M,3,0),"")</f>
        <v/>
      </c>
      <c r="H13" s="1736"/>
      <c r="I13" s="1740"/>
      <c r="J13" s="1741" t="str">
        <f>IFERROR(VLOOKUP(A13,Solieu!G:M,4,0),"")</f>
        <v/>
      </c>
      <c r="K13" s="1742" t="str">
        <f>IFERROR(VLOOKUP(A13,Solieu!G:M,5,0),"")</f>
        <v/>
      </c>
      <c r="L13" s="1955">
        <f>IFERROR(VLOOKUP(A13,'Du thau'!C:BM,62,0),"")</f>
        <v>0</v>
      </c>
      <c r="M13" s="1740">
        <f>IFERROR(VLOOKUP(A13,'Du thau'!C:BM,63,0),"")</f>
        <v>0</v>
      </c>
      <c r="N13" s="1268" t="s">
        <v>4217</v>
      </c>
      <c r="O13" s="1483">
        <f t="shared" si="0"/>
        <v>1</v>
      </c>
      <c r="P13" s="52">
        <f>VLOOKUP(A13,TongHopKL!D:M,8,0)</f>
        <v>0</v>
      </c>
      <c r="Q13" s="1441"/>
      <c r="R13" s="1442"/>
      <c r="S13" s="1442"/>
      <c r="T13" s="1270"/>
      <c r="U13" s="1265"/>
      <c r="V13" s="1265"/>
      <c r="W13" s="1265"/>
      <c r="X13" s="1265"/>
      <c r="Y13" s="1265"/>
      <c r="Z13" s="1265"/>
      <c r="AA13" s="1265"/>
    </row>
    <row r="14" spans="1:27" s="863" customFormat="1" ht="35.1" customHeight="1">
      <c r="A14" s="2171">
        <v>9</v>
      </c>
      <c r="B14" s="1736">
        <f>SUM($O$6:O14)</f>
        <v>9</v>
      </c>
      <c r="C14" s="2522" t="str">
        <f>TongHopKL!F262</f>
        <v>Đầu cosse ép đồng Cu11mm2</v>
      </c>
      <c r="D14" s="2523" t="str">
        <f>TongHopKL!G262</f>
        <v>cái</v>
      </c>
      <c r="E14" s="2523">
        <f>TongHopKL!H262</f>
        <v>34</v>
      </c>
      <c r="F14" s="2524">
        <f>TongHopKL!I262</f>
        <v>34</v>
      </c>
      <c r="G14" s="1736" t="str">
        <f>IFERROR(VLOOKUP(A14,Solieu!G:M,3,0),"")</f>
        <v/>
      </c>
      <c r="H14" s="1736"/>
      <c r="I14" s="1740"/>
      <c r="J14" s="1741" t="str">
        <f>IFERROR(VLOOKUP(A14,Solieu!G:M,4,0),"")</f>
        <v/>
      </c>
      <c r="K14" s="1742" t="str">
        <f>IFERROR(VLOOKUP(A14,Solieu!G:M,5,0),"")</f>
        <v/>
      </c>
      <c r="L14" s="1955">
        <f>IFERROR(VLOOKUP(A14,'Du thau'!C:BM,62,0),"")</f>
        <v>0</v>
      </c>
      <c r="M14" s="1740">
        <f>IFERROR(VLOOKUP(A14,'Du thau'!C:BM,63,0),"")</f>
        <v>0</v>
      </c>
      <c r="N14" s="1268" t="s">
        <v>4217</v>
      </c>
      <c r="O14" s="1483">
        <f t="shared" si="0"/>
        <v>1</v>
      </c>
      <c r="P14" s="52">
        <f>VLOOKUP(A14,TongHopKL!D:M,8,0)</f>
        <v>0</v>
      </c>
      <c r="Q14" s="1441"/>
      <c r="R14" s="1484"/>
      <c r="S14" s="864"/>
      <c r="T14" s="865"/>
      <c r="U14" s="862"/>
      <c r="V14" s="862"/>
      <c r="W14" s="862"/>
      <c r="X14" s="862"/>
      <c r="Y14" s="862"/>
      <c r="Z14" s="862"/>
      <c r="AA14" s="862"/>
    </row>
    <row r="15" spans="1:27" s="863" customFormat="1" ht="35.1" customHeight="1">
      <c r="A15" s="2171">
        <v>10</v>
      </c>
      <c r="B15" s="1736">
        <f>SUM($O$6:O15)</f>
        <v>10</v>
      </c>
      <c r="C15" s="2522" t="str">
        <f>TongHopKL!F263</f>
        <v>Nguồn cấp Camera</v>
      </c>
      <c r="D15" s="2523" t="str">
        <f>TongHopKL!G263</f>
        <v>Bộ</v>
      </c>
      <c r="E15" s="2172">
        <f>TongHopKL!H263</f>
        <v>16</v>
      </c>
      <c r="F15" s="2524">
        <f>TongHopKL!I263</f>
        <v>16</v>
      </c>
      <c r="G15" s="1736" t="str">
        <f>IFERROR(VLOOKUP(A15,Solieu!G:M,3,0),"")</f>
        <v/>
      </c>
      <c r="H15" s="1736"/>
      <c r="I15" s="1740"/>
      <c r="J15" s="1741" t="str">
        <f>IFERROR(VLOOKUP(A15,Solieu!G:M,4,0),"")</f>
        <v/>
      </c>
      <c r="K15" s="1742" t="str">
        <f>IFERROR(VLOOKUP(A15,Solieu!G:M,5,0),"")</f>
        <v/>
      </c>
      <c r="L15" s="1955">
        <f>IFERROR(VLOOKUP(A15,'Du thau'!C:BM,62,0),"")</f>
        <v>0</v>
      </c>
      <c r="M15" s="1740">
        <f>IFERROR(VLOOKUP(A15,'Du thau'!C:BM,63,0),"")</f>
        <v>0</v>
      </c>
      <c r="N15" s="1268" t="s">
        <v>4217</v>
      </c>
      <c r="O15" s="1483">
        <f t="shared" si="0"/>
        <v>1</v>
      </c>
      <c r="P15" s="52">
        <f>VLOOKUP(A15,TongHopKL!D:M,8,0)</f>
        <v>0</v>
      </c>
      <c r="Q15" s="1441"/>
      <c r="R15" s="1442"/>
      <c r="S15" s="1443"/>
      <c r="T15" s="862"/>
      <c r="U15" s="862"/>
      <c r="V15" s="862"/>
      <c r="W15" s="862"/>
      <c r="X15" s="862"/>
      <c r="Y15" s="862"/>
      <c r="Z15" s="862"/>
      <c r="AA15" s="862"/>
    </row>
    <row r="16" spans="1:27" s="863" customFormat="1" ht="35.1" customHeight="1">
      <c r="A16" s="2171">
        <v>11</v>
      </c>
      <c r="B16" s="1736">
        <f>SUM($O$6:O16)</f>
        <v>11</v>
      </c>
      <c r="C16" s="2522" t="str">
        <f>TongHopKL!F264</f>
        <v>Hộp nhựa bảo vệ nguồn</v>
      </c>
      <c r="D16" s="2523" t="str">
        <f>TongHopKL!G264</f>
        <v>bộ</v>
      </c>
      <c r="E16" s="2523">
        <f>TongHopKL!H264</f>
        <v>16</v>
      </c>
      <c r="F16" s="2524">
        <f>TongHopKL!I264</f>
        <v>16</v>
      </c>
      <c r="G16" s="1736" t="str">
        <f>IFERROR(VLOOKUP(A16,Solieu!G:M,3,0),"")</f>
        <v/>
      </c>
      <c r="H16" s="1736"/>
      <c r="I16" s="1740"/>
      <c r="J16" s="1741" t="str">
        <f>IFERROR(VLOOKUP(A16,Solieu!G:M,4,0),"")</f>
        <v/>
      </c>
      <c r="K16" s="1742" t="str">
        <f>IFERROR(VLOOKUP(A16,Solieu!G:M,5,0),"")</f>
        <v/>
      </c>
      <c r="L16" s="1955">
        <f>IFERROR(VLOOKUP(A16,'Du thau'!C:BM,62,0),"")</f>
        <v>0</v>
      </c>
      <c r="M16" s="1740">
        <f>IFERROR(VLOOKUP(A16,'Du thau'!C:BM,63,0),"")</f>
        <v>0</v>
      </c>
      <c r="N16" s="1268" t="s">
        <v>4217</v>
      </c>
      <c r="O16" s="1483">
        <f t="shared" si="0"/>
        <v>1</v>
      </c>
      <c r="P16" s="52">
        <f>VLOOKUP(A16,TongHopKL!D:M,8,0)</f>
        <v>0</v>
      </c>
      <c r="Q16" s="1441"/>
      <c r="R16" s="1484"/>
      <c r="S16" s="862"/>
      <c r="T16" s="862"/>
      <c r="U16" s="862"/>
      <c r="V16" s="862"/>
      <c r="W16" s="862"/>
      <c r="X16" s="862"/>
      <c r="Y16" s="862"/>
      <c r="Z16" s="862"/>
      <c r="AA16" s="862"/>
    </row>
    <row r="17" spans="1:27" s="863" customFormat="1" ht="35.1" customHeight="1">
      <c r="A17" s="2171">
        <v>12</v>
      </c>
      <c r="B17" s="1736">
        <f>SUM($O$6:O17)</f>
        <v>12</v>
      </c>
      <c r="C17" s="2522" t="str">
        <f>TongHopKL!F265</f>
        <v>Ống nhựa PVC-D21 bảo vệ dây nguồn (cây dài 4m)</v>
      </c>
      <c r="D17" s="2523" t="str">
        <f>TongHopKL!G265</f>
        <v>cây</v>
      </c>
      <c r="E17" s="2172">
        <f>TongHopKL!H265</f>
        <v>275</v>
      </c>
      <c r="F17" s="2524">
        <f>TongHopKL!I265</f>
        <v>275</v>
      </c>
      <c r="G17" s="1736" t="str">
        <f>IFERROR(VLOOKUP(A17,Solieu!G:M,3,0),"")</f>
        <v/>
      </c>
      <c r="H17" s="1736"/>
      <c r="I17" s="1740"/>
      <c r="J17" s="1741" t="str">
        <f>IFERROR(VLOOKUP(A17,Solieu!G:M,4,0),"")</f>
        <v/>
      </c>
      <c r="K17" s="1742" t="str">
        <f>IFERROR(VLOOKUP(A17,Solieu!G:M,5,0),"")</f>
        <v/>
      </c>
      <c r="L17" s="1955">
        <f>IFERROR(VLOOKUP(A17,'Du thau'!C:BM,62,0),"")</f>
        <v>0</v>
      </c>
      <c r="M17" s="1740">
        <f>IFERROR(VLOOKUP(A17,'Du thau'!C:BM,63,0),"")</f>
        <v>0</v>
      </c>
      <c r="N17" s="1268" t="s">
        <v>4217</v>
      </c>
      <c r="O17" s="1483">
        <f t="shared" si="0"/>
        <v>1</v>
      </c>
      <c r="P17" s="52">
        <f>VLOOKUP(A17,TongHopKL!D:M,8,0)</f>
        <v>0</v>
      </c>
      <c r="Q17" s="1438"/>
      <c r="R17" s="1484"/>
      <c r="S17" s="862"/>
      <c r="T17" s="862"/>
      <c r="U17" s="862"/>
      <c r="V17" s="862"/>
      <c r="W17" s="862"/>
      <c r="X17" s="862"/>
      <c r="Y17" s="862"/>
      <c r="Z17" s="862"/>
      <c r="AA17" s="862"/>
    </row>
    <row r="18" spans="1:27" s="863" customFormat="1" ht="35.1" customHeight="1">
      <c r="A18" s="2171">
        <v>13</v>
      </c>
      <c r="B18" s="1736">
        <f>SUM($O$6:O18)</f>
        <v>13</v>
      </c>
      <c r="C18" s="2522" t="str">
        <f>TongHopKL!F266</f>
        <v>Nối chữ T</v>
      </c>
      <c r="D18" s="2523" t="str">
        <f>TongHopKL!G266</f>
        <v>cái</v>
      </c>
      <c r="E18" s="2172">
        <f>TongHopKL!H266</f>
        <v>68</v>
      </c>
      <c r="F18" s="2524">
        <f>TongHopKL!I266</f>
        <v>68</v>
      </c>
      <c r="G18" s="1736" t="str">
        <f>IFERROR(VLOOKUP(A18,Solieu!G:M,3,0),"")</f>
        <v/>
      </c>
      <c r="H18" s="1736"/>
      <c r="I18" s="1740"/>
      <c r="J18" s="1741" t="str">
        <f>IFERROR(VLOOKUP(A18,Solieu!G:M,4,0),"")</f>
        <v/>
      </c>
      <c r="K18" s="1742" t="str">
        <f>IFERROR(VLOOKUP(A18,Solieu!G:M,5,0),"")</f>
        <v/>
      </c>
      <c r="L18" s="1955">
        <f>IFERROR(VLOOKUP(A18,'Du thau'!C:BM,62,0),"")</f>
        <v>0</v>
      </c>
      <c r="M18" s="1740">
        <f>IFERROR(VLOOKUP(A18,'Du thau'!C:BM,63,0),"")</f>
        <v>0</v>
      </c>
      <c r="N18" s="1268" t="s">
        <v>4217</v>
      </c>
      <c r="O18" s="1483">
        <f t="shared" si="0"/>
        <v>1</v>
      </c>
      <c r="P18" s="52">
        <f>VLOOKUP(A18,TongHopKL!D:M,8,0)</f>
        <v>0</v>
      </c>
      <c r="Q18" s="1438"/>
      <c r="R18" s="1484"/>
      <c r="S18" s="862"/>
      <c r="T18" s="862"/>
      <c r="U18" s="862"/>
      <c r="V18" s="862"/>
      <c r="W18" s="862"/>
      <c r="X18" s="862"/>
      <c r="Y18" s="862"/>
      <c r="Z18" s="862"/>
      <c r="AA18" s="862"/>
    </row>
    <row r="19" spans="1:27" s="863" customFormat="1" ht="35.1" customHeight="1">
      <c r="A19" s="2171">
        <v>14</v>
      </c>
      <c r="B19" s="1736">
        <f>SUM($O$6:O19)</f>
        <v>14</v>
      </c>
      <c r="C19" s="2522" t="str">
        <f>TongHopKL!F267</f>
        <v>Co nối</v>
      </c>
      <c r="D19" s="2523" t="str">
        <f>TongHopKL!G267</f>
        <v>bộ</v>
      </c>
      <c r="E19" s="2523">
        <f>TongHopKL!H267</f>
        <v>68</v>
      </c>
      <c r="F19" s="2524">
        <f>TongHopKL!I267</f>
        <v>68</v>
      </c>
      <c r="G19" s="1736" t="str">
        <f>IFERROR(VLOOKUP(A19,Solieu!G:M,3,0),"")</f>
        <v/>
      </c>
      <c r="H19" s="1736"/>
      <c r="I19" s="1740"/>
      <c r="J19" s="1741" t="str">
        <f>IFERROR(VLOOKUP(A19,Solieu!G:M,4,0),"")</f>
        <v/>
      </c>
      <c r="K19" s="1742" t="str">
        <f>IFERROR(VLOOKUP(A19,Solieu!G:M,5,0),"")</f>
        <v/>
      </c>
      <c r="L19" s="1955">
        <f>IFERROR(VLOOKUP(A19,'Du thau'!C:BM,62,0),"")</f>
        <v>0</v>
      </c>
      <c r="M19" s="1740">
        <f>IFERROR(VLOOKUP(A19,'Du thau'!C:BM,63,0),"")</f>
        <v>0</v>
      </c>
      <c r="N19" s="1268" t="s">
        <v>4217</v>
      </c>
      <c r="O19" s="1483">
        <f t="shared" si="0"/>
        <v>1</v>
      </c>
      <c r="P19" s="52">
        <f>VLOOKUP(A19,TongHopKL!D:M,8,0)</f>
        <v>0</v>
      </c>
      <c r="Q19" s="1438"/>
      <c r="R19" s="1484"/>
      <c r="S19" s="864"/>
      <c r="T19" s="864"/>
      <c r="U19" s="862"/>
      <c r="V19" s="862"/>
      <c r="W19" s="862"/>
      <c r="X19" s="862"/>
      <c r="Y19" s="862"/>
      <c r="Z19" s="862"/>
      <c r="AA19" s="862"/>
    </row>
    <row r="20" spans="1:27" s="863" customFormat="1" ht="35.1" customHeight="1">
      <c r="A20" s="2171">
        <v>15</v>
      </c>
      <c r="B20" s="1736">
        <f>SUM($O$6:O20)</f>
        <v>15</v>
      </c>
      <c r="C20" s="2522" t="str">
        <f>TongHopKL!F268</f>
        <v>Tủ điện lưu trữ</v>
      </c>
      <c r="D20" s="2523" t="str">
        <f>TongHopKL!G268</f>
        <v>bộ</v>
      </c>
      <c r="E20" s="2523">
        <f>TongHopKL!H268</f>
        <v>2</v>
      </c>
      <c r="F20" s="2524">
        <f>TongHopKL!I268</f>
        <v>2</v>
      </c>
      <c r="G20" s="1736" t="str">
        <f>IFERROR(VLOOKUP(A20,Solieu!G:M,3,0),"")</f>
        <v/>
      </c>
      <c r="H20" s="1736"/>
      <c r="I20" s="1740"/>
      <c r="J20" s="1741" t="str">
        <f>IFERROR(VLOOKUP(A20,Solieu!G:M,4,0),"")</f>
        <v/>
      </c>
      <c r="K20" s="1742" t="str">
        <f>IFERROR(VLOOKUP(A20,Solieu!G:M,5,0),"")</f>
        <v/>
      </c>
      <c r="L20" s="1955">
        <f>IFERROR(VLOOKUP(A20,'Du thau'!C:BM,62,0),"")</f>
        <v>0</v>
      </c>
      <c r="M20" s="1740">
        <f>IFERROR(VLOOKUP(A20,'Du thau'!C:BM,63,0),"")</f>
        <v>0</v>
      </c>
      <c r="N20" s="1268" t="s">
        <v>4217</v>
      </c>
      <c r="O20" s="1483">
        <f t="shared" si="0"/>
        <v>1</v>
      </c>
      <c r="P20" s="1264"/>
      <c r="Q20" s="1438"/>
      <c r="R20" s="1484"/>
      <c r="S20" s="864"/>
      <c r="T20" s="865"/>
      <c r="U20" s="862"/>
      <c r="V20" s="862"/>
      <c r="W20" s="862"/>
      <c r="X20" s="862"/>
      <c r="Y20" s="862"/>
      <c r="Z20" s="862"/>
      <c r="AA20" s="862"/>
    </row>
    <row r="21" spans="1:27" s="863" customFormat="1" ht="35.1" customHeight="1">
      <c r="A21" s="2171">
        <v>16</v>
      </c>
      <c r="B21" s="1736">
        <f>SUM($O$6:O21)</f>
        <v>16</v>
      </c>
      <c r="C21" s="2522" t="str">
        <f>TongHopKL!F269</f>
        <v>Xi bi sử dụng cho màn hình Led</v>
      </c>
      <c r="D21" s="2523" t="str">
        <f>TongHopKL!G269</f>
        <v>cái</v>
      </c>
      <c r="E21" s="2523">
        <f>TongHopKL!H269</f>
        <v>16</v>
      </c>
      <c r="F21" s="2524">
        <f>TongHopKL!I269</f>
        <v>16</v>
      </c>
      <c r="G21" s="1736" t="str">
        <f>IFERROR(VLOOKUP(A21,Solieu!G:M,3,0),"")</f>
        <v/>
      </c>
      <c r="H21" s="1736"/>
      <c r="I21" s="1740"/>
      <c r="J21" s="1741" t="str">
        <f>IFERROR(VLOOKUP(A21,Solieu!G:M,4,0),"")</f>
        <v/>
      </c>
      <c r="K21" s="1742" t="str">
        <f>IFERROR(VLOOKUP(A21,Solieu!G:M,5,0),"")</f>
        <v/>
      </c>
      <c r="L21" s="1955">
        <f>IFERROR(VLOOKUP(A21,'Du thau'!C:BM,62,0),"")</f>
        <v>0</v>
      </c>
      <c r="M21" s="1740">
        <f>IFERROR(VLOOKUP(A21,'Du thau'!C:BM,63,0),"")</f>
        <v>0</v>
      </c>
      <c r="N21" s="1268" t="s">
        <v>4217</v>
      </c>
      <c r="O21" s="1483">
        <f t="shared" si="0"/>
        <v>1</v>
      </c>
      <c r="P21" s="1264"/>
      <c r="Q21" s="1438"/>
      <c r="R21" s="1484"/>
      <c r="S21" s="862"/>
      <c r="T21" s="862"/>
      <c r="U21" s="862"/>
      <c r="V21" s="862"/>
      <c r="W21" s="862"/>
      <c r="X21" s="862"/>
      <c r="Y21" s="862"/>
      <c r="Z21" s="862"/>
      <c r="AA21" s="862"/>
    </row>
    <row r="22" spans="1:27" s="863" customFormat="1" ht="42" customHeight="1">
      <c r="A22" s="2171">
        <v>17</v>
      </c>
      <c r="B22" s="1736">
        <f>SUM($O$6:O22)</f>
        <v>17</v>
      </c>
      <c r="C22" s="2522" t="str">
        <f>TongHopKL!F270</f>
        <v>Led dây 50X50mm (20m một trụ) (sử dụng nguồn điện 220V.</v>
      </c>
      <c r="D22" s="2523" t="str">
        <f>TongHopKL!G270</f>
        <v>m</v>
      </c>
      <c r="E22" s="2523">
        <f>TongHopKL!H270</f>
        <v>680</v>
      </c>
      <c r="F22" s="2524">
        <f>TongHopKL!I270</f>
        <v>680</v>
      </c>
      <c r="G22" s="1736" t="str">
        <f>IFERROR(VLOOKUP(A22,Solieu!G:M,3,0),"")</f>
        <v/>
      </c>
      <c r="H22" s="1736"/>
      <c r="I22" s="1740"/>
      <c r="J22" s="1741" t="str">
        <f>IFERROR(VLOOKUP(A22,Solieu!G:M,4,0),"")</f>
        <v/>
      </c>
      <c r="K22" s="1742" t="str">
        <f>IFERROR(VLOOKUP(A22,Solieu!G:M,5,0),"")</f>
        <v/>
      </c>
      <c r="L22" s="1955">
        <f>IFERROR(VLOOKUP(A22,'Du thau'!C:BM,62,0),"")</f>
        <v>0</v>
      </c>
      <c r="M22" s="1740">
        <f>IFERROR(VLOOKUP(A22,'Du thau'!C:BM,63,0),"")</f>
        <v>0</v>
      </c>
      <c r="N22" s="1268" t="s">
        <v>4217</v>
      </c>
      <c r="O22" s="1483">
        <f t="shared" si="0"/>
        <v>1</v>
      </c>
      <c r="P22" s="1264"/>
      <c r="Q22" s="1438"/>
      <c r="R22" s="1484"/>
      <c r="S22" s="862"/>
      <c r="T22" s="862"/>
      <c r="U22" s="862"/>
      <c r="V22" s="862"/>
      <c r="W22" s="862"/>
      <c r="X22" s="862"/>
      <c r="Y22" s="862"/>
      <c r="Z22" s="862"/>
      <c r="AA22" s="862"/>
    </row>
    <row r="23" spans="1:27" s="863" customFormat="1" ht="35.1" customHeight="1">
      <c r="A23" s="2171">
        <v>18</v>
      </c>
      <c r="B23" s="1736">
        <f>SUM($O$6:O23)</f>
        <v>18</v>
      </c>
      <c r="C23" s="2522" t="str">
        <f>TongHopKL!F271</f>
        <v>Bộ chuyển đổi nguồn điện AC sang nguồn điện DC</v>
      </c>
      <c r="D23" s="2523" t="str">
        <f>TongHopKL!G271</f>
        <v>bộ</v>
      </c>
      <c r="E23" s="2523">
        <f>TongHopKL!H271</f>
        <v>34</v>
      </c>
      <c r="F23" s="2524">
        <f>TongHopKL!I271</f>
        <v>34</v>
      </c>
      <c r="G23" s="1736" t="str">
        <f>IFERROR(VLOOKUP(A23,Solieu!G:M,3,0),"")</f>
        <v/>
      </c>
      <c r="H23" s="1736"/>
      <c r="I23" s="1740"/>
      <c r="J23" s="1741" t="str">
        <f>IFERROR(VLOOKUP(A23,Solieu!G:M,4,0),"")</f>
        <v/>
      </c>
      <c r="K23" s="1742" t="str">
        <f>IFERROR(VLOOKUP(A23,Solieu!G:M,5,0),"")</f>
        <v/>
      </c>
      <c r="L23" s="1955">
        <f>IFERROR(VLOOKUP(A23,'Du thau'!C:BM,62,0),"")</f>
        <v>0</v>
      </c>
      <c r="M23" s="1740">
        <f>IFERROR(VLOOKUP(A23,'Du thau'!C:BM,63,0),"")</f>
        <v>0</v>
      </c>
      <c r="N23" s="1268" t="s">
        <v>4217</v>
      </c>
      <c r="O23" s="1483">
        <f t="shared" si="0"/>
        <v>1</v>
      </c>
      <c r="P23" s="1264"/>
      <c r="Q23" s="1438"/>
      <c r="R23" s="1484"/>
      <c r="S23" s="862"/>
      <c r="T23" s="862"/>
      <c r="U23" s="862"/>
      <c r="V23" s="862"/>
      <c r="W23" s="862"/>
      <c r="X23" s="862"/>
      <c r="Y23" s="862"/>
      <c r="Z23" s="862"/>
      <c r="AA23" s="862"/>
    </row>
    <row r="24" spans="1:27" s="863" customFormat="1" ht="35.1" customHeight="1">
      <c r="A24" s="2171">
        <v>19</v>
      </c>
      <c r="B24" s="1736">
        <f>SUM($O$6:O24)</f>
        <v>19</v>
      </c>
      <c r="C24" s="2522" t="str">
        <f>TongHopKL!F272</f>
        <v>Keo alu (500ml/chai)</v>
      </c>
      <c r="D24" s="2523" t="str">
        <f>TongHopKL!G272</f>
        <v>Chai</v>
      </c>
      <c r="E24" s="2523">
        <f>TongHopKL!H272</f>
        <v>34</v>
      </c>
      <c r="F24" s="2524">
        <f>TongHopKL!I272</f>
        <v>34</v>
      </c>
      <c r="G24" s="1736" t="str">
        <f>IFERROR(VLOOKUP(A24,Solieu!G:M,3,0),"")</f>
        <v>Cty TNHHSX-TM Dây &amp; Cáp Điện Tài Trường Thành</v>
      </c>
      <c r="H24" s="1736"/>
      <c r="I24" s="1740"/>
      <c r="J24" s="1741"/>
      <c r="K24" s="1742"/>
      <c r="L24" s="1955">
        <f>IFERROR(VLOOKUP(A24,'Du thau'!C:BM,62,0),"")</f>
        <v>0</v>
      </c>
      <c r="M24" s="1740">
        <f>IFERROR(VLOOKUP(A24,'Du thau'!C:BM,63,0),"")</f>
        <v>0</v>
      </c>
      <c r="N24" s="1268" t="s">
        <v>4217</v>
      </c>
      <c r="O24" s="1483">
        <f t="shared" si="0"/>
        <v>1</v>
      </c>
      <c r="P24" s="1264"/>
      <c r="Q24" s="1438"/>
      <c r="R24" s="1484"/>
      <c r="S24" s="862"/>
      <c r="T24" s="862"/>
      <c r="U24" s="862"/>
      <c r="V24" s="862"/>
      <c r="W24" s="862"/>
      <c r="X24" s="862"/>
      <c r="Y24" s="862"/>
      <c r="Z24" s="862"/>
      <c r="AA24" s="862"/>
    </row>
    <row r="25" spans="1:27" s="863" customFormat="1" ht="35.1" hidden="1" customHeight="1">
      <c r="A25" s="2171">
        <v>20</v>
      </c>
      <c r="B25" s="1736">
        <f>SUM($O$6:O25)</f>
        <v>19</v>
      </c>
      <c r="C25" s="1737"/>
      <c r="D25" s="1738"/>
      <c r="E25" s="1739"/>
      <c r="F25" s="1736"/>
      <c r="G25" s="1736" t="str">
        <f>IFERROR(VLOOKUP(A25,Solieu!G:M,3,0),"")</f>
        <v>nt</v>
      </c>
      <c r="H25" s="1736"/>
      <c r="I25" s="1740"/>
      <c r="J25" s="1741"/>
      <c r="K25" s="1742"/>
      <c r="L25" s="1955">
        <f>IFERROR(VLOOKUP(A25,'Du thau'!C:BM,62,0),"")</f>
        <v>0</v>
      </c>
      <c r="M25" s="1740">
        <f>IFERROR(VLOOKUP(A25,'Du thau'!C:BM,63,0),"")</f>
        <v>0</v>
      </c>
      <c r="N25" s="1268" t="s">
        <v>4217</v>
      </c>
      <c r="O25" s="1483"/>
      <c r="P25" s="1264"/>
      <c r="Q25" s="1438"/>
      <c r="R25" s="1484"/>
      <c r="S25" s="862"/>
      <c r="T25" s="862"/>
      <c r="U25" s="862"/>
      <c r="V25" s="862"/>
      <c r="W25" s="862"/>
      <c r="X25" s="862"/>
      <c r="Y25" s="862"/>
      <c r="Z25" s="862"/>
      <c r="AA25" s="862"/>
    </row>
    <row r="26" spans="1:27" s="863" customFormat="1" ht="35.1" hidden="1" customHeight="1">
      <c r="A26" s="2171">
        <v>21</v>
      </c>
      <c r="B26" s="1736">
        <f>SUM($O$6:O26)</f>
        <v>19</v>
      </c>
      <c r="C26" s="1737" t="e">
        <f>(VLOOKUP(A26,TongHopKL!B:F,5,0))</f>
        <v>#N/A</v>
      </c>
      <c r="D26" s="1738">
        <f>IFERROR(VLOOKUP(A26,DG!A:D,4,0),0)</f>
        <v>0</v>
      </c>
      <c r="E26" s="1739">
        <f>SUMIF(TongHopKL!B:B,'NT-VT'!A26,TongHopKL!H:H)</f>
        <v>0</v>
      </c>
      <c r="F26" s="1736" t="str">
        <f>IFERROR(VLOOKUP(A26,Solieu!G:M,2,0),"")</f>
        <v>nt</v>
      </c>
      <c r="G26" s="1736" t="str">
        <f>IFERROR(VLOOKUP(A26,Solieu!G:M,3,0),"")</f>
        <v>nt</v>
      </c>
      <c r="H26" s="1736"/>
      <c r="I26" s="1740"/>
      <c r="J26" s="1741"/>
      <c r="K26" s="1742"/>
      <c r="L26" s="1955" t="str">
        <f>IFERROR(VLOOKUP(A26,'Du thau'!C:BM,62,0),"")</f>
        <v/>
      </c>
      <c r="M26" s="1740" t="str">
        <f>IFERROR(VLOOKUP(A26,'Du thau'!C:BM,63,0),"")</f>
        <v/>
      </c>
      <c r="N26" s="1268" t="s">
        <v>4217</v>
      </c>
      <c r="O26" s="1483" t="str">
        <f t="shared" si="0"/>
        <v/>
      </c>
      <c r="P26" s="1264"/>
      <c r="Q26" s="1438"/>
      <c r="R26" s="1484"/>
      <c r="S26" s="862"/>
      <c r="T26" s="862"/>
      <c r="U26" s="862"/>
      <c r="V26" s="862"/>
      <c r="W26" s="862"/>
      <c r="X26" s="862"/>
      <c r="Y26" s="862"/>
      <c r="Z26" s="862"/>
      <c r="AA26" s="862"/>
    </row>
    <row r="27" spans="1:27" s="863" customFormat="1" ht="35.1" hidden="1" customHeight="1">
      <c r="A27" s="2171">
        <v>22</v>
      </c>
      <c r="B27" s="1736">
        <f>SUM($O$6:O27)</f>
        <v>19</v>
      </c>
      <c r="C27" s="1737" t="e">
        <f>(VLOOKUP(A27,TongHopKL!B:F,5,0))</f>
        <v>#N/A</v>
      </c>
      <c r="D27" s="1738">
        <f>IFERROR(VLOOKUP(A27,DG!A:D,4,0),0)</f>
        <v>0</v>
      </c>
      <c r="E27" s="1739">
        <f>SUMIF(TongHopKL!B:B,'NT-VT'!A27,TongHopKL!H:H)</f>
        <v>0</v>
      </c>
      <c r="F27" s="1736" t="str">
        <f>IFERROR(VLOOKUP(A27,Solieu!G:M,2,0),"")</f>
        <v>nt</v>
      </c>
      <c r="G27" s="1736" t="str">
        <f>IFERROR(VLOOKUP(A27,Solieu!G:M,3,0),"")</f>
        <v>nt</v>
      </c>
      <c r="H27" s="1736"/>
      <c r="I27" s="1740"/>
      <c r="J27" s="1741"/>
      <c r="K27" s="1742"/>
      <c r="L27" s="1955" t="str">
        <f>IFERROR(VLOOKUP(A27,'Du thau'!C:BM,62,0),"")</f>
        <v/>
      </c>
      <c r="M27" s="1740" t="str">
        <f>IFERROR(VLOOKUP(A27,'Du thau'!C:BM,63,0),"")</f>
        <v/>
      </c>
      <c r="N27" s="1268" t="s">
        <v>4217</v>
      </c>
      <c r="O27" s="1483" t="str">
        <f t="shared" si="0"/>
        <v/>
      </c>
      <c r="P27" s="1264"/>
      <c r="Q27" s="1438"/>
      <c r="R27" s="1484"/>
      <c r="S27" s="862"/>
      <c r="T27" s="862"/>
      <c r="U27" s="862"/>
      <c r="V27" s="862"/>
      <c r="W27" s="862"/>
      <c r="X27" s="862"/>
      <c r="Y27" s="862"/>
      <c r="Z27" s="862"/>
      <c r="AA27" s="862"/>
    </row>
    <row r="28" spans="1:27" s="863" customFormat="1" ht="35.1" hidden="1" customHeight="1">
      <c r="A28" s="2171">
        <v>23</v>
      </c>
      <c r="B28" s="1736">
        <f>SUM($O$6:O28)</f>
        <v>19</v>
      </c>
      <c r="C28" s="1737" t="e">
        <f>(VLOOKUP(A28,TongHopKL!B:F,5,0))</f>
        <v>#N/A</v>
      </c>
      <c r="D28" s="1738">
        <f>IFERROR(VLOOKUP(A28,DG!A:D,4,0),0)</f>
        <v>0</v>
      </c>
      <c r="E28" s="1739">
        <f>SUMIF(TongHopKL!B:B,'NT-VT'!A28,TongHopKL!H:H)</f>
        <v>0</v>
      </c>
      <c r="F28" s="1736" t="str">
        <f>IFERROR(VLOOKUP(A28,Solieu!G:M,2,0),"")</f>
        <v>nt</v>
      </c>
      <c r="G28" s="1736" t="str">
        <f>IFERROR(VLOOKUP(A28,Solieu!G:M,3,0),"")</f>
        <v>nt</v>
      </c>
      <c r="H28" s="1736"/>
      <c r="I28" s="1740"/>
      <c r="J28" s="1741"/>
      <c r="K28" s="1742"/>
      <c r="L28" s="1955" t="str">
        <f>IFERROR(VLOOKUP(A28,'Du thau'!C:BM,62,0),"")</f>
        <v/>
      </c>
      <c r="M28" s="1740" t="str">
        <f>IFERROR(VLOOKUP(A28,'Du thau'!C:BM,63,0),"")</f>
        <v/>
      </c>
      <c r="N28" s="1268" t="s">
        <v>4217</v>
      </c>
      <c r="O28" s="1483" t="str">
        <f t="shared" si="0"/>
        <v/>
      </c>
      <c r="P28" s="1264"/>
      <c r="Q28" s="1438"/>
      <c r="R28" s="1484"/>
      <c r="S28" s="862"/>
      <c r="T28" s="862"/>
      <c r="U28" s="862"/>
      <c r="V28" s="862"/>
      <c r="W28" s="862"/>
      <c r="X28" s="862"/>
      <c r="Y28" s="862"/>
      <c r="Z28" s="862"/>
      <c r="AA28" s="862"/>
    </row>
    <row r="29" spans="1:27" s="863" customFormat="1" ht="35.1" hidden="1" customHeight="1">
      <c r="A29" s="2171">
        <v>24</v>
      </c>
      <c r="B29" s="1736">
        <f>SUM($O$6:O29)</f>
        <v>19</v>
      </c>
      <c r="C29" s="1737" t="e">
        <f>(VLOOKUP(A29,TongHopKL!B:F,5,0))</f>
        <v>#N/A</v>
      </c>
      <c r="D29" s="1738">
        <f>IFERROR(VLOOKUP(A29,DG!A:D,4,0),0)</f>
        <v>0</v>
      </c>
      <c r="E29" s="1739">
        <f>SUMIF(TongHopKL!B:B,'NT-VT'!A29,TongHopKL!H:H)</f>
        <v>0</v>
      </c>
      <c r="F29" s="1736" t="str">
        <f>IFERROR(VLOOKUP(A29,Solieu!G:M,2,0),"")</f>
        <v>nt</v>
      </c>
      <c r="G29" s="1736" t="str">
        <f>IFERROR(VLOOKUP(A29,Solieu!G:M,3,0),"")</f>
        <v>nt</v>
      </c>
      <c r="H29" s="1736"/>
      <c r="I29" s="1740"/>
      <c r="J29" s="1741"/>
      <c r="K29" s="1742"/>
      <c r="L29" s="1955" t="str">
        <f>IFERROR(VLOOKUP(A29,'Du thau'!C:BM,62,0),"")</f>
        <v/>
      </c>
      <c r="M29" s="1740" t="str">
        <f>IFERROR(VLOOKUP(A29,'Du thau'!C:BM,63,0),"")</f>
        <v/>
      </c>
      <c r="N29" s="1268" t="s">
        <v>4217</v>
      </c>
      <c r="O29" s="1483" t="str">
        <f t="shared" si="0"/>
        <v/>
      </c>
      <c r="P29" s="1264"/>
      <c r="Q29" s="1438"/>
      <c r="R29" s="1484"/>
      <c r="S29" s="862"/>
      <c r="T29" s="862"/>
      <c r="U29" s="862"/>
      <c r="V29" s="862"/>
      <c r="W29" s="862"/>
      <c r="X29" s="862"/>
      <c r="Y29" s="862"/>
      <c r="Z29" s="862"/>
      <c r="AA29" s="862"/>
    </row>
    <row r="30" spans="1:27" s="863" customFormat="1" ht="35.1" hidden="1" customHeight="1">
      <c r="A30" s="2171">
        <v>25</v>
      </c>
      <c r="B30" s="1736">
        <f>SUM($O$6:O30)</f>
        <v>19</v>
      </c>
      <c r="C30" s="1737" t="e">
        <f>(VLOOKUP(A30,TongHopKL!B:F,5,0))</f>
        <v>#N/A</v>
      </c>
      <c r="D30" s="1738">
        <f>IFERROR(VLOOKUP(A30,DG!A:D,4,0),0)</f>
        <v>0</v>
      </c>
      <c r="E30" s="1739">
        <f>SUMIF(TongHopKL!B:B,'NT-VT'!A30,TongHopKL!H:H)</f>
        <v>0</v>
      </c>
      <c r="F30" s="1736" t="str">
        <f>IFERROR(VLOOKUP(A30,Solieu!G:M,2,0),"")</f>
        <v>nt</v>
      </c>
      <c r="G30" s="1736" t="str">
        <f>IFERROR(VLOOKUP(A30,Solieu!G:M,3,0),"")</f>
        <v>nt</v>
      </c>
      <c r="H30" s="1736"/>
      <c r="I30" s="1740"/>
      <c r="J30" s="1741"/>
      <c r="K30" s="1742"/>
      <c r="L30" s="1955" t="str">
        <f>IFERROR(VLOOKUP(A30,'Du thau'!C:BM,62,0),"")</f>
        <v/>
      </c>
      <c r="M30" s="1740" t="str">
        <f>IFERROR(VLOOKUP(A30,'Du thau'!C:BM,63,0),"")</f>
        <v/>
      </c>
      <c r="N30" s="1268" t="s">
        <v>4217</v>
      </c>
      <c r="O30" s="1483" t="str">
        <f t="shared" si="0"/>
        <v/>
      </c>
      <c r="P30" s="1264"/>
      <c r="Q30" s="1438"/>
      <c r="R30" s="1484"/>
      <c r="S30" s="862"/>
      <c r="T30" s="862"/>
      <c r="U30" s="862"/>
      <c r="V30" s="862"/>
      <c r="W30" s="862"/>
      <c r="X30" s="862"/>
      <c r="Y30" s="862"/>
      <c r="Z30" s="862"/>
      <c r="AA30" s="862"/>
    </row>
    <row r="31" spans="1:27" s="863" customFormat="1" ht="35.1" hidden="1" customHeight="1">
      <c r="A31" s="2171">
        <v>26</v>
      </c>
      <c r="B31" s="1736">
        <f>SUM($O$6:O31)</f>
        <v>19</v>
      </c>
      <c r="C31" s="1737" t="e">
        <f>(VLOOKUP(A31,TongHopKL!B:F,5,0))</f>
        <v>#N/A</v>
      </c>
      <c r="D31" s="1738">
        <f>IFERROR(VLOOKUP(A31,DG!A:D,4,0),0)</f>
        <v>0</v>
      </c>
      <c r="E31" s="1739">
        <f>SUMIF(TongHopKL!B:B,'NT-VT'!A31,TongHopKL!H:H)</f>
        <v>0</v>
      </c>
      <c r="F31" s="1736" t="str">
        <f>IFERROR(VLOOKUP(A31,Solieu!G:M,2,0),"")</f>
        <v>nt</v>
      </c>
      <c r="G31" s="1736" t="str">
        <f>IFERROR(VLOOKUP(A31,Solieu!G:M,3,0),"")</f>
        <v>nt</v>
      </c>
      <c r="H31" s="1736"/>
      <c r="I31" s="1740"/>
      <c r="J31" s="1741"/>
      <c r="K31" s="1742"/>
      <c r="L31" s="1955" t="str">
        <f>IFERROR(VLOOKUP(A31,'Du thau'!C:BM,62,0),"")</f>
        <v/>
      </c>
      <c r="M31" s="1740" t="str">
        <f>IFERROR(VLOOKUP(A31,'Du thau'!C:BM,63,0),"")</f>
        <v/>
      </c>
      <c r="N31" s="1268" t="s">
        <v>4217</v>
      </c>
      <c r="O31" s="1483" t="str">
        <f t="shared" si="0"/>
        <v/>
      </c>
      <c r="P31" s="1264"/>
      <c r="Q31" s="1438"/>
      <c r="R31" s="1484"/>
      <c r="S31" s="862"/>
      <c r="T31" s="862"/>
      <c r="U31" s="862"/>
      <c r="V31" s="862"/>
      <c r="W31" s="862"/>
      <c r="X31" s="862"/>
      <c r="Y31" s="862"/>
      <c r="Z31" s="862"/>
      <c r="AA31" s="862"/>
    </row>
    <row r="32" spans="1:27" s="863" customFormat="1" ht="35.1" hidden="1" customHeight="1">
      <c r="A32" s="2171">
        <v>27</v>
      </c>
      <c r="B32" s="1736">
        <f>SUM($O$6:O32)</f>
        <v>19</v>
      </c>
      <c r="C32" s="1737" t="e">
        <f>(VLOOKUP(A32,TongHopKL!B:F,5,0))</f>
        <v>#N/A</v>
      </c>
      <c r="D32" s="1738">
        <f>IFERROR(VLOOKUP(A32,DG!A:D,4,0),0)</f>
        <v>0</v>
      </c>
      <c r="E32" s="1739">
        <f>SUMIF(TongHopKL!B:B,'NT-VT'!A32,TongHopKL!H:H)</f>
        <v>0</v>
      </c>
      <c r="F32" s="1736" t="str">
        <f>IFERROR(VLOOKUP(A32,Solieu!G:M,2,0),"")</f>
        <v>nt</v>
      </c>
      <c r="G32" s="1736" t="str">
        <f>IFERROR(VLOOKUP(A32,Solieu!G:M,3,0),"")</f>
        <v>nt</v>
      </c>
      <c r="H32" s="1736"/>
      <c r="I32" s="1740"/>
      <c r="J32" s="1741"/>
      <c r="K32" s="1742"/>
      <c r="L32" s="1955" t="str">
        <f>IFERROR(VLOOKUP(A32,'Du thau'!C:BM,62,0),"")</f>
        <v/>
      </c>
      <c r="M32" s="1740" t="str">
        <f>IFERROR(VLOOKUP(A32,'Du thau'!C:BM,63,0),"")</f>
        <v/>
      </c>
      <c r="N32" s="1268" t="s">
        <v>4217</v>
      </c>
      <c r="O32" s="1483" t="str">
        <f t="shared" si="0"/>
        <v/>
      </c>
      <c r="P32" s="1264"/>
      <c r="Q32" s="1438"/>
      <c r="R32" s="1484"/>
      <c r="S32" s="862"/>
      <c r="T32" s="862"/>
      <c r="U32" s="862"/>
      <c r="V32" s="862"/>
      <c r="W32" s="862"/>
      <c r="X32" s="862"/>
      <c r="Y32" s="862"/>
      <c r="Z32" s="862"/>
      <c r="AA32" s="862"/>
    </row>
    <row r="33" spans="1:27" s="863" customFormat="1" ht="35.1" hidden="1" customHeight="1">
      <c r="A33" s="2171">
        <v>28</v>
      </c>
      <c r="B33" s="1736">
        <f>SUM($O$6:O33)</f>
        <v>19</v>
      </c>
      <c r="C33" s="1737" t="e">
        <f>(VLOOKUP(A33,TongHopKL!B:F,5,0))</f>
        <v>#N/A</v>
      </c>
      <c r="D33" s="1738">
        <f>IFERROR(VLOOKUP(A33,DG!A:D,4,0),0)</f>
        <v>0</v>
      </c>
      <c r="E33" s="1739">
        <f>SUMIF(TongHopKL!B:B,'NT-VT'!A33,TongHopKL!H:H)</f>
        <v>0</v>
      </c>
      <c r="F33" s="1736" t="str">
        <f>IFERROR(VLOOKUP(A33,Solieu!G:M,2,0),"")</f>
        <v>nt</v>
      </c>
      <c r="G33" s="1736" t="str">
        <f>IFERROR(VLOOKUP(A33,Solieu!G:M,3,0),"")</f>
        <v>nt</v>
      </c>
      <c r="H33" s="1736"/>
      <c r="I33" s="1740"/>
      <c r="J33" s="1741"/>
      <c r="K33" s="1742"/>
      <c r="L33" s="1955" t="str">
        <f>IFERROR(VLOOKUP(A33,'Du thau'!C:BM,62,0),"")</f>
        <v/>
      </c>
      <c r="M33" s="1740" t="str">
        <f>IFERROR(VLOOKUP(A33,'Du thau'!C:BM,63,0),"")</f>
        <v/>
      </c>
      <c r="N33" s="1268" t="s">
        <v>4217</v>
      </c>
      <c r="O33" s="1483" t="str">
        <f t="shared" si="0"/>
        <v/>
      </c>
      <c r="P33" s="1264"/>
      <c r="Q33" s="1438"/>
      <c r="R33" s="1484"/>
      <c r="S33" s="862"/>
      <c r="T33" s="862"/>
      <c r="U33" s="862"/>
      <c r="V33" s="862"/>
      <c r="W33" s="862"/>
      <c r="X33" s="862"/>
      <c r="Y33" s="862"/>
      <c r="Z33" s="862"/>
      <c r="AA33" s="862"/>
    </row>
    <row r="34" spans="1:27" s="863" customFormat="1" ht="35.1" hidden="1" customHeight="1">
      <c r="A34" s="2171">
        <v>29</v>
      </c>
      <c r="B34" s="1736">
        <f>SUM($O$6:O34)</f>
        <v>19</v>
      </c>
      <c r="C34" s="1737" t="e">
        <f>(VLOOKUP(A34,TongHopKL!B:F,5,0))</f>
        <v>#N/A</v>
      </c>
      <c r="D34" s="1738">
        <f>IFERROR(VLOOKUP(A34,DG!A:D,4,0),0)</f>
        <v>0</v>
      </c>
      <c r="E34" s="1739">
        <f>SUMIF(TongHopKL!B:B,'NT-VT'!A34,TongHopKL!H:H)</f>
        <v>0</v>
      </c>
      <c r="F34" s="1736" t="str">
        <f>IFERROR(VLOOKUP(A34,Solieu!G:M,2,0),"")</f>
        <v>nt</v>
      </c>
      <c r="G34" s="1736" t="str">
        <f>IFERROR(VLOOKUP(A34,Solieu!G:M,3,0),"")</f>
        <v>nt</v>
      </c>
      <c r="H34" s="1736"/>
      <c r="I34" s="1740"/>
      <c r="J34" s="1741"/>
      <c r="K34" s="1742"/>
      <c r="L34" s="1955" t="str">
        <f>IFERROR(VLOOKUP(A34,'Du thau'!C:BM,62,0),"")</f>
        <v/>
      </c>
      <c r="M34" s="1740" t="str">
        <f>IFERROR(VLOOKUP(A34,'Du thau'!C:BM,63,0),"")</f>
        <v/>
      </c>
      <c r="N34" s="1268" t="s">
        <v>4217</v>
      </c>
      <c r="O34" s="1483" t="str">
        <f t="shared" si="0"/>
        <v/>
      </c>
      <c r="P34" s="1264"/>
      <c r="Q34" s="1438"/>
      <c r="R34" s="1484"/>
      <c r="S34" s="862"/>
      <c r="T34" s="862"/>
      <c r="U34" s="862"/>
      <c r="V34" s="862"/>
      <c r="W34" s="862"/>
      <c r="X34" s="862"/>
      <c r="Y34" s="862"/>
      <c r="Z34" s="862"/>
      <c r="AA34" s="862"/>
    </row>
    <row r="35" spans="1:27" s="863" customFormat="1" ht="35.1" hidden="1" customHeight="1">
      <c r="A35" s="2171">
        <v>30</v>
      </c>
      <c r="B35" s="1736">
        <f>SUM($O$6:O35)</f>
        <v>19</v>
      </c>
      <c r="C35" s="1737" t="e">
        <f>(VLOOKUP(A35,TongHopKL!B:F,5,0))</f>
        <v>#N/A</v>
      </c>
      <c r="D35" s="1738">
        <f>IFERROR(VLOOKUP(A35,DG!A:D,4,0),0)</f>
        <v>0</v>
      </c>
      <c r="E35" s="1739">
        <f>SUMIF(TongHopKL!B:B,'NT-VT'!A35,TongHopKL!H:H)</f>
        <v>0</v>
      </c>
      <c r="F35" s="1736" t="str">
        <f>IFERROR(VLOOKUP(A35,Solieu!G:M,2,0),"")</f>
        <v>nt</v>
      </c>
      <c r="G35" s="1736" t="str">
        <f>IFERROR(VLOOKUP(A35,Solieu!G:M,3,0),"")</f>
        <v>nt</v>
      </c>
      <c r="H35" s="1736"/>
      <c r="I35" s="1740"/>
      <c r="J35" s="1741"/>
      <c r="K35" s="1742"/>
      <c r="L35" s="1955" t="str">
        <f>IFERROR(VLOOKUP(A35,'Du thau'!C:BM,62,0),"")</f>
        <v/>
      </c>
      <c r="M35" s="1740" t="str">
        <f>IFERROR(VLOOKUP(A35,'Du thau'!C:BM,63,0),"")</f>
        <v/>
      </c>
      <c r="N35" s="1268" t="s">
        <v>4217</v>
      </c>
      <c r="O35" s="1483" t="str">
        <f t="shared" si="0"/>
        <v/>
      </c>
      <c r="P35" s="1264"/>
      <c r="Q35" s="1438"/>
      <c r="R35" s="1484"/>
      <c r="S35" s="862"/>
      <c r="T35" s="862"/>
      <c r="U35" s="862"/>
      <c r="V35" s="862"/>
      <c r="W35" s="862"/>
      <c r="X35" s="862"/>
      <c r="Y35" s="862"/>
      <c r="Z35" s="862"/>
      <c r="AA35" s="862"/>
    </row>
    <row r="36" spans="1:27" s="863" customFormat="1" ht="35.1" hidden="1" customHeight="1">
      <c r="A36" s="2171">
        <v>31</v>
      </c>
      <c r="B36" s="1736">
        <f>SUM($O$6:O36)</f>
        <v>19</v>
      </c>
      <c r="C36" s="1737" t="e">
        <f>(VLOOKUP(A36,TongHopKL!B:F,5,0))</f>
        <v>#N/A</v>
      </c>
      <c r="D36" s="1738">
        <f>IFERROR(VLOOKUP(A36,DG!A:D,4,0),0)</f>
        <v>0</v>
      </c>
      <c r="E36" s="1739">
        <f>SUMIF(TongHopKL!B:B,'NT-VT'!A36,TongHopKL!H:H)</f>
        <v>0</v>
      </c>
      <c r="F36" s="1736" t="str">
        <f>IFERROR(VLOOKUP(A36,Solieu!G:M,2,0),"")</f>
        <v>nt</v>
      </c>
      <c r="G36" s="1736" t="str">
        <f>IFERROR(VLOOKUP(A36,Solieu!G:M,3,0),"")</f>
        <v>nt</v>
      </c>
      <c r="H36" s="1736"/>
      <c r="I36" s="1740"/>
      <c r="J36" s="1741"/>
      <c r="K36" s="1742"/>
      <c r="L36" s="1955" t="str">
        <f>IFERROR(VLOOKUP(A36,'Du thau'!C:BM,62,0),"")</f>
        <v/>
      </c>
      <c r="M36" s="1740" t="str">
        <f>IFERROR(VLOOKUP(A36,'Du thau'!C:BM,63,0),"")</f>
        <v/>
      </c>
      <c r="N36" s="1268" t="s">
        <v>4217</v>
      </c>
      <c r="O36" s="1483" t="str">
        <f t="shared" si="0"/>
        <v/>
      </c>
      <c r="P36" s="1264"/>
      <c r="Q36" s="1438"/>
      <c r="R36" s="1484"/>
      <c r="S36" s="862"/>
      <c r="T36" s="862"/>
      <c r="U36" s="862"/>
      <c r="V36" s="862"/>
      <c r="W36" s="862"/>
      <c r="X36" s="862"/>
      <c r="Y36" s="862"/>
      <c r="Z36" s="862"/>
      <c r="AA36" s="862"/>
    </row>
    <row r="37" spans="1:27" s="863" customFormat="1" ht="35.1" hidden="1" customHeight="1">
      <c r="A37" s="2171">
        <v>32</v>
      </c>
      <c r="B37" s="1736">
        <f>SUM($O$6:O37)</f>
        <v>19</v>
      </c>
      <c r="C37" s="1737" t="e">
        <f>(VLOOKUP(A37,TongHopKL!B:F,5,0))</f>
        <v>#N/A</v>
      </c>
      <c r="D37" s="1738">
        <f>IFERROR(VLOOKUP(A37,DG!A:D,4,0),0)</f>
        <v>0</v>
      </c>
      <c r="E37" s="1739">
        <f>SUMIF(TongHopKL!B:B,'NT-VT'!A37,TongHopKL!H:H)</f>
        <v>0</v>
      </c>
      <c r="F37" s="1736" t="str">
        <f>IFERROR(VLOOKUP(A37,Solieu!G:M,2,0),"")</f>
        <v>nt</v>
      </c>
      <c r="G37" s="1736" t="str">
        <f>IFERROR(VLOOKUP(A37,Solieu!G:M,3,0),"")</f>
        <v>nt</v>
      </c>
      <c r="H37" s="1736"/>
      <c r="I37" s="1740"/>
      <c r="J37" s="1741"/>
      <c r="K37" s="1742"/>
      <c r="L37" s="1955" t="str">
        <f>IFERROR(VLOOKUP(A37,'Du thau'!C:BM,62,0),"")</f>
        <v/>
      </c>
      <c r="M37" s="1740" t="str">
        <f>IFERROR(VLOOKUP(A37,'Du thau'!C:BM,63,0),"")</f>
        <v/>
      </c>
      <c r="N37" s="1268" t="s">
        <v>4217</v>
      </c>
      <c r="O37" s="1483" t="str">
        <f t="shared" si="0"/>
        <v/>
      </c>
      <c r="P37" s="1264"/>
      <c r="Q37" s="1438"/>
      <c r="R37" s="1484"/>
      <c r="S37" s="862"/>
      <c r="T37" s="862"/>
      <c r="U37" s="862"/>
      <c r="V37" s="862"/>
      <c r="W37" s="862"/>
      <c r="X37" s="862"/>
      <c r="Y37" s="862"/>
      <c r="Z37" s="862"/>
      <c r="AA37" s="862"/>
    </row>
    <row r="38" spans="1:27" s="863" customFormat="1" ht="35.1" hidden="1" customHeight="1">
      <c r="A38" s="2171">
        <v>33</v>
      </c>
      <c r="B38" s="1736">
        <f>SUM($O$6:O38)</f>
        <v>19</v>
      </c>
      <c r="C38" s="1737" t="e">
        <f>(VLOOKUP(A38,TongHopKL!B:F,5,0))</f>
        <v>#N/A</v>
      </c>
      <c r="D38" s="1738">
        <f>IFERROR(VLOOKUP(A38,DG!A:D,4,0),0)</f>
        <v>0</v>
      </c>
      <c r="E38" s="1739">
        <f>SUMIF(TongHopKL!B:B,'NT-VT'!A38,TongHopKL!H:H)</f>
        <v>0</v>
      </c>
      <c r="F38" s="1736" t="str">
        <f>IFERROR(VLOOKUP(A38,Solieu!G:M,2,0),"")</f>
        <v>nt</v>
      </c>
      <c r="G38" s="1736" t="str">
        <f>IFERROR(VLOOKUP(A38,Solieu!G:M,3,0),"")</f>
        <v>nt</v>
      </c>
      <c r="H38" s="1736"/>
      <c r="I38" s="1740"/>
      <c r="J38" s="1741"/>
      <c r="K38" s="1742"/>
      <c r="L38" s="1955" t="str">
        <f>IFERROR(VLOOKUP(A38,'Du thau'!C:BM,62,0),"")</f>
        <v/>
      </c>
      <c r="M38" s="1740" t="str">
        <f>IFERROR(VLOOKUP(A38,'Du thau'!C:BM,63,0),"")</f>
        <v/>
      </c>
      <c r="N38" s="1268" t="s">
        <v>4217</v>
      </c>
      <c r="O38" s="1483" t="str">
        <f t="shared" si="0"/>
        <v/>
      </c>
      <c r="P38" s="1264"/>
      <c r="Q38" s="1438"/>
      <c r="R38" s="1484"/>
      <c r="S38" s="862"/>
      <c r="T38" s="862"/>
      <c r="U38" s="862"/>
      <c r="V38" s="862"/>
      <c r="W38" s="862"/>
      <c r="X38" s="862"/>
      <c r="Y38" s="862"/>
      <c r="Z38" s="862"/>
      <c r="AA38" s="862"/>
    </row>
    <row r="39" spans="1:27" s="863" customFormat="1" ht="56.25" hidden="1" customHeight="1">
      <c r="A39" s="2171">
        <v>34</v>
      </c>
      <c r="B39" s="1736">
        <f>SUM($O$6:O39)</f>
        <v>19</v>
      </c>
      <c r="C39" s="1737" t="e">
        <f>(VLOOKUP(A39,TongHopKL!B:F,5,0))</f>
        <v>#N/A</v>
      </c>
      <c r="D39" s="1738">
        <f>IFERROR(VLOOKUP(A39,DG!A:D,4,0),0)</f>
        <v>0</v>
      </c>
      <c r="E39" s="1739">
        <f>SUMIF(TongHopKL!B:B,'NT-VT'!A39,TongHopKL!H:H)</f>
        <v>0</v>
      </c>
      <c r="F39" s="1736" t="str">
        <f>IFERROR(VLOOKUP(A39,Solieu!G:M,2,0),"")</f>
        <v>nt</v>
      </c>
      <c r="G39" s="1736" t="str">
        <f>IFERROR(VLOOKUP(A39,Solieu!G:M,3,0),"")</f>
        <v>nt</v>
      </c>
      <c r="H39" s="1736"/>
      <c r="I39" s="1740"/>
      <c r="J39" s="1741"/>
      <c r="K39" s="1742"/>
      <c r="L39" s="1955" t="str">
        <f>IFERROR(VLOOKUP(A39,'Du thau'!C:BM,62,0),"")</f>
        <v/>
      </c>
      <c r="M39" s="1740" t="str">
        <f>IFERROR(VLOOKUP(A39,'Du thau'!C:BM,63,0),"")</f>
        <v/>
      </c>
      <c r="N39" s="1268" t="s">
        <v>4217</v>
      </c>
      <c r="O39" s="1483" t="str">
        <f t="shared" si="0"/>
        <v/>
      </c>
      <c r="P39" s="1264"/>
      <c r="Q39" s="1438"/>
      <c r="R39" s="1484"/>
      <c r="S39" s="862"/>
      <c r="T39" s="862"/>
      <c r="U39" s="862"/>
      <c r="V39" s="862"/>
      <c r="W39" s="862"/>
      <c r="X39" s="862"/>
      <c r="Y39" s="862"/>
      <c r="Z39" s="862"/>
      <c r="AA39" s="862"/>
    </row>
    <row r="40" spans="1:27" s="863" customFormat="1" ht="56.25" hidden="1" customHeight="1">
      <c r="A40" s="2171">
        <v>35</v>
      </c>
      <c r="B40" s="1736">
        <f>SUM($O$6:O40)</f>
        <v>19</v>
      </c>
      <c r="C40" s="1737" t="e">
        <f>(VLOOKUP(A40,TongHopKL!B:F,5,0))</f>
        <v>#N/A</v>
      </c>
      <c r="D40" s="1738">
        <f>IFERROR(VLOOKUP(A40,DG!A:D,4,0),0)</f>
        <v>0</v>
      </c>
      <c r="E40" s="1739">
        <f>SUMIF(TongHopKL!B:B,'NT-VT'!A40,TongHopKL!H:H)</f>
        <v>0</v>
      </c>
      <c r="F40" s="1736" t="str">
        <f>IFERROR(VLOOKUP(A40,Solieu!G:M,2,0),"")</f>
        <v>nt</v>
      </c>
      <c r="G40" s="1736" t="str">
        <f>IFERROR(VLOOKUP(A40,Solieu!G:M,3,0),"")</f>
        <v>nt</v>
      </c>
      <c r="H40" s="1736"/>
      <c r="I40" s="1740"/>
      <c r="J40" s="1741"/>
      <c r="K40" s="1742"/>
      <c r="L40" s="1955" t="str">
        <f>IFERROR(VLOOKUP(A40,'Du thau'!C:BM,62,0),"")</f>
        <v/>
      </c>
      <c r="M40" s="1740" t="str">
        <f>IFERROR(VLOOKUP(A40,'Du thau'!C:BM,63,0),"")</f>
        <v/>
      </c>
      <c r="N40" s="1268" t="s">
        <v>4217</v>
      </c>
      <c r="O40" s="1483" t="str">
        <f t="shared" si="0"/>
        <v/>
      </c>
      <c r="P40" s="1264"/>
      <c r="Q40" s="1438"/>
      <c r="R40" s="1484"/>
      <c r="S40" s="862"/>
      <c r="T40" s="862"/>
      <c r="U40" s="862"/>
      <c r="V40" s="862"/>
      <c r="W40" s="862"/>
      <c r="X40" s="862"/>
      <c r="Y40" s="862"/>
      <c r="Z40" s="862"/>
      <c r="AA40" s="862"/>
    </row>
    <row r="41" spans="1:27" s="863" customFormat="1" ht="35.1" hidden="1" customHeight="1">
      <c r="A41" s="2171">
        <v>36</v>
      </c>
      <c r="B41" s="1736">
        <f>SUM($O$6:O41)</f>
        <v>19</v>
      </c>
      <c r="C41" s="1737" t="e">
        <f>(VLOOKUP(A41,TongHopKL!B:F,5,0))</f>
        <v>#N/A</v>
      </c>
      <c r="D41" s="1738">
        <f>IFERROR(VLOOKUP(A41,DG!A:D,4,0),0)</f>
        <v>0</v>
      </c>
      <c r="E41" s="1739">
        <f>SUMIF(TongHopKL!B:B,'NT-VT'!A41,TongHopKL!H:H)</f>
        <v>0</v>
      </c>
      <c r="F41" s="1736" t="str">
        <f>IFERROR(VLOOKUP(A41,Solieu!G:M,2,0),"")</f>
        <v>nt</v>
      </c>
      <c r="G41" s="1736" t="str">
        <f>IFERROR(VLOOKUP(A41,Solieu!G:M,3,0),"")</f>
        <v>nt</v>
      </c>
      <c r="H41" s="1736"/>
      <c r="I41" s="1740"/>
      <c r="J41" s="1741"/>
      <c r="K41" s="1742"/>
      <c r="L41" s="1955" t="str">
        <f>IFERROR(VLOOKUP(A41,'Du thau'!C:BM,62,0),"")</f>
        <v/>
      </c>
      <c r="M41" s="1740" t="str">
        <f>IFERROR(VLOOKUP(A41,'Du thau'!C:BM,63,0),"")</f>
        <v/>
      </c>
      <c r="N41" s="1268" t="s">
        <v>4217</v>
      </c>
      <c r="O41" s="1483" t="str">
        <f t="shared" si="0"/>
        <v/>
      </c>
      <c r="P41" s="1264"/>
      <c r="Q41" s="1438"/>
      <c r="R41" s="1484"/>
      <c r="S41" s="862"/>
      <c r="T41" s="862"/>
      <c r="U41" s="862"/>
      <c r="V41" s="862"/>
      <c r="W41" s="862"/>
      <c r="X41" s="862"/>
      <c r="Y41" s="862"/>
      <c r="Z41" s="862"/>
      <c r="AA41" s="862"/>
    </row>
    <row r="42" spans="1:27" s="863" customFormat="1" ht="35.1" hidden="1" customHeight="1">
      <c r="A42" s="2171">
        <v>37</v>
      </c>
      <c r="B42" s="1736">
        <f>SUM($O$6:O42)</f>
        <v>19</v>
      </c>
      <c r="C42" s="1737" t="e">
        <f>(VLOOKUP(A42,TongHopKL!B:F,5,0))</f>
        <v>#N/A</v>
      </c>
      <c r="D42" s="1738">
        <f>IFERROR(VLOOKUP(A42,DG!A:D,4,0),0)</f>
        <v>0</v>
      </c>
      <c r="E42" s="1739">
        <f>SUMIF(TongHopKL!B:B,'NT-VT'!A42,TongHopKL!H:H)</f>
        <v>0</v>
      </c>
      <c r="F42" s="1736" t="str">
        <f>IFERROR(VLOOKUP(A42,Solieu!G:M,2,0),"")</f>
        <v>nt</v>
      </c>
      <c r="G42" s="1736" t="str">
        <f>IFERROR(VLOOKUP(A42,Solieu!G:M,3,0),"")</f>
        <v>nt</v>
      </c>
      <c r="H42" s="1736"/>
      <c r="I42" s="1740"/>
      <c r="J42" s="1741"/>
      <c r="K42" s="1742"/>
      <c r="L42" s="1955" t="str">
        <f>IFERROR(VLOOKUP(A42,'Du thau'!C:BM,62,0),"")</f>
        <v/>
      </c>
      <c r="M42" s="1740" t="str">
        <f>IFERROR(VLOOKUP(A42,'Du thau'!C:BM,63,0),"")</f>
        <v/>
      </c>
      <c r="N42" s="1268" t="s">
        <v>4217</v>
      </c>
      <c r="O42" s="1483" t="str">
        <f t="shared" si="0"/>
        <v/>
      </c>
      <c r="P42" s="1264"/>
      <c r="Q42" s="1438"/>
      <c r="R42" s="1484"/>
      <c r="S42" s="862"/>
      <c r="T42" s="862"/>
      <c r="U42" s="862"/>
      <c r="V42" s="862"/>
      <c r="W42" s="862"/>
      <c r="X42" s="862"/>
      <c r="Y42" s="862"/>
      <c r="Z42" s="862"/>
      <c r="AA42" s="862"/>
    </row>
    <row r="43" spans="1:27" s="863" customFormat="1" ht="35.1" hidden="1" customHeight="1">
      <c r="A43" s="2171">
        <v>38</v>
      </c>
      <c r="B43" s="1736">
        <f>SUM($O$6:O43)</f>
        <v>19</v>
      </c>
      <c r="C43" s="1737" t="e">
        <f>(VLOOKUP(A43,TongHopKL!B:F,5,0))</f>
        <v>#N/A</v>
      </c>
      <c r="D43" s="1738">
        <f>IFERROR(VLOOKUP(A43,DG!A:D,4,0),0)</f>
        <v>0</v>
      </c>
      <c r="E43" s="1739">
        <f>SUMIF(TongHopKL!B:B,'NT-VT'!A43,TongHopKL!H:H)</f>
        <v>0</v>
      </c>
      <c r="F43" s="1736" t="str">
        <f>IFERROR(VLOOKUP(A43,Solieu!G:M,2,0),"")</f>
        <v>nt</v>
      </c>
      <c r="G43" s="1736" t="str">
        <f>IFERROR(VLOOKUP(A43,Solieu!G:M,3,0),"")</f>
        <v>nt</v>
      </c>
      <c r="H43" s="1736"/>
      <c r="I43" s="1740"/>
      <c r="J43" s="1741"/>
      <c r="K43" s="1742"/>
      <c r="L43" s="1955" t="str">
        <f>IFERROR(VLOOKUP(A43,'Du thau'!C:BM,62,0),"")</f>
        <v/>
      </c>
      <c r="M43" s="1740" t="str">
        <f>IFERROR(VLOOKUP(A43,'Du thau'!C:BM,63,0),"")</f>
        <v/>
      </c>
      <c r="N43" s="1268" t="s">
        <v>4217</v>
      </c>
      <c r="O43" s="1483" t="str">
        <f t="shared" si="0"/>
        <v/>
      </c>
      <c r="P43" s="1264"/>
      <c r="Q43" s="1438"/>
      <c r="R43" s="1484"/>
      <c r="S43" s="862"/>
      <c r="T43" s="862"/>
      <c r="U43" s="862"/>
      <c r="V43" s="862"/>
      <c r="W43" s="862"/>
      <c r="X43" s="862"/>
      <c r="Y43" s="862"/>
      <c r="Z43" s="862"/>
      <c r="AA43" s="862"/>
    </row>
    <row r="44" spans="1:27" s="863" customFormat="1" ht="35.1" hidden="1" customHeight="1">
      <c r="A44" s="2171">
        <v>39</v>
      </c>
      <c r="B44" s="1736">
        <f>SUM($O$6:O44)</f>
        <v>19</v>
      </c>
      <c r="C44" s="1737" t="e">
        <f>(VLOOKUP(A44,TongHopKL!B:F,5,0))</f>
        <v>#N/A</v>
      </c>
      <c r="D44" s="1738">
        <f>IFERROR(VLOOKUP(A44,DG!A:D,4,0),0)</f>
        <v>0</v>
      </c>
      <c r="E44" s="1739">
        <f>SUMIF(TongHopKL!B:B,'NT-VT'!A44,TongHopKL!H:H)</f>
        <v>0</v>
      </c>
      <c r="F44" s="1736" t="str">
        <f>IFERROR(VLOOKUP(A44,Solieu!G:M,2,0),"")</f>
        <v>nt</v>
      </c>
      <c r="G44" s="1736" t="str">
        <f>IFERROR(VLOOKUP(A44,Solieu!G:M,3,0),"")</f>
        <v>nt</v>
      </c>
      <c r="H44" s="1736"/>
      <c r="I44" s="1740"/>
      <c r="J44" s="1741"/>
      <c r="K44" s="1742"/>
      <c r="L44" s="1955" t="str">
        <f>IFERROR(VLOOKUP(A44,'Du thau'!C:BM,62,0),"")</f>
        <v/>
      </c>
      <c r="M44" s="1740" t="str">
        <f>IFERROR(VLOOKUP(A44,'Du thau'!C:BM,63,0),"")</f>
        <v/>
      </c>
      <c r="N44" s="1268" t="s">
        <v>4217</v>
      </c>
      <c r="O44" s="1483" t="str">
        <f t="shared" si="0"/>
        <v/>
      </c>
      <c r="P44" s="1264"/>
      <c r="Q44" s="1438"/>
      <c r="R44" s="1484"/>
      <c r="S44" s="862"/>
      <c r="T44" s="862"/>
      <c r="U44" s="862"/>
      <c r="V44" s="862"/>
      <c r="W44" s="862"/>
      <c r="X44" s="862"/>
      <c r="Y44" s="862"/>
      <c r="Z44" s="862"/>
      <c r="AA44" s="862"/>
    </row>
    <row r="45" spans="1:27" s="863" customFormat="1" ht="35.1" hidden="1" customHeight="1">
      <c r="A45" s="2171">
        <v>40</v>
      </c>
      <c r="B45" s="1736">
        <f>SUM($O$6:O45)</f>
        <v>19</v>
      </c>
      <c r="C45" s="1737" t="e">
        <f>(VLOOKUP(A45,TongHopKL!B:F,5,0))</f>
        <v>#N/A</v>
      </c>
      <c r="D45" s="1738">
        <f>IFERROR(VLOOKUP(A45,DG!A:D,4,0),0)</f>
        <v>0</v>
      </c>
      <c r="E45" s="1739">
        <f>SUMIF(TongHopKL!B:B,'NT-VT'!A45,TongHopKL!H:H)</f>
        <v>0</v>
      </c>
      <c r="F45" s="1736" t="str">
        <f>IFERROR(VLOOKUP(A45,Solieu!G:M,2,0),"")</f>
        <v>nt</v>
      </c>
      <c r="G45" s="1736" t="str">
        <f>IFERROR(VLOOKUP(A45,Solieu!G:M,3,0),"")</f>
        <v>nt</v>
      </c>
      <c r="H45" s="1736"/>
      <c r="I45" s="1740"/>
      <c r="J45" s="1741"/>
      <c r="K45" s="1742"/>
      <c r="L45" s="1955" t="str">
        <f>IFERROR(VLOOKUP(A45,'Du thau'!C:BM,62,0),"")</f>
        <v/>
      </c>
      <c r="M45" s="1740" t="str">
        <f>IFERROR(VLOOKUP(A45,'Du thau'!C:BM,63,0),"")</f>
        <v/>
      </c>
      <c r="N45" s="1268" t="s">
        <v>4217</v>
      </c>
      <c r="O45" s="1483" t="str">
        <f t="shared" si="0"/>
        <v/>
      </c>
      <c r="P45" s="1264"/>
      <c r="Q45" s="1438"/>
      <c r="R45" s="1484"/>
      <c r="S45" s="862"/>
      <c r="T45" s="862"/>
      <c r="U45" s="862"/>
      <c r="V45" s="862"/>
      <c r="W45" s="862"/>
      <c r="X45" s="862"/>
      <c r="Y45" s="862"/>
      <c r="Z45" s="862"/>
      <c r="AA45" s="862"/>
    </row>
    <row r="46" spans="1:27" s="863" customFormat="1" ht="35.1" hidden="1" customHeight="1">
      <c r="A46" s="2171">
        <v>41</v>
      </c>
      <c r="B46" s="1736">
        <f>SUM($O$6:O46)</f>
        <v>19</v>
      </c>
      <c r="C46" s="1737" t="e">
        <f>(VLOOKUP(A46,TongHopKL!B:F,5,0))</f>
        <v>#N/A</v>
      </c>
      <c r="D46" s="1738">
        <f>IFERROR(VLOOKUP(A46,DG!A:D,4,0),0)</f>
        <v>0</v>
      </c>
      <c r="E46" s="1739">
        <f>SUMIF(TongHopKL!B:B,'NT-VT'!A46,TongHopKL!H:H)</f>
        <v>0</v>
      </c>
      <c r="F46" s="1736" t="str">
        <f>IFERROR(VLOOKUP(A46,Solieu!G:M,2,0),"")</f>
        <v>nt</v>
      </c>
      <c r="G46" s="1736" t="str">
        <f>IFERROR(VLOOKUP(A46,Solieu!G:M,3,0),"")</f>
        <v>nt</v>
      </c>
      <c r="H46" s="1736"/>
      <c r="I46" s="1740"/>
      <c r="J46" s="1741"/>
      <c r="K46" s="1742"/>
      <c r="L46" s="1955" t="str">
        <f>IFERROR(VLOOKUP(A46,'Du thau'!C:BM,62,0),"")</f>
        <v/>
      </c>
      <c r="M46" s="1740" t="str">
        <f>IFERROR(VLOOKUP(A46,'Du thau'!C:BM,63,0),"")</f>
        <v/>
      </c>
      <c r="N46" s="1268" t="s">
        <v>4217</v>
      </c>
      <c r="O46" s="1483" t="str">
        <f t="shared" si="0"/>
        <v/>
      </c>
      <c r="P46" s="1264"/>
      <c r="Q46" s="1438"/>
      <c r="R46" s="1484"/>
      <c r="S46" s="862"/>
      <c r="T46" s="862"/>
      <c r="U46" s="862"/>
      <c r="V46" s="862"/>
      <c r="W46" s="862"/>
      <c r="X46" s="862"/>
      <c r="Y46" s="862"/>
      <c r="Z46" s="862"/>
      <c r="AA46" s="862"/>
    </row>
    <row r="47" spans="1:27" s="863" customFormat="1" ht="47.4" hidden="1" customHeight="1">
      <c r="A47" s="2171">
        <v>42</v>
      </c>
      <c r="B47" s="1736">
        <f>SUM($O$6:O47)</f>
        <v>19</v>
      </c>
      <c r="C47" s="1737" t="e">
        <f>(VLOOKUP(A47,TongHopKL!B:F,5,0))</f>
        <v>#N/A</v>
      </c>
      <c r="D47" s="1738">
        <f>IFERROR(VLOOKUP(A47,DG!A:D,4,0),0)</f>
        <v>0</v>
      </c>
      <c r="E47" s="1739">
        <f>SUMIF(TongHopKL!B:B,'NT-VT'!A47,TongHopKL!H:H)</f>
        <v>0</v>
      </c>
      <c r="F47" s="1736" t="str">
        <f>IFERROR(VLOOKUP(A47,Solieu!G:M,2,0),"")</f>
        <v>nt</v>
      </c>
      <c r="G47" s="1736" t="str">
        <f>IFERROR(VLOOKUP(A47,Solieu!G:M,3,0),"")</f>
        <v>nt</v>
      </c>
      <c r="H47" s="1736"/>
      <c r="I47" s="1740"/>
      <c r="J47" s="1741"/>
      <c r="K47" s="1742"/>
      <c r="L47" s="1955" t="str">
        <f>IFERROR(VLOOKUP(A47,'Du thau'!C:BM,62,0),"")</f>
        <v/>
      </c>
      <c r="M47" s="1740" t="str">
        <f>IFERROR(VLOOKUP(A47,'Du thau'!C:BM,63,0),"")</f>
        <v/>
      </c>
      <c r="N47" s="1268" t="s">
        <v>4217</v>
      </c>
      <c r="O47" s="1483" t="str">
        <f t="shared" si="0"/>
        <v/>
      </c>
      <c r="P47" s="1264"/>
      <c r="Q47" s="1438"/>
      <c r="R47" s="1484"/>
      <c r="S47" s="862"/>
      <c r="T47" s="862"/>
      <c r="U47" s="862"/>
      <c r="V47" s="862"/>
      <c r="W47" s="862"/>
      <c r="X47" s="862"/>
      <c r="Y47" s="862"/>
      <c r="Z47" s="862"/>
      <c r="AA47" s="862"/>
    </row>
    <row r="48" spans="1:27" s="863" customFormat="1" ht="35.1" hidden="1" customHeight="1">
      <c r="A48" s="2171">
        <v>43</v>
      </c>
      <c r="B48" s="1736">
        <f>SUM($O$6:O48)</f>
        <v>19</v>
      </c>
      <c r="C48" s="1737" t="e">
        <f>(VLOOKUP(A48,TongHopKL!B:F,5,0))</f>
        <v>#N/A</v>
      </c>
      <c r="D48" s="1738">
        <f>IFERROR(VLOOKUP(A48,DG!A:D,4,0),0)</f>
        <v>0</v>
      </c>
      <c r="E48" s="1739">
        <f>SUMIF(TongHopKL!B:B,'NT-VT'!A48,TongHopKL!H:H)</f>
        <v>0</v>
      </c>
      <c r="F48" s="1736" t="str">
        <f>IFERROR(VLOOKUP(A48,Solieu!G:M,2,0),"")</f>
        <v>nt</v>
      </c>
      <c r="G48" s="1736" t="str">
        <f>IFERROR(VLOOKUP(A48,Solieu!G:M,3,0),"")</f>
        <v>nt</v>
      </c>
      <c r="H48" s="1736"/>
      <c r="I48" s="1740"/>
      <c r="J48" s="1741"/>
      <c r="K48" s="1742"/>
      <c r="L48" s="1955" t="str">
        <f>IFERROR(VLOOKUP(A48,'Du thau'!C:BM,62,0),"")</f>
        <v/>
      </c>
      <c r="M48" s="1740" t="str">
        <f>IFERROR(VLOOKUP(A48,'Du thau'!C:BM,63,0),"")</f>
        <v/>
      </c>
      <c r="N48" s="1268" t="s">
        <v>4217</v>
      </c>
      <c r="O48" s="1483" t="str">
        <f t="shared" si="0"/>
        <v/>
      </c>
      <c r="P48" s="1264"/>
      <c r="Q48" s="1438"/>
      <c r="R48" s="1484"/>
      <c r="S48" s="862"/>
      <c r="T48" s="862"/>
      <c r="U48" s="862"/>
      <c r="V48" s="862"/>
      <c r="W48" s="862"/>
      <c r="X48" s="862"/>
      <c r="Y48" s="862"/>
      <c r="Z48" s="862"/>
      <c r="AA48" s="862"/>
    </row>
    <row r="49" spans="1:27" s="863" customFormat="1" ht="35.1" hidden="1" customHeight="1">
      <c r="A49" s="2171">
        <v>44</v>
      </c>
      <c r="B49" s="1736">
        <f>SUM($O$6:O49)</f>
        <v>19</v>
      </c>
      <c r="C49" s="1737" t="e">
        <f>(VLOOKUP(A49,TongHopKL!B:F,5,0))</f>
        <v>#N/A</v>
      </c>
      <c r="D49" s="1738">
        <f>IFERROR(VLOOKUP(A49,DG!A:D,4,0),0)</f>
        <v>0</v>
      </c>
      <c r="E49" s="1739">
        <f>SUMIF(TongHopKL!B:B,'NT-VT'!A49,TongHopKL!H:H)</f>
        <v>0</v>
      </c>
      <c r="F49" s="1736" t="str">
        <f>IFERROR(VLOOKUP(A49,Solieu!G:M,2,0),"")</f>
        <v>nt</v>
      </c>
      <c r="G49" s="1736" t="str">
        <f>IFERROR(VLOOKUP(A49,Solieu!G:M,3,0),"")</f>
        <v>nt</v>
      </c>
      <c r="H49" s="1736"/>
      <c r="I49" s="1740"/>
      <c r="J49" s="1741"/>
      <c r="K49" s="1742"/>
      <c r="L49" s="1955" t="str">
        <f>IFERROR(VLOOKUP(A49,'Du thau'!C:BM,62,0),"")</f>
        <v/>
      </c>
      <c r="M49" s="1740" t="str">
        <f>IFERROR(VLOOKUP(A49,'Du thau'!C:BM,63,0),"")</f>
        <v/>
      </c>
      <c r="N49" s="1268" t="s">
        <v>4217</v>
      </c>
      <c r="O49" s="1483" t="str">
        <f t="shared" si="0"/>
        <v/>
      </c>
      <c r="P49" s="1264"/>
      <c r="Q49" s="1438"/>
      <c r="R49" s="1484"/>
      <c r="S49" s="862"/>
      <c r="T49" s="862"/>
      <c r="U49" s="862"/>
      <c r="V49" s="862"/>
      <c r="W49" s="862"/>
      <c r="X49" s="862"/>
      <c r="Y49" s="862"/>
      <c r="Z49" s="862"/>
      <c r="AA49" s="862"/>
    </row>
    <row r="50" spans="1:27" s="863" customFormat="1" ht="35.1" hidden="1" customHeight="1">
      <c r="A50" s="2171">
        <v>45</v>
      </c>
      <c r="B50" s="1736">
        <f>SUM($O$6:O50)</f>
        <v>19</v>
      </c>
      <c r="C50" s="1737" t="e">
        <f>(VLOOKUP(A50,TongHopKL!B:F,5,0))</f>
        <v>#N/A</v>
      </c>
      <c r="D50" s="1738">
        <f>IFERROR(VLOOKUP(A50,DG!A:D,4,0),0)</f>
        <v>0</v>
      </c>
      <c r="E50" s="1739">
        <f>SUMIF(TongHopKL!B:B,'NT-VT'!A50,TongHopKL!H:H)</f>
        <v>0</v>
      </c>
      <c r="F50" s="1736" t="str">
        <f>IFERROR(VLOOKUP(A50,Solieu!G:M,2,0),"")</f>
        <v>nt</v>
      </c>
      <c r="G50" s="1736" t="str">
        <f>IFERROR(VLOOKUP(A50,Solieu!G:M,3,0),"")</f>
        <v>nt</v>
      </c>
      <c r="H50" s="1736"/>
      <c r="I50" s="1740"/>
      <c r="J50" s="1741"/>
      <c r="K50" s="1742"/>
      <c r="L50" s="1955" t="str">
        <f>IFERROR(VLOOKUP(A50,'Du thau'!C:BM,62,0),"")</f>
        <v/>
      </c>
      <c r="M50" s="1740" t="str">
        <f>IFERROR(VLOOKUP(A50,'Du thau'!C:BM,63,0),"")</f>
        <v/>
      </c>
      <c r="N50" s="1268" t="s">
        <v>4217</v>
      </c>
      <c r="O50" s="1483" t="str">
        <f t="shared" si="0"/>
        <v/>
      </c>
      <c r="P50" s="1264"/>
      <c r="Q50" s="1438"/>
      <c r="R50" s="1484"/>
      <c r="S50" s="862"/>
      <c r="T50" s="862"/>
      <c r="U50" s="862"/>
      <c r="V50" s="862"/>
      <c r="W50" s="862"/>
      <c r="X50" s="862"/>
      <c r="Y50" s="862"/>
      <c r="Z50" s="862"/>
      <c r="AA50" s="862"/>
    </row>
    <row r="51" spans="1:27" s="863" customFormat="1" ht="35.1" hidden="1" customHeight="1">
      <c r="A51" s="2171">
        <v>46</v>
      </c>
      <c r="B51" s="1736">
        <f>SUM($O$6:O51)</f>
        <v>19</v>
      </c>
      <c r="C51" s="1737" t="e">
        <f>(VLOOKUP(A51,TongHopKL!B:F,5,0))</f>
        <v>#N/A</v>
      </c>
      <c r="D51" s="1738">
        <f>IFERROR(VLOOKUP(A51,DG!A:D,4,0),0)</f>
        <v>0</v>
      </c>
      <c r="E51" s="1739">
        <f>SUMIF(TongHopKL!B:B,'NT-VT'!A51,TongHopKL!H:H)</f>
        <v>0</v>
      </c>
      <c r="F51" s="1736" t="str">
        <f>IFERROR(VLOOKUP(A51,Solieu!G:M,2,0),"")</f>
        <v>nt</v>
      </c>
      <c r="G51" s="1736" t="str">
        <f>IFERROR(VLOOKUP(A51,Solieu!G:M,3,0),"")</f>
        <v>nt</v>
      </c>
      <c r="H51" s="1736"/>
      <c r="I51" s="1740"/>
      <c r="J51" s="1741"/>
      <c r="K51" s="1742"/>
      <c r="L51" s="1955" t="str">
        <f>IFERROR(VLOOKUP(A51,'Du thau'!C:BM,62,0),"")</f>
        <v/>
      </c>
      <c r="M51" s="1740" t="str">
        <f>IFERROR(VLOOKUP(A51,'Du thau'!C:BM,63,0),"")</f>
        <v/>
      </c>
      <c r="N51" s="1268" t="s">
        <v>4217</v>
      </c>
      <c r="O51" s="1483" t="str">
        <f t="shared" si="0"/>
        <v/>
      </c>
      <c r="P51" s="1264"/>
      <c r="Q51" s="1438"/>
      <c r="R51" s="1484"/>
      <c r="S51" s="862"/>
      <c r="T51" s="862"/>
      <c r="U51" s="862"/>
      <c r="V51" s="862"/>
      <c r="W51" s="862"/>
      <c r="X51" s="862"/>
      <c r="Y51" s="862"/>
      <c r="Z51" s="862"/>
      <c r="AA51" s="862"/>
    </row>
    <row r="52" spans="1:27" s="863" customFormat="1" ht="35.1" hidden="1" customHeight="1">
      <c r="A52" s="2171">
        <v>47</v>
      </c>
      <c r="B52" s="1736">
        <f>SUM($O$6:O52)</f>
        <v>19</v>
      </c>
      <c r="C52" s="1737" t="e">
        <f>(VLOOKUP(A52,TongHopKL!B:F,5,0))</f>
        <v>#N/A</v>
      </c>
      <c r="D52" s="1738">
        <f>IFERROR(VLOOKUP(A52,DG!A:D,4,0),0)</f>
        <v>0</v>
      </c>
      <c r="E52" s="1739">
        <f>SUMIF(TongHopKL!B:B,'NT-VT'!A52,TongHopKL!H:H)</f>
        <v>0</v>
      </c>
      <c r="F52" s="1736" t="str">
        <f>IFERROR(VLOOKUP(A52,Solieu!G:M,2,0),"")</f>
        <v>nt</v>
      </c>
      <c r="G52" s="1736" t="str">
        <f>IFERROR(VLOOKUP(A52,Solieu!G:M,3,0),"")</f>
        <v>nt</v>
      </c>
      <c r="H52" s="1736"/>
      <c r="I52" s="1740"/>
      <c r="J52" s="1741"/>
      <c r="K52" s="1742"/>
      <c r="L52" s="1955" t="str">
        <f>IFERROR(VLOOKUP(A52,'Du thau'!C:BM,62,0),"")</f>
        <v/>
      </c>
      <c r="M52" s="1740" t="str">
        <f>IFERROR(VLOOKUP(A52,'Du thau'!C:BM,63,0),"")</f>
        <v/>
      </c>
      <c r="N52" s="1268" t="s">
        <v>4217</v>
      </c>
      <c r="O52" s="1483" t="str">
        <f t="shared" si="0"/>
        <v/>
      </c>
      <c r="P52" s="1264"/>
      <c r="Q52" s="1438"/>
      <c r="R52" s="1484"/>
      <c r="S52" s="862"/>
      <c r="T52" s="862"/>
      <c r="U52" s="862"/>
      <c r="V52" s="862"/>
      <c r="W52" s="862"/>
      <c r="X52" s="862"/>
      <c r="Y52" s="862"/>
      <c r="Z52" s="862"/>
      <c r="AA52" s="862"/>
    </row>
    <row r="53" spans="1:27" s="863" customFormat="1" ht="35.1" hidden="1" customHeight="1">
      <c r="A53" s="2171">
        <v>48</v>
      </c>
      <c r="B53" s="1736">
        <f>SUM($O$6:O53)</f>
        <v>19</v>
      </c>
      <c r="C53" s="1737" t="e">
        <f>(VLOOKUP(A53,TongHopKL!B:F,5,0))</f>
        <v>#N/A</v>
      </c>
      <c r="D53" s="1738">
        <f>IFERROR(VLOOKUP(A53,DG!A:D,4,0),0)</f>
        <v>0</v>
      </c>
      <c r="E53" s="1739">
        <f>SUMIF(TongHopKL!B:B,'NT-VT'!A53,TongHopKL!H:H)</f>
        <v>0</v>
      </c>
      <c r="F53" s="1736" t="str">
        <f>IFERROR(VLOOKUP(A53,Solieu!G:M,2,0),"")</f>
        <v>nt</v>
      </c>
      <c r="G53" s="1736" t="str">
        <f>IFERROR(VLOOKUP(A53,Solieu!G:M,3,0),"")</f>
        <v>nt</v>
      </c>
      <c r="H53" s="1736"/>
      <c r="I53" s="1740"/>
      <c r="J53" s="1741"/>
      <c r="K53" s="1742"/>
      <c r="L53" s="1955" t="str">
        <f>IFERROR(VLOOKUP(A53,'Du thau'!C:BM,62,0),"")</f>
        <v/>
      </c>
      <c r="M53" s="1740" t="str">
        <f>IFERROR(VLOOKUP(A53,'Du thau'!C:BM,63,0),"")</f>
        <v/>
      </c>
      <c r="N53" s="1268" t="s">
        <v>4217</v>
      </c>
      <c r="O53" s="1483" t="str">
        <f t="shared" si="0"/>
        <v/>
      </c>
      <c r="P53" s="1264"/>
      <c r="Q53" s="1438"/>
      <c r="R53" s="1484"/>
      <c r="S53" s="862"/>
      <c r="T53" s="862"/>
      <c r="U53" s="862"/>
      <c r="V53" s="862"/>
      <c r="W53" s="862"/>
      <c r="X53" s="862"/>
      <c r="Y53" s="862"/>
      <c r="Z53" s="862"/>
      <c r="AA53" s="862"/>
    </row>
    <row r="54" spans="1:27" s="863" customFormat="1" ht="35.1" hidden="1" customHeight="1">
      <c r="A54" s="2171">
        <v>49</v>
      </c>
      <c r="B54" s="1736">
        <f>SUM($O$6:O54)</f>
        <v>19</v>
      </c>
      <c r="C54" s="1737" t="e">
        <f>(VLOOKUP(A54,TongHopKL!B:F,5,0))</f>
        <v>#N/A</v>
      </c>
      <c r="D54" s="1738">
        <f>IFERROR(VLOOKUP(A54,DG!A:D,4,0),0)</f>
        <v>0</v>
      </c>
      <c r="E54" s="1739">
        <f>SUMIF(TongHopKL!B:B,'NT-VT'!A54,TongHopKL!H:H)</f>
        <v>0</v>
      </c>
      <c r="F54" s="1736" t="str">
        <f>IFERROR(VLOOKUP(A54,Solieu!G:M,2,0),"")</f>
        <v>nt</v>
      </c>
      <c r="G54" s="1736" t="str">
        <f>IFERROR(VLOOKUP(A54,Solieu!G:M,3,0),"")</f>
        <v>nt</v>
      </c>
      <c r="H54" s="1736"/>
      <c r="I54" s="1740"/>
      <c r="J54" s="1741"/>
      <c r="K54" s="1742"/>
      <c r="L54" s="1955" t="str">
        <f>IFERROR(VLOOKUP(A54,'Du thau'!C:BM,62,0),"")</f>
        <v/>
      </c>
      <c r="M54" s="1740" t="str">
        <f>IFERROR(VLOOKUP(A54,'Du thau'!C:BM,63,0),"")</f>
        <v/>
      </c>
      <c r="N54" s="1268" t="s">
        <v>4217</v>
      </c>
      <c r="O54" s="1483" t="str">
        <f t="shared" si="0"/>
        <v/>
      </c>
      <c r="P54" s="1264"/>
      <c r="Q54" s="1438"/>
      <c r="R54" s="1484"/>
      <c r="S54" s="862"/>
      <c r="T54" s="862"/>
      <c r="U54" s="862"/>
      <c r="V54" s="862"/>
      <c r="W54" s="862"/>
      <c r="X54" s="862"/>
      <c r="Y54" s="862"/>
      <c r="Z54" s="862"/>
      <c r="AA54" s="862"/>
    </row>
    <row r="55" spans="1:27" s="863" customFormat="1" ht="35.1" hidden="1" customHeight="1">
      <c r="A55" s="2171">
        <v>50</v>
      </c>
      <c r="B55" s="1736">
        <f>SUM($O$6:O55)</f>
        <v>19</v>
      </c>
      <c r="C55" s="1737" t="e">
        <f>(VLOOKUP(A55,TongHopKL!B:F,5,0))</f>
        <v>#N/A</v>
      </c>
      <c r="D55" s="1738">
        <f>IFERROR(VLOOKUP(A55,DG!A:D,4,0),0)</f>
        <v>0</v>
      </c>
      <c r="E55" s="1739">
        <f>SUMIF(TongHopKL!B:B,'NT-VT'!A55,TongHopKL!H:H)</f>
        <v>0</v>
      </c>
      <c r="F55" s="1736" t="str">
        <f>IFERROR(VLOOKUP(A55,Solieu!G:M,2,0),"")</f>
        <v>nt</v>
      </c>
      <c r="G55" s="1736" t="str">
        <f>IFERROR(VLOOKUP(A55,Solieu!G:M,3,0),"")</f>
        <v>nt</v>
      </c>
      <c r="H55" s="1736"/>
      <c r="I55" s="1740"/>
      <c r="J55" s="1741"/>
      <c r="K55" s="1742"/>
      <c r="L55" s="1955" t="str">
        <f>IFERROR(VLOOKUP(A55,'Du thau'!C:BM,62,0),"")</f>
        <v/>
      </c>
      <c r="M55" s="1740" t="str">
        <f>IFERROR(VLOOKUP(A55,'Du thau'!C:BM,63,0),"")</f>
        <v/>
      </c>
      <c r="N55" s="1268" t="s">
        <v>4217</v>
      </c>
      <c r="O55" s="1483" t="str">
        <f t="shared" si="0"/>
        <v/>
      </c>
      <c r="P55" s="1264"/>
      <c r="Q55" s="1438"/>
      <c r="R55" s="1484"/>
      <c r="S55" s="862"/>
      <c r="T55" s="862"/>
      <c r="U55" s="862"/>
      <c r="V55" s="862"/>
      <c r="W55" s="862"/>
      <c r="X55" s="862"/>
      <c r="Y55" s="862"/>
      <c r="Z55" s="862"/>
      <c r="AA55" s="862"/>
    </row>
    <row r="56" spans="1:27" s="863" customFormat="1" ht="35.1" hidden="1" customHeight="1">
      <c r="A56" s="2171">
        <v>51</v>
      </c>
      <c r="B56" s="1736">
        <f>SUM($O$6:O56)</f>
        <v>19</v>
      </c>
      <c r="C56" s="1737" t="e">
        <f>(VLOOKUP(A56,TongHopKL!B:F,5,0))</f>
        <v>#N/A</v>
      </c>
      <c r="D56" s="1738">
        <f>IFERROR(VLOOKUP(A56,DG!A:D,4,0),0)</f>
        <v>0</v>
      </c>
      <c r="E56" s="1739">
        <f>SUMIF(TongHopKL!B:B,'NT-VT'!A56,TongHopKL!H:H)</f>
        <v>0</v>
      </c>
      <c r="F56" s="1736" t="str">
        <f>IFERROR(VLOOKUP(A56,Solieu!G:M,2,0),"")</f>
        <v>nt</v>
      </c>
      <c r="G56" s="1736" t="str">
        <f>IFERROR(VLOOKUP(A56,Solieu!G:M,3,0),"")</f>
        <v>nt</v>
      </c>
      <c r="H56" s="1736"/>
      <c r="I56" s="1740"/>
      <c r="J56" s="1741"/>
      <c r="K56" s="1742"/>
      <c r="L56" s="1955" t="str">
        <f>IFERROR(VLOOKUP(A56,'Du thau'!C:BM,62,0),"")</f>
        <v/>
      </c>
      <c r="M56" s="1740" t="str">
        <f>IFERROR(VLOOKUP(A56,'Du thau'!C:BM,63,0),"")</f>
        <v/>
      </c>
      <c r="N56" s="1268" t="s">
        <v>4217</v>
      </c>
      <c r="O56" s="1483" t="str">
        <f t="shared" si="0"/>
        <v/>
      </c>
      <c r="P56" s="1264"/>
      <c r="Q56" s="1438"/>
      <c r="R56" s="1484"/>
      <c r="S56" s="862"/>
      <c r="T56" s="862"/>
      <c r="U56" s="862"/>
      <c r="V56" s="862"/>
      <c r="W56" s="862"/>
      <c r="X56" s="862"/>
      <c r="Y56" s="862"/>
      <c r="Z56" s="862"/>
      <c r="AA56" s="862"/>
    </row>
    <row r="57" spans="1:27" s="863" customFormat="1" ht="35.1" hidden="1" customHeight="1">
      <c r="A57" s="2171">
        <v>52</v>
      </c>
      <c r="B57" s="1736">
        <f>SUM($O$6:O57)</f>
        <v>19</v>
      </c>
      <c r="C57" s="1737" t="e">
        <f>(VLOOKUP(A57,TongHopKL!B:F,5,0))</f>
        <v>#N/A</v>
      </c>
      <c r="D57" s="1738">
        <f>IFERROR(VLOOKUP(A57,DG!A:D,4,0),0)</f>
        <v>0</v>
      </c>
      <c r="E57" s="1739">
        <f>SUMIF(TongHopKL!B:B,'NT-VT'!A57,TongHopKL!H:H)</f>
        <v>0</v>
      </c>
      <c r="F57" s="1736" t="str">
        <f>IFERROR(VLOOKUP(A57,Solieu!G:M,2,0),"")</f>
        <v>nt</v>
      </c>
      <c r="G57" s="1736" t="str">
        <f>IFERROR(VLOOKUP(A57,Solieu!G:M,3,0),"")</f>
        <v>nt</v>
      </c>
      <c r="H57" s="1736"/>
      <c r="I57" s="1740"/>
      <c r="J57" s="1741"/>
      <c r="K57" s="1742"/>
      <c r="L57" s="1955" t="str">
        <f>IFERROR(VLOOKUP(A57,'Du thau'!C:BM,62,0),"")</f>
        <v/>
      </c>
      <c r="M57" s="1740" t="str">
        <f>IFERROR(VLOOKUP(A57,'Du thau'!C:BM,63,0),"")</f>
        <v/>
      </c>
      <c r="N57" s="1268" t="s">
        <v>4217</v>
      </c>
      <c r="O57" s="1483" t="str">
        <f t="shared" si="0"/>
        <v/>
      </c>
      <c r="P57" s="1264"/>
      <c r="Q57" s="1438"/>
      <c r="R57" s="1484"/>
      <c r="S57" s="862"/>
      <c r="T57" s="862"/>
      <c r="U57" s="862"/>
      <c r="V57" s="862"/>
      <c r="W57" s="862"/>
      <c r="X57" s="862"/>
      <c r="Y57" s="862"/>
      <c r="Z57" s="862"/>
      <c r="AA57" s="862"/>
    </row>
    <row r="58" spans="1:27" s="863" customFormat="1" ht="35.1" hidden="1" customHeight="1">
      <c r="A58" s="2171">
        <v>53</v>
      </c>
      <c r="B58" s="1736">
        <f>SUM($O$6:O58)</f>
        <v>19</v>
      </c>
      <c r="C58" s="1737" t="e">
        <f>(VLOOKUP(A58,TongHopKL!B:F,5,0))</f>
        <v>#N/A</v>
      </c>
      <c r="D58" s="1738">
        <f>IFERROR(VLOOKUP(A58,DG!A:D,4,0),0)</f>
        <v>0</v>
      </c>
      <c r="E58" s="1739">
        <f>SUMIF(TongHopKL!B:B,'NT-VT'!A58,TongHopKL!H:H)</f>
        <v>0</v>
      </c>
      <c r="F58" s="1736" t="str">
        <f>IFERROR(VLOOKUP(A58,Solieu!G:M,2,0),"")</f>
        <v>nt</v>
      </c>
      <c r="G58" s="1736" t="str">
        <f>IFERROR(VLOOKUP(A58,Solieu!G:M,3,0),"")</f>
        <v>nt</v>
      </c>
      <c r="H58" s="1736"/>
      <c r="I58" s="1740"/>
      <c r="J58" s="1741"/>
      <c r="K58" s="1742"/>
      <c r="L58" s="1955" t="str">
        <f>IFERROR(VLOOKUP(A58,'Du thau'!C:BM,62,0),"")</f>
        <v/>
      </c>
      <c r="M58" s="1740" t="str">
        <f>IFERROR(VLOOKUP(A58,'Du thau'!C:BM,63,0),"")</f>
        <v/>
      </c>
      <c r="N58" s="1268" t="s">
        <v>4217</v>
      </c>
      <c r="O58" s="1483" t="str">
        <f t="shared" si="0"/>
        <v/>
      </c>
      <c r="P58" s="1264"/>
      <c r="Q58" s="1438"/>
      <c r="R58" s="1484"/>
      <c r="S58" s="862"/>
      <c r="T58" s="862"/>
      <c r="U58" s="862"/>
      <c r="V58" s="862"/>
      <c r="W58" s="862"/>
      <c r="X58" s="862"/>
      <c r="Y58" s="862"/>
      <c r="Z58" s="862"/>
      <c r="AA58" s="862"/>
    </row>
    <row r="59" spans="1:27" s="863" customFormat="1" ht="35.1" hidden="1" customHeight="1">
      <c r="A59" s="2171">
        <v>54</v>
      </c>
      <c r="B59" s="1736">
        <f>SUM($O$6:O59)</f>
        <v>19</v>
      </c>
      <c r="C59" s="1737" t="e">
        <f>(VLOOKUP(A59,TongHopKL!B:F,5,0))</f>
        <v>#N/A</v>
      </c>
      <c r="D59" s="1738">
        <f>IFERROR(VLOOKUP(A59,DG!A:D,4,0),0)</f>
        <v>0</v>
      </c>
      <c r="E59" s="1739">
        <f>SUMIF(TongHopKL!B:B,'NT-VT'!A59,TongHopKL!H:H)</f>
        <v>0</v>
      </c>
      <c r="F59" s="1736" t="str">
        <f>IFERROR(VLOOKUP(A59,Solieu!G:M,2,0),"")</f>
        <v>nt</v>
      </c>
      <c r="G59" s="1736" t="str">
        <f>IFERROR(VLOOKUP(A59,Solieu!G:M,3,0),"")</f>
        <v>nt</v>
      </c>
      <c r="H59" s="1736"/>
      <c r="I59" s="1740"/>
      <c r="J59" s="1741"/>
      <c r="K59" s="1742"/>
      <c r="L59" s="1955" t="str">
        <f>IFERROR(VLOOKUP(A59,'Du thau'!C:BM,62,0),"")</f>
        <v/>
      </c>
      <c r="M59" s="1740" t="str">
        <f>IFERROR(VLOOKUP(A59,'Du thau'!C:BM,63,0),"")</f>
        <v/>
      </c>
      <c r="N59" s="1268" t="s">
        <v>4217</v>
      </c>
      <c r="O59" s="1483" t="str">
        <f t="shared" si="0"/>
        <v/>
      </c>
      <c r="P59" s="1264"/>
      <c r="Q59" s="1438"/>
      <c r="R59" s="1484"/>
      <c r="S59" s="862"/>
      <c r="T59" s="862"/>
      <c r="U59" s="862"/>
      <c r="V59" s="862"/>
      <c r="W59" s="862"/>
      <c r="X59" s="862"/>
      <c r="Y59" s="862"/>
      <c r="Z59" s="862"/>
      <c r="AA59" s="862"/>
    </row>
    <row r="60" spans="1:27" s="863" customFormat="1" ht="35.1" hidden="1" customHeight="1">
      <c r="A60" s="2171">
        <v>55</v>
      </c>
      <c r="B60" s="1736">
        <f>SUM($O$6:O60)</f>
        <v>19</v>
      </c>
      <c r="C60" s="1737" t="e">
        <f>(VLOOKUP(A60,TongHopKL!B:F,5,0))</f>
        <v>#N/A</v>
      </c>
      <c r="D60" s="1738">
        <f>IFERROR(VLOOKUP(A60,DG!A:D,4,0),0)</f>
        <v>0</v>
      </c>
      <c r="E60" s="1739">
        <f>SUMIF(TongHopKL!B:B,'NT-VT'!A60,TongHopKL!H:H)</f>
        <v>0</v>
      </c>
      <c r="F60" s="1736" t="str">
        <f>IFERROR(VLOOKUP(A60,Solieu!G:M,2,0),"")</f>
        <v>nt</v>
      </c>
      <c r="G60" s="1736" t="str">
        <f>IFERROR(VLOOKUP(A60,Solieu!G:M,3,0),"")</f>
        <v>nt</v>
      </c>
      <c r="H60" s="1736"/>
      <c r="I60" s="1740"/>
      <c r="J60" s="1741"/>
      <c r="K60" s="1742"/>
      <c r="L60" s="1955" t="str">
        <f>IFERROR(VLOOKUP(A60,'Du thau'!C:BM,62,0),"")</f>
        <v/>
      </c>
      <c r="M60" s="1740" t="str">
        <f>IFERROR(VLOOKUP(A60,'Du thau'!C:BM,63,0),"")</f>
        <v/>
      </c>
      <c r="N60" s="1268" t="s">
        <v>4217</v>
      </c>
      <c r="O60" s="1483" t="str">
        <f t="shared" si="0"/>
        <v/>
      </c>
      <c r="P60" s="1264"/>
      <c r="Q60" s="1438"/>
      <c r="R60" s="1484"/>
      <c r="S60" s="862"/>
      <c r="T60" s="862"/>
      <c r="U60" s="862"/>
      <c r="V60" s="862"/>
      <c r="W60" s="862"/>
      <c r="X60" s="862"/>
      <c r="Y60" s="862"/>
      <c r="Z60" s="862"/>
      <c r="AA60" s="862"/>
    </row>
    <row r="61" spans="1:27" s="863" customFormat="1" ht="35.1" hidden="1" customHeight="1">
      <c r="A61" s="2171">
        <v>56</v>
      </c>
      <c r="B61" s="1736">
        <f>SUM($O$6:O61)</f>
        <v>19</v>
      </c>
      <c r="C61" s="1737" t="e">
        <f>(VLOOKUP(A61,TongHopKL!B:F,5,0))</f>
        <v>#N/A</v>
      </c>
      <c r="D61" s="1738">
        <f>IFERROR(VLOOKUP(A61,DG!A:D,4,0),0)</f>
        <v>0</v>
      </c>
      <c r="E61" s="1739">
        <f>SUMIF(TongHopKL!B:B,'NT-VT'!A61,TongHopKL!H:H)</f>
        <v>0</v>
      </c>
      <c r="F61" s="1736" t="str">
        <f>IFERROR(VLOOKUP(A61,Solieu!G:M,2,0),"")</f>
        <v>nt</v>
      </c>
      <c r="G61" s="1736" t="str">
        <f>IFERROR(VLOOKUP(A61,Solieu!G:M,3,0),"")</f>
        <v>nt</v>
      </c>
      <c r="H61" s="1736"/>
      <c r="I61" s="1740"/>
      <c r="J61" s="1741"/>
      <c r="K61" s="1742"/>
      <c r="L61" s="1955" t="str">
        <f>IFERROR(VLOOKUP(A61,'Du thau'!C:BM,62,0),"")</f>
        <v/>
      </c>
      <c r="M61" s="1740" t="str">
        <f>IFERROR(VLOOKUP(A61,'Du thau'!C:BM,63,0),"")</f>
        <v/>
      </c>
      <c r="N61" s="1268" t="s">
        <v>4217</v>
      </c>
      <c r="O61" s="1483" t="str">
        <f t="shared" si="0"/>
        <v/>
      </c>
      <c r="P61" s="1264"/>
      <c r="Q61" s="1438"/>
      <c r="R61" s="1484"/>
      <c r="S61" s="862"/>
      <c r="T61" s="862"/>
      <c r="U61" s="862"/>
      <c r="V61" s="862"/>
      <c r="W61" s="862"/>
      <c r="X61" s="862"/>
      <c r="Y61" s="862"/>
      <c r="Z61" s="862"/>
      <c r="AA61" s="862"/>
    </row>
    <row r="62" spans="1:27" s="863" customFormat="1" ht="35.1" hidden="1" customHeight="1">
      <c r="A62" s="2171">
        <v>57</v>
      </c>
      <c r="B62" s="1736">
        <f>SUM($O$6:O62)</f>
        <v>19</v>
      </c>
      <c r="C62" s="1737" t="e">
        <f>(VLOOKUP(A62,TongHopKL!B:F,5,0))</f>
        <v>#N/A</v>
      </c>
      <c r="D62" s="1738">
        <f>IFERROR(VLOOKUP(A62,DG!A:D,4,0),0)</f>
        <v>0</v>
      </c>
      <c r="E62" s="1739">
        <f>SUMIF(TongHopKL!B:B,'NT-VT'!A62,TongHopKL!H:H)</f>
        <v>0</v>
      </c>
      <c r="F62" s="1736" t="str">
        <f>IFERROR(VLOOKUP(A62,Solieu!G:M,2,0),"")</f>
        <v>nt</v>
      </c>
      <c r="G62" s="1736" t="str">
        <f>IFERROR(VLOOKUP(A62,Solieu!G:M,3,0),"")</f>
        <v>nt</v>
      </c>
      <c r="H62" s="1736"/>
      <c r="I62" s="1740"/>
      <c r="J62" s="1741"/>
      <c r="K62" s="1742"/>
      <c r="L62" s="1955" t="str">
        <f>IFERROR(VLOOKUP(A62,'Du thau'!C:BM,62,0),"")</f>
        <v/>
      </c>
      <c r="M62" s="1740" t="str">
        <f>IFERROR(VLOOKUP(A62,'Du thau'!C:BM,63,0),"")</f>
        <v/>
      </c>
      <c r="N62" s="1268" t="s">
        <v>4217</v>
      </c>
      <c r="O62" s="1483" t="str">
        <f t="shared" si="0"/>
        <v/>
      </c>
      <c r="P62" s="1264"/>
      <c r="Q62" s="1438"/>
      <c r="R62" s="1484"/>
      <c r="S62" s="862"/>
      <c r="T62" s="862"/>
      <c r="U62" s="862"/>
      <c r="V62" s="862"/>
      <c r="W62" s="862"/>
      <c r="X62" s="862"/>
      <c r="Y62" s="862"/>
      <c r="Z62" s="862"/>
      <c r="AA62" s="862"/>
    </row>
    <row r="63" spans="1:27" s="863" customFormat="1" ht="35.1" hidden="1" customHeight="1">
      <c r="A63" s="2171">
        <v>58</v>
      </c>
      <c r="B63" s="1736">
        <f>SUM($O$6:O63)</f>
        <v>19</v>
      </c>
      <c r="C63" s="1737" t="e">
        <f>(VLOOKUP(A63,TongHopKL!B:F,5,0))</f>
        <v>#N/A</v>
      </c>
      <c r="D63" s="1738">
        <f>IFERROR(VLOOKUP(A63,DG!A:D,4,0),0)</f>
        <v>0</v>
      </c>
      <c r="E63" s="1739">
        <f>SUMIF(TongHopKL!B:B,'NT-VT'!A63,TongHopKL!H:H)</f>
        <v>0</v>
      </c>
      <c r="F63" s="1736" t="str">
        <f>IFERROR(VLOOKUP(A63,Solieu!G:M,2,0),"")</f>
        <v>nt</v>
      </c>
      <c r="G63" s="1736" t="str">
        <f>IFERROR(VLOOKUP(A63,Solieu!G:M,3,0),"")</f>
        <v>nt</v>
      </c>
      <c r="H63" s="1736"/>
      <c r="I63" s="1740"/>
      <c r="J63" s="1741"/>
      <c r="K63" s="1742"/>
      <c r="L63" s="1955" t="str">
        <f>IFERROR(VLOOKUP(A63,'Du thau'!C:BM,62,0),"")</f>
        <v/>
      </c>
      <c r="M63" s="1740" t="str">
        <f>IFERROR(VLOOKUP(A63,'Du thau'!C:BM,63,0),"")</f>
        <v/>
      </c>
      <c r="N63" s="1268" t="s">
        <v>4217</v>
      </c>
      <c r="O63" s="1483" t="str">
        <f t="shared" si="0"/>
        <v/>
      </c>
      <c r="P63" s="1264"/>
      <c r="Q63" s="1438"/>
      <c r="R63" s="1484"/>
      <c r="S63" s="862"/>
      <c r="T63" s="862"/>
      <c r="U63" s="862"/>
      <c r="V63" s="862"/>
      <c r="W63" s="862"/>
      <c r="X63" s="862"/>
      <c r="Y63" s="862"/>
      <c r="Z63" s="862"/>
      <c r="AA63" s="862"/>
    </row>
    <row r="64" spans="1:27" s="863" customFormat="1" ht="35.1" hidden="1" customHeight="1">
      <c r="A64" s="2171">
        <v>59</v>
      </c>
      <c r="B64" s="1736">
        <f>SUM($O$6:O64)</f>
        <v>19</v>
      </c>
      <c r="C64" s="1737" t="e">
        <f>(VLOOKUP(A64,TongHopKL!B:F,5,0))</f>
        <v>#N/A</v>
      </c>
      <c r="D64" s="1738">
        <f>IFERROR(VLOOKUP(A64,DG!A:D,4,0),0)</f>
        <v>0</v>
      </c>
      <c r="E64" s="1739">
        <f>SUMIF(TongHopKL!B:B,'NT-VT'!A64,TongHopKL!H:H)</f>
        <v>0</v>
      </c>
      <c r="F64" s="1736" t="str">
        <f>IFERROR(VLOOKUP(A64,Solieu!G:M,2,0),"")</f>
        <v>nt</v>
      </c>
      <c r="G64" s="1736" t="str">
        <f>IFERROR(VLOOKUP(A64,Solieu!G:M,3,0),"")</f>
        <v>nt</v>
      </c>
      <c r="H64" s="1736"/>
      <c r="I64" s="1740"/>
      <c r="J64" s="1741"/>
      <c r="K64" s="1742"/>
      <c r="L64" s="1955" t="str">
        <f>IFERROR(VLOOKUP(A64,'Du thau'!C:BM,62,0),"")</f>
        <v/>
      </c>
      <c r="M64" s="1740" t="str">
        <f>IFERROR(VLOOKUP(A64,'Du thau'!C:BM,63,0),"")</f>
        <v/>
      </c>
      <c r="N64" s="1268" t="s">
        <v>4217</v>
      </c>
      <c r="O64" s="1483" t="str">
        <f t="shared" si="0"/>
        <v/>
      </c>
      <c r="P64" s="1264"/>
      <c r="Q64" s="1438"/>
      <c r="R64" s="1484"/>
      <c r="S64" s="862"/>
      <c r="T64" s="862"/>
      <c r="U64" s="862"/>
      <c r="V64" s="862"/>
      <c r="W64" s="862"/>
      <c r="X64" s="862"/>
      <c r="Y64" s="862"/>
      <c r="Z64" s="862"/>
      <c r="AA64" s="862"/>
    </row>
    <row r="65" spans="1:27" s="863" customFormat="1" ht="35.1" hidden="1" customHeight="1">
      <c r="A65" s="2171">
        <v>60</v>
      </c>
      <c r="B65" s="1736">
        <f>SUM($O$6:O65)</f>
        <v>19</v>
      </c>
      <c r="C65" s="1737" t="e">
        <f>(VLOOKUP(A65,TongHopKL!B:F,5,0))</f>
        <v>#N/A</v>
      </c>
      <c r="D65" s="1738">
        <f>IFERROR(VLOOKUP(A65,DG!A:D,4,0),0)</f>
        <v>0</v>
      </c>
      <c r="E65" s="1739">
        <f>SUMIF(TongHopKL!B:B,'NT-VT'!A65,TongHopKL!H:H)</f>
        <v>0</v>
      </c>
      <c r="F65" s="1736" t="str">
        <f>IFERROR(VLOOKUP(A65,Solieu!G:M,2,0),"")</f>
        <v>nt</v>
      </c>
      <c r="G65" s="1736" t="str">
        <f>IFERROR(VLOOKUP(A65,Solieu!G:M,3,0),"")</f>
        <v>nt</v>
      </c>
      <c r="H65" s="1736"/>
      <c r="I65" s="1740"/>
      <c r="J65" s="1741"/>
      <c r="K65" s="1742"/>
      <c r="L65" s="1955" t="str">
        <f>IFERROR(VLOOKUP(A65,'Du thau'!C:BM,62,0),"")</f>
        <v/>
      </c>
      <c r="M65" s="1740" t="str">
        <f>IFERROR(VLOOKUP(A65,'Du thau'!C:BM,63,0),"")</f>
        <v/>
      </c>
      <c r="N65" s="1268" t="s">
        <v>4217</v>
      </c>
      <c r="O65" s="1483" t="str">
        <f t="shared" si="0"/>
        <v/>
      </c>
      <c r="P65" s="1264"/>
      <c r="Q65" s="1438"/>
      <c r="R65" s="1484"/>
      <c r="S65" s="862"/>
      <c r="T65" s="862"/>
      <c r="U65" s="862"/>
      <c r="V65" s="862"/>
      <c r="W65" s="862"/>
      <c r="X65" s="862"/>
      <c r="Y65" s="862"/>
      <c r="Z65" s="862"/>
      <c r="AA65" s="862"/>
    </row>
    <row r="66" spans="1:27" s="863" customFormat="1" ht="35.1" hidden="1" customHeight="1">
      <c r="A66" s="2171">
        <v>61</v>
      </c>
      <c r="B66" s="1736">
        <f>SUM($O$6:O66)</f>
        <v>19</v>
      </c>
      <c r="C66" s="1737" t="e">
        <f>(VLOOKUP(A66,TongHopKL!B:F,5,0))</f>
        <v>#N/A</v>
      </c>
      <c r="D66" s="1738">
        <f>IFERROR(VLOOKUP(A66,DG!A:D,4,0),0)</f>
        <v>0</v>
      </c>
      <c r="E66" s="1739">
        <f>SUMIF(TongHopKL!B:B,'NT-VT'!A66,TongHopKL!H:H)</f>
        <v>0</v>
      </c>
      <c r="F66" s="1736" t="str">
        <f>IFERROR(VLOOKUP(A66,Solieu!G:M,2,0),"")</f>
        <v>nt</v>
      </c>
      <c r="G66" s="1736" t="str">
        <f>IFERROR(VLOOKUP(A66,Solieu!G:M,3,0),"")</f>
        <v>nt</v>
      </c>
      <c r="H66" s="1736"/>
      <c r="I66" s="1740"/>
      <c r="J66" s="1741"/>
      <c r="K66" s="1742"/>
      <c r="L66" s="1955" t="str">
        <f>IFERROR(VLOOKUP(A66,'Du thau'!C:BM,62,0),"")</f>
        <v/>
      </c>
      <c r="M66" s="1740" t="str">
        <f>IFERROR(VLOOKUP(A66,'Du thau'!C:BM,63,0),"")</f>
        <v/>
      </c>
      <c r="N66" s="1268" t="s">
        <v>4217</v>
      </c>
      <c r="O66" s="1483" t="str">
        <f t="shared" si="0"/>
        <v/>
      </c>
      <c r="P66" s="1264"/>
      <c r="Q66" s="1438"/>
      <c r="R66" s="1484"/>
      <c r="S66" s="862"/>
      <c r="T66" s="862"/>
      <c r="U66" s="862"/>
      <c r="V66" s="862"/>
      <c r="W66" s="862"/>
      <c r="X66" s="862"/>
      <c r="Y66" s="862"/>
      <c r="Z66" s="862"/>
      <c r="AA66" s="862"/>
    </row>
    <row r="67" spans="1:27" s="863" customFormat="1" ht="35.1" hidden="1" customHeight="1">
      <c r="A67" s="2171">
        <v>62</v>
      </c>
      <c r="B67" s="1736">
        <f>SUM($O$6:O67)</f>
        <v>19</v>
      </c>
      <c r="C67" s="1737" t="e">
        <f>(VLOOKUP(A67,TongHopKL!B:F,5,0))</f>
        <v>#N/A</v>
      </c>
      <c r="D67" s="1738">
        <f>IFERROR(VLOOKUP(A67,DG!A:D,4,0),0)</f>
        <v>0</v>
      </c>
      <c r="E67" s="1739">
        <f>SUMIF(TongHopKL!B:B,'NT-VT'!A67,TongHopKL!H:H)</f>
        <v>0</v>
      </c>
      <c r="F67" s="1736" t="str">
        <f>IFERROR(VLOOKUP(A67,Solieu!G:M,2,0),"")</f>
        <v>nt</v>
      </c>
      <c r="G67" s="1736" t="str">
        <f>IFERROR(VLOOKUP(A67,Solieu!G:M,3,0),"")</f>
        <v>nt</v>
      </c>
      <c r="H67" s="1736"/>
      <c r="I67" s="1740"/>
      <c r="J67" s="1741"/>
      <c r="K67" s="1742"/>
      <c r="L67" s="1955" t="str">
        <f>IFERROR(VLOOKUP(A67,'Du thau'!C:BM,62,0),"")</f>
        <v/>
      </c>
      <c r="M67" s="1740" t="str">
        <f>IFERROR(VLOOKUP(A67,'Du thau'!C:BM,63,0),"")</f>
        <v/>
      </c>
      <c r="N67" s="1268" t="s">
        <v>4217</v>
      </c>
      <c r="O67" s="1483" t="str">
        <f t="shared" si="0"/>
        <v/>
      </c>
      <c r="P67" s="1264"/>
      <c r="Q67" s="1438"/>
      <c r="R67" s="1484"/>
      <c r="S67" s="862"/>
      <c r="T67" s="862"/>
      <c r="U67" s="862"/>
      <c r="V67" s="862"/>
      <c r="W67" s="862"/>
      <c r="X67" s="862"/>
      <c r="Y67" s="862"/>
      <c r="Z67" s="862"/>
      <c r="AA67" s="862"/>
    </row>
    <row r="68" spans="1:27" s="863" customFormat="1" ht="35.1" hidden="1" customHeight="1">
      <c r="A68" s="2171">
        <v>63</v>
      </c>
      <c r="B68" s="1736">
        <f>SUM($O$6:O68)</f>
        <v>19</v>
      </c>
      <c r="C68" s="1737" t="e">
        <f>(VLOOKUP(A68,TongHopKL!B:F,5,0))</f>
        <v>#N/A</v>
      </c>
      <c r="D68" s="1738">
        <f>IFERROR(VLOOKUP(A68,DG!A:D,4,0),0)</f>
        <v>0</v>
      </c>
      <c r="E68" s="1739">
        <f>SUMIF(TongHopKL!B:B,'NT-VT'!A68,TongHopKL!H:H)</f>
        <v>0</v>
      </c>
      <c r="F68" s="1736" t="str">
        <f>IFERROR(VLOOKUP(A68,Solieu!G:M,2,0),"")</f>
        <v>nt</v>
      </c>
      <c r="G68" s="1736" t="str">
        <f>IFERROR(VLOOKUP(A68,Solieu!G:M,3,0),"")</f>
        <v>nt</v>
      </c>
      <c r="H68" s="1736"/>
      <c r="I68" s="1740"/>
      <c r="J68" s="1741"/>
      <c r="K68" s="1742"/>
      <c r="L68" s="1955" t="str">
        <f>IFERROR(VLOOKUP(A68,'Du thau'!C:BM,62,0),"")</f>
        <v/>
      </c>
      <c r="M68" s="1740" t="str">
        <f>IFERROR(VLOOKUP(A68,'Du thau'!C:BM,63,0),"")</f>
        <v/>
      </c>
      <c r="N68" s="1268" t="s">
        <v>4217</v>
      </c>
      <c r="O68" s="1483" t="str">
        <f t="shared" si="0"/>
        <v/>
      </c>
      <c r="P68" s="1264"/>
      <c r="Q68" s="1438"/>
      <c r="R68" s="1484"/>
      <c r="S68" s="862"/>
      <c r="T68" s="862"/>
      <c r="U68" s="862"/>
      <c r="V68" s="862"/>
      <c r="W68" s="862"/>
      <c r="X68" s="862"/>
      <c r="Y68" s="862"/>
      <c r="Z68" s="862"/>
      <c r="AA68" s="862"/>
    </row>
    <row r="69" spans="1:27" s="863" customFormat="1" ht="35.1" hidden="1" customHeight="1">
      <c r="A69" s="2171">
        <v>64</v>
      </c>
      <c r="B69" s="1736">
        <f>SUM($O$6:O69)</f>
        <v>19</v>
      </c>
      <c r="C69" s="1737" t="e">
        <f>(VLOOKUP(A69,TongHopKL!B:F,5,0))</f>
        <v>#N/A</v>
      </c>
      <c r="D69" s="1738">
        <f>IFERROR(VLOOKUP(A69,DG!A:D,4,0),0)</f>
        <v>0</v>
      </c>
      <c r="E69" s="1739">
        <f>SUMIF(TongHopKL!B:B,'NT-VT'!A69,TongHopKL!H:H)</f>
        <v>0</v>
      </c>
      <c r="F69" s="1736" t="str">
        <f>IFERROR(VLOOKUP(A69,Solieu!G:M,2,0),"")</f>
        <v>nt</v>
      </c>
      <c r="G69" s="1736" t="str">
        <f>IFERROR(VLOOKUP(A69,Solieu!G:M,3,0),"")</f>
        <v>nt</v>
      </c>
      <c r="H69" s="1736"/>
      <c r="I69" s="1740"/>
      <c r="J69" s="1741"/>
      <c r="K69" s="1742"/>
      <c r="L69" s="1955" t="str">
        <f>IFERROR(VLOOKUP(A69,'Du thau'!C:BM,62,0),"")</f>
        <v/>
      </c>
      <c r="M69" s="1740" t="str">
        <f>IFERROR(VLOOKUP(A69,'Du thau'!C:BM,63,0),"")</f>
        <v/>
      </c>
      <c r="N69" s="1268" t="s">
        <v>4217</v>
      </c>
      <c r="O69" s="1483" t="str">
        <f t="shared" si="0"/>
        <v/>
      </c>
      <c r="P69" s="1264"/>
      <c r="Q69" s="1438"/>
      <c r="R69" s="1484"/>
      <c r="S69" s="862"/>
      <c r="T69" s="862"/>
      <c r="U69" s="862"/>
      <c r="V69" s="862"/>
      <c r="W69" s="862"/>
      <c r="X69" s="862"/>
      <c r="Y69" s="862"/>
      <c r="Z69" s="862"/>
      <c r="AA69" s="862"/>
    </row>
    <row r="70" spans="1:27" s="863" customFormat="1" ht="35.1" hidden="1" customHeight="1">
      <c r="A70" s="2171">
        <v>65</v>
      </c>
      <c r="B70" s="1736">
        <f>SUM($O$6:O70)</f>
        <v>19</v>
      </c>
      <c r="C70" s="1737" t="e">
        <f>(VLOOKUP(A70,TongHopKL!B:F,5,0))</f>
        <v>#N/A</v>
      </c>
      <c r="D70" s="1738">
        <f>IFERROR(VLOOKUP(A70,DG!A:D,4,0),0)</f>
        <v>0</v>
      </c>
      <c r="E70" s="1739">
        <f>SUMIF(TongHopKL!B:B,'NT-VT'!A70,TongHopKL!H:H)</f>
        <v>0</v>
      </c>
      <c r="F70" s="1736" t="str">
        <f>IFERROR(VLOOKUP(A70,Solieu!G:M,2,0),"")</f>
        <v>nt</v>
      </c>
      <c r="G70" s="1736" t="str">
        <f>IFERROR(VLOOKUP(A70,Solieu!G:M,3,0),"")</f>
        <v>nt</v>
      </c>
      <c r="H70" s="1736"/>
      <c r="I70" s="1740"/>
      <c r="J70" s="1741"/>
      <c r="K70" s="1742"/>
      <c r="L70" s="1955" t="str">
        <f>IFERROR(VLOOKUP(A70,'Du thau'!C:BM,62,0),"")</f>
        <v/>
      </c>
      <c r="M70" s="1740" t="str">
        <f>IFERROR(VLOOKUP(A70,'Du thau'!C:BM,63,0),"")</f>
        <v/>
      </c>
      <c r="N70" s="1268" t="s">
        <v>4217</v>
      </c>
      <c r="O70" s="1483" t="str">
        <f t="shared" si="0"/>
        <v/>
      </c>
      <c r="P70" s="1264"/>
      <c r="Q70" s="1438"/>
      <c r="R70" s="1484"/>
      <c r="S70" s="862"/>
      <c r="T70" s="862"/>
      <c r="U70" s="862"/>
      <c r="V70" s="862"/>
      <c r="W70" s="862"/>
      <c r="X70" s="862"/>
      <c r="Y70" s="862"/>
      <c r="Z70" s="862"/>
      <c r="AA70" s="862"/>
    </row>
    <row r="71" spans="1:27" s="863" customFormat="1" ht="35.1" hidden="1" customHeight="1">
      <c r="A71" s="2171">
        <v>66</v>
      </c>
      <c r="B71" s="1736">
        <f>SUM($O$6:O71)</f>
        <v>19</v>
      </c>
      <c r="C71" s="1737" t="e">
        <f>(VLOOKUP(A71,TongHopKL!B:F,5,0))</f>
        <v>#N/A</v>
      </c>
      <c r="D71" s="1738">
        <f>IFERROR(VLOOKUP(A71,DG!A:D,4,0),0)</f>
        <v>0</v>
      </c>
      <c r="E71" s="1739">
        <f>SUMIF(TongHopKL!B:B,'NT-VT'!A71,TongHopKL!H:H)</f>
        <v>0</v>
      </c>
      <c r="F71" s="1736" t="str">
        <f>IFERROR(VLOOKUP(A71,Solieu!G:M,2,0),"")</f>
        <v>nt</v>
      </c>
      <c r="G71" s="1736" t="str">
        <f>IFERROR(VLOOKUP(A71,Solieu!G:M,3,0),"")</f>
        <v>nt</v>
      </c>
      <c r="H71" s="1736"/>
      <c r="I71" s="1740"/>
      <c r="J71" s="1741"/>
      <c r="K71" s="1742"/>
      <c r="L71" s="1955" t="str">
        <f>IFERROR(VLOOKUP(A71,'Du thau'!C:BM,62,0),"")</f>
        <v/>
      </c>
      <c r="M71" s="1740" t="str">
        <f>IFERROR(VLOOKUP(A71,'Du thau'!C:BM,63,0),"")</f>
        <v/>
      </c>
      <c r="N71" s="1268" t="s">
        <v>4217</v>
      </c>
      <c r="O71" s="1483" t="str">
        <f t="shared" ref="O71:O127" si="1">IF(ISERROR(C71),"",1)</f>
        <v/>
      </c>
      <c r="P71" s="1264"/>
      <c r="Q71" s="1438"/>
      <c r="R71" s="1484"/>
      <c r="S71" s="862"/>
      <c r="T71" s="862"/>
      <c r="U71" s="862"/>
      <c r="V71" s="862"/>
      <c r="W71" s="862"/>
      <c r="X71" s="862"/>
      <c r="Y71" s="862"/>
      <c r="Z71" s="862"/>
      <c r="AA71" s="862"/>
    </row>
    <row r="72" spans="1:27" s="863" customFormat="1" ht="35.1" hidden="1" customHeight="1">
      <c r="A72" s="2171">
        <v>67</v>
      </c>
      <c r="B72" s="1736">
        <f>SUM($O$6:O72)</f>
        <v>19</v>
      </c>
      <c r="C72" s="1737" t="e">
        <f>(VLOOKUP(A72,TongHopKL!B:F,5,0))</f>
        <v>#N/A</v>
      </c>
      <c r="D72" s="1738">
        <f>IFERROR(VLOOKUP(A72,DG!A:D,4,0),0)</f>
        <v>0</v>
      </c>
      <c r="E72" s="1739">
        <f>SUMIF(TongHopKL!B:B,'NT-VT'!A72,TongHopKL!H:H)</f>
        <v>0</v>
      </c>
      <c r="F72" s="1736" t="str">
        <f>IFERROR(VLOOKUP(A72,Solieu!G:M,2,0),"")</f>
        <v>nt</v>
      </c>
      <c r="G72" s="1736" t="str">
        <f>IFERROR(VLOOKUP(A72,Solieu!G:M,3,0),"")</f>
        <v>nt</v>
      </c>
      <c r="H72" s="1736"/>
      <c r="I72" s="1740"/>
      <c r="J72" s="1741"/>
      <c r="K72" s="1742"/>
      <c r="L72" s="1955" t="str">
        <f>IFERROR(VLOOKUP(A72,'Du thau'!C:BM,62,0),"")</f>
        <v/>
      </c>
      <c r="M72" s="1740" t="str">
        <f>IFERROR(VLOOKUP(A72,'Du thau'!C:BM,63,0),"")</f>
        <v/>
      </c>
      <c r="N72" s="1268" t="s">
        <v>4217</v>
      </c>
      <c r="O72" s="1483" t="str">
        <f t="shared" si="1"/>
        <v/>
      </c>
      <c r="P72" s="1264"/>
      <c r="Q72" s="1438"/>
      <c r="R72" s="1484"/>
      <c r="S72" s="862"/>
      <c r="T72" s="862"/>
      <c r="U72" s="862"/>
      <c r="V72" s="862"/>
      <c r="W72" s="862"/>
      <c r="X72" s="862"/>
      <c r="Y72" s="862"/>
      <c r="Z72" s="862"/>
      <c r="AA72" s="862"/>
    </row>
    <row r="73" spans="1:27" s="863" customFormat="1" ht="35.1" hidden="1" customHeight="1">
      <c r="A73" s="2171">
        <v>68</v>
      </c>
      <c r="B73" s="1736">
        <f>SUM($O$6:O73)</f>
        <v>19</v>
      </c>
      <c r="C73" s="1737" t="e">
        <f>(VLOOKUP(A73,TongHopKL!B:F,5,0))</f>
        <v>#N/A</v>
      </c>
      <c r="D73" s="1738">
        <f>IFERROR(VLOOKUP(A73,DG!A:D,4,0),0)</f>
        <v>0</v>
      </c>
      <c r="E73" s="1739">
        <f>SUMIF(TongHopKL!B:B,'NT-VT'!A73,TongHopKL!H:H)</f>
        <v>0</v>
      </c>
      <c r="F73" s="1736" t="str">
        <f>IFERROR(VLOOKUP(A73,Solieu!G:M,2,0),"")</f>
        <v>nt</v>
      </c>
      <c r="G73" s="1736" t="str">
        <f>IFERROR(VLOOKUP(A73,Solieu!G:M,3,0),"")</f>
        <v>nt</v>
      </c>
      <c r="H73" s="1736"/>
      <c r="I73" s="1740"/>
      <c r="J73" s="1741"/>
      <c r="K73" s="1742"/>
      <c r="L73" s="1955" t="str">
        <f>IFERROR(VLOOKUP(A73,'Du thau'!C:BM,62,0),"")</f>
        <v/>
      </c>
      <c r="M73" s="1740" t="str">
        <f>IFERROR(VLOOKUP(A73,'Du thau'!C:BM,63,0),"")</f>
        <v/>
      </c>
      <c r="N73" s="1268" t="s">
        <v>4217</v>
      </c>
      <c r="O73" s="1483" t="str">
        <f t="shared" si="1"/>
        <v/>
      </c>
      <c r="P73" s="1264"/>
      <c r="Q73" s="1438"/>
      <c r="R73" s="1484"/>
      <c r="S73" s="862"/>
      <c r="T73" s="862"/>
      <c r="U73" s="862"/>
      <c r="V73" s="862"/>
      <c r="W73" s="862"/>
      <c r="X73" s="862"/>
      <c r="Y73" s="862"/>
      <c r="Z73" s="862"/>
      <c r="AA73" s="862"/>
    </row>
    <row r="74" spans="1:27" s="863" customFormat="1" ht="35.1" hidden="1" customHeight="1">
      <c r="A74" s="2171">
        <v>69</v>
      </c>
      <c r="B74" s="1736">
        <f>SUM($O$6:O74)</f>
        <v>19</v>
      </c>
      <c r="C74" s="1737" t="e">
        <f>(VLOOKUP(A74,TongHopKL!B:F,5,0))</f>
        <v>#N/A</v>
      </c>
      <c r="D74" s="1738">
        <f>IFERROR(VLOOKUP(A74,DG!A:D,4,0),0)</f>
        <v>0</v>
      </c>
      <c r="E74" s="1739">
        <f>SUMIF(TongHopKL!B:B,'NT-VT'!A74,TongHopKL!H:H)</f>
        <v>0</v>
      </c>
      <c r="F74" s="1736" t="str">
        <f>IFERROR(VLOOKUP(A74,Solieu!G:M,2,0),"")</f>
        <v>nt</v>
      </c>
      <c r="G74" s="1736" t="str">
        <f>IFERROR(VLOOKUP(A74,Solieu!G:M,3,0),"")</f>
        <v>nt</v>
      </c>
      <c r="H74" s="1736"/>
      <c r="I74" s="1740"/>
      <c r="J74" s="1741"/>
      <c r="K74" s="1742"/>
      <c r="L74" s="1955" t="str">
        <f>IFERROR(VLOOKUP(A74,'Du thau'!C:BM,62,0),"")</f>
        <v/>
      </c>
      <c r="M74" s="1740" t="str">
        <f>IFERROR(VLOOKUP(A74,'Du thau'!C:BM,63,0),"")</f>
        <v/>
      </c>
      <c r="N74" s="1268" t="s">
        <v>4217</v>
      </c>
      <c r="O74" s="1483" t="str">
        <f t="shared" si="1"/>
        <v/>
      </c>
      <c r="P74" s="1264"/>
      <c r="Q74" s="1438"/>
      <c r="R74" s="1484"/>
      <c r="S74" s="862"/>
      <c r="T74" s="862"/>
      <c r="U74" s="862"/>
      <c r="V74" s="862"/>
      <c r="W74" s="862"/>
      <c r="X74" s="862"/>
      <c r="Y74" s="862"/>
      <c r="Z74" s="862"/>
      <c r="AA74" s="862"/>
    </row>
    <row r="75" spans="1:27" s="863" customFormat="1" ht="35.1" hidden="1" customHeight="1">
      <c r="A75" s="2171">
        <v>70</v>
      </c>
      <c r="B75" s="1736">
        <f>SUM($O$6:O75)</f>
        <v>19</v>
      </c>
      <c r="C75" s="1737" t="e">
        <f>(VLOOKUP(A75,TongHopKL!B:F,5,0))</f>
        <v>#N/A</v>
      </c>
      <c r="D75" s="1738">
        <f>IFERROR(VLOOKUP(A75,DG!A:D,4,0),0)</f>
        <v>0</v>
      </c>
      <c r="E75" s="1739">
        <f>SUMIF(TongHopKL!B:B,'NT-VT'!A75,TongHopKL!H:H)</f>
        <v>0</v>
      </c>
      <c r="F75" s="1736" t="str">
        <f>IFERROR(VLOOKUP(A75,Solieu!G:M,2,0),"")</f>
        <v>nt</v>
      </c>
      <c r="G75" s="1736" t="str">
        <f>IFERROR(VLOOKUP(A75,Solieu!G:M,3,0),"")</f>
        <v>nt</v>
      </c>
      <c r="H75" s="1736"/>
      <c r="I75" s="1740"/>
      <c r="J75" s="1741"/>
      <c r="K75" s="1742"/>
      <c r="L75" s="1955" t="str">
        <f>IFERROR(VLOOKUP(A75,'Du thau'!C:BM,62,0),"")</f>
        <v/>
      </c>
      <c r="M75" s="1740" t="str">
        <f>IFERROR(VLOOKUP(A75,'Du thau'!C:BM,63,0),"")</f>
        <v/>
      </c>
      <c r="N75" s="1268" t="s">
        <v>4217</v>
      </c>
      <c r="O75" s="1483" t="str">
        <f t="shared" si="1"/>
        <v/>
      </c>
      <c r="P75" s="1264"/>
      <c r="Q75" s="1438"/>
      <c r="R75" s="1484"/>
      <c r="S75" s="862"/>
      <c r="T75" s="862"/>
      <c r="U75" s="862"/>
      <c r="V75" s="862"/>
      <c r="W75" s="862"/>
      <c r="X75" s="862"/>
      <c r="Y75" s="862"/>
      <c r="Z75" s="862"/>
      <c r="AA75" s="862"/>
    </row>
    <row r="76" spans="1:27" s="863" customFormat="1" ht="35.1" hidden="1" customHeight="1">
      <c r="A76" s="2171">
        <v>71</v>
      </c>
      <c r="B76" s="1736">
        <f>SUM($O$6:O76)</f>
        <v>19</v>
      </c>
      <c r="C76" s="1737" t="e">
        <f>(VLOOKUP(A76,TongHopKL!B:F,5,0))</f>
        <v>#N/A</v>
      </c>
      <c r="D76" s="1738">
        <f>IFERROR(VLOOKUP(A76,DG!A:D,4,0),0)</f>
        <v>0</v>
      </c>
      <c r="E76" s="1739">
        <f>SUMIF(TongHopKL!B:B,'NT-VT'!A76,TongHopKL!H:H)</f>
        <v>0</v>
      </c>
      <c r="F76" s="1736" t="str">
        <f>IFERROR(VLOOKUP(A76,Solieu!G:M,2,0),"")</f>
        <v>nt</v>
      </c>
      <c r="G76" s="1736" t="str">
        <f>IFERROR(VLOOKUP(A76,Solieu!G:M,3,0),"")</f>
        <v>nt</v>
      </c>
      <c r="H76" s="1736"/>
      <c r="I76" s="1740"/>
      <c r="J76" s="1741"/>
      <c r="K76" s="1742"/>
      <c r="L76" s="1955" t="str">
        <f>IFERROR(VLOOKUP(A76,'Du thau'!C:BM,62,0),"")</f>
        <v/>
      </c>
      <c r="M76" s="1740" t="str">
        <f>IFERROR(VLOOKUP(A76,'Du thau'!C:BM,63,0),"")</f>
        <v/>
      </c>
      <c r="N76" s="1268" t="s">
        <v>4217</v>
      </c>
      <c r="O76" s="1483" t="str">
        <f t="shared" si="1"/>
        <v/>
      </c>
      <c r="P76" s="1264"/>
      <c r="Q76" s="1438"/>
      <c r="R76" s="1484"/>
      <c r="S76" s="862"/>
      <c r="T76" s="862"/>
      <c r="U76" s="862"/>
      <c r="V76" s="862"/>
      <c r="W76" s="862"/>
      <c r="X76" s="862"/>
      <c r="Y76" s="862"/>
      <c r="Z76" s="862"/>
      <c r="AA76" s="862"/>
    </row>
    <row r="77" spans="1:27" s="863" customFormat="1" ht="35.1" hidden="1" customHeight="1">
      <c r="A77" s="2171">
        <v>72</v>
      </c>
      <c r="B77" s="1736">
        <f>SUM($O$6:O77)</f>
        <v>19</v>
      </c>
      <c r="C77" s="1737" t="e">
        <f>(VLOOKUP(A77,TongHopKL!B:F,5,0))</f>
        <v>#N/A</v>
      </c>
      <c r="D77" s="1738">
        <f>IFERROR(VLOOKUP(A77,DG!A:D,4,0),0)</f>
        <v>0</v>
      </c>
      <c r="E77" s="1739">
        <f>SUMIF(TongHopKL!B:B,'NT-VT'!A77,TongHopKL!H:H)</f>
        <v>0</v>
      </c>
      <c r="F77" s="1736" t="str">
        <f>IFERROR(VLOOKUP(A77,Solieu!G:M,2,0),"")</f>
        <v>nt</v>
      </c>
      <c r="G77" s="1736" t="str">
        <f>IFERROR(VLOOKUP(A77,Solieu!G:M,3,0),"")</f>
        <v>nt</v>
      </c>
      <c r="H77" s="1736"/>
      <c r="I77" s="1740"/>
      <c r="J77" s="1741"/>
      <c r="K77" s="1742"/>
      <c r="L77" s="1955" t="str">
        <f>IFERROR(VLOOKUP(A77,'Du thau'!C:BM,62,0),"")</f>
        <v/>
      </c>
      <c r="M77" s="1740" t="str">
        <f>IFERROR(VLOOKUP(A77,'Du thau'!C:BM,63,0),"")</f>
        <v/>
      </c>
      <c r="N77" s="1268" t="s">
        <v>4217</v>
      </c>
      <c r="O77" s="1483" t="str">
        <f t="shared" si="1"/>
        <v/>
      </c>
      <c r="P77" s="1264"/>
      <c r="Q77" s="1438"/>
      <c r="R77" s="1485"/>
    </row>
    <row r="78" spans="1:27" s="863" customFormat="1" ht="35.1" hidden="1" customHeight="1">
      <c r="A78" s="2171">
        <v>73</v>
      </c>
      <c r="B78" s="1736">
        <f>SUM($O$6:O78)</f>
        <v>19</v>
      </c>
      <c r="C78" s="1737" t="e">
        <f>(VLOOKUP(A78,TongHopKL!B:F,5,0))</f>
        <v>#N/A</v>
      </c>
      <c r="D78" s="1738">
        <f>IFERROR(VLOOKUP(A78,DG!A:D,4,0),0)</f>
        <v>0</v>
      </c>
      <c r="E78" s="1739">
        <f>SUMIF(TongHopKL!B:B,'NT-VT'!A78,TongHopKL!H:H)</f>
        <v>0</v>
      </c>
      <c r="F78" s="1736" t="str">
        <f>IFERROR(VLOOKUP(A78,Solieu!G:M,2,0),"nt")</f>
        <v>nt</v>
      </c>
      <c r="G78" s="1736" t="str">
        <f>IFERROR(VLOOKUP(A78,Solieu!G:M,3,0),"")</f>
        <v>nt</v>
      </c>
      <c r="H78" s="1736"/>
      <c r="I78" s="1740"/>
      <c r="J78" s="1741"/>
      <c r="K78" s="1742"/>
      <c r="L78" s="1955" t="str">
        <f>IFERROR(VLOOKUP(A78,'Du thau'!C:BM,62,0),"")</f>
        <v/>
      </c>
      <c r="M78" s="1740" t="str">
        <f>IFERROR(VLOOKUP(A78,'Du thau'!C:BM,63,0),"")</f>
        <v/>
      </c>
      <c r="N78" s="1268" t="s">
        <v>4217</v>
      </c>
      <c r="O78" s="1483" t="str">
        <f t="shared" si="1"/>
        <v/>
      </c>
      <c r="P78" s="1264"/>
      <c r="Q78" s="1438"/>
      <c r="R78" s="1485"/>
    </row>
    <row r="79" spans="1:27" s="863" customFormat="1" ht="35.1" hidden="1" customHeight="1">
      <c r="A79" s="2171">
        <v>74</v>
      </c>
      <c r="B79" s="1736">
        <f>SUM($O$6:O79)</f>
        <v>19</v>
      </c>
      <c r="C79" s="1737" t="e">
        <f>(VLOOKUP(A79,TongHopKL!B:F,5,0))</f>
        <v>#N/A</v>
      </c>
      <c r="D79" s="1738">
        <f>IFERROR(VLOOKUP(A79,DG!A:D,4,0),0)</f>
        <v>0</v>
      </c>
      <c r="E79" s="1739">
        <f>SUMIF(TongHopKL!B:B,'NT-VT'!A79,TongHopKL!H:H)</f>
        <v>0</v>
      </c>
      <c r="F79" s="1736" t="str">
        <f>IFERROR(VLOOKUP(A79,Solieu!G:M,2,0),"")</f>
        <v>nt</v>
      </c>
      <c r="G79" s="1736" t="str">
        <f>IFERROR(VLOOKUP(A79,Solieu!G:M,3,0),"")</f>
        <v>nt</v>
      </c>
      <c r="H79" s="1736"/>
      <c r="I79" s="1740"/>
      <c r="J79" s="1741"/>
      <c r="K79" s="1742"/>
      <c r="L79" s="1955" t="str">
        <f>IFERROR(VLOOKUP(A79,'Du thau'!C:BM,62,0),"")</f>
        <v/>
      </c>
      <c r="M79" s="1740" t="str">
        <f>IFERROR(VLOOKUP(A79,'Du thau'!C:BM,63,0),"")</f>
        <v/>
      </c>
      <c r="N79" s="1268" t="s">
        <v>4217</v>
      </c>
      <c r="O79" s="1483" t="str">
        <f t="shared" si="1"/>
        <v/>
      </c>
      <c r="P79" s="1264"/>
      <c r="Q79" s="1438"/>
      <c r="R79" s="1485"/>
    </row>
    <row r="80" spans="1:27" s="863" customFormat="1" ht="35.1" hidden="1" customHeight="1">
      <c r="A80" s="2171">
        <v>75</v>
      </c>
      <c r="B80" s="1736">
        <f>SUM($O$6:O80)</f>
        <v>19</v>
      </c>
      <c r="C80" s="1737" t="e">
        <f>(VLOOKUP(A80,TongHopKL!B:F,5,0))</f>
        <v>#N/A</v>
      </c>
      <c r="D80" s="1738">
        <f>IFERROR(VLOOKUP(A80,DG!A:D,4,0),0)</f>
        <v>0</v>
      </c>
      <c r="E80" s="1739">
        <f>SUMIF(TongHopKL!B:B,'NT-VT'!A80,TongHopKL!H:H)</f>
        <v>0</v>
      </c>
      <c r="F80" s="1736" t="str">
        <f>IFERROR(VLOOKUP(A80,Solieu!G:M,2,0),"")</f>
        <v>nt</v>
      </c>
      <c r="G80" s="1736" t="str">
        <f>IFERROR(VLOOKUP(A80,Solieu!G:M,3,0),"")</f>
        <v>nt</v>
      </c>
      <c r="H80" s="1736"/>
      <c r="I80" s="1740"/>
      <c r="J80" s="1741"/>
      <c r="K80" s="1742"/>
      <c r="L80" s="1955" t="str">
        <f>IFERROR(VLOOKUP(A80,'Du thau'!C:BM,62,0),"")</f>
        <v/>
      </c>
      <c r="M80" s="1740" t="str">
        <f>IFERROR(VLOOKUP(A80,'Du thau'!C:BM,63,0),"")</f>
        <v/>
      </c>
      <c r="N80" s="1268" t="s">
        <v>4217</v>
      </c>
      <c r="O80" s="1483" t="str">
        <f t="shared" si="1"/>
        <v/>
      </c>
      <c r="P80" s="1264"/>
      <c r="Q80" s="1438"/>
      <c r="R80" s="1485"/>
    </row>
    <row r="81" spans="1:18" s="863" customFormat="1" ht="35.1" hidden="1" customHeight="1">
      <c r="A81" s="2171">
        <v>76</v>
      </c>
      <c r="B81" s="1736">
        <f>SUM($O$6:O81)</f>
        <v>19</v>
      </c>
      <c r="C81" s="1737" t="e">
        <f>(VLOOKUP(A81,TongHopKL!B:F,5,0))</f>
        <v>#N/A</v>
      </c>
      <c r="D81" s="1738">
        <f>IFERROR(VLOOKUP(A81,DG!A:D,4,0),0)</f>
        <v>0</v>
      </c>
      <c r="E81" s="1739">
        <f>SUMIF(TongHopKL!B:B,'NT-VT'!A81,TongHopKL!H:H)</f>
        <v>0</v>
      </c>
      <c r="F81" s="1736" t="str">
        <f>IFERROR(VLOOKUP(A81,Solieu!G:M,2,0),"")</f>
        <v>nt</v>
      </c>
      <c r="G81" s="1736" t="str">
        <f>IFERROR(VLOOKUP(A81,Solieu!G:M,3,0),"")</f>
        <v>nt</v>
      </c>
      <c r="H81" s="1736"/>
      <c r="I81" s="1740"/>
      <c r="J81" s="1741"/>
      <c r="K81" s="1742"/>
      <c r="L81" s="1955" t="str">
        <f>IFERROR(VLOOKUP(A81,'Du thau'!C:BM,62,0),"")</f>
        <v/>
      </c>
      <c r="M81" s="1740" t="str">
        <f>IFERROR(VLOOKUP(A81,'Du thau'!C:BM,63,0),"")</f>
        <v/>
      </c>
      <c r="N81" s="1268" t="s">
        <v>4217</v>
      </c>
      <c r="O81" s="1483" t="str">
        <f t="shared" si="1"/>
        <v/>
      </c>
      <c r="P81" s="1264"/>
      <c r="Q81" s="1438"/>
      <c r="R81" s="1485"/>
    </row>
    <row r="82" spans="1:18" s="863" customFormat="1" ht="35.1" hidden="1" customHeight="1">
      <c r="A82" s="2171">
        <v>77</v>
      </c>
      <c r="B82" s="1736">
        <f>SUM($O$6:O82)</f>
        <v>19</v>
      </c>
      <c r="C82" s="1737" t="e">
        <f>(VLOOKUP(A82,TongHopKL!B:F,5,0))</f>
        <v>#N/A</v>
      </c>
      <c r="D82" s="1738">
        <f>IFERROR(VLOOKUP(A82,DG!A:D,4,0),0)</f>
        <v>0</v>
      </c>
      <c r="E82" s="1739">
        <f>SUMIF(TongHopKL!B:B,'NT-VT'!A82,TongHopKL!H:H)</f>
        <v>0</v>
      </c>
      <c r="F82" s="1736" t="str">
        <f>IFERROR(VLOOKUP(A82,Solieu!G:M,2,0),"")</f>
        <v>nt</v>
      </c>
      <c r="G82" s="1736" t="str">
        <f>IFERROR(VLOOKUP(A82,Solieu!G:M,3,0),"")</f>
        <v>nt</v>
      </c>
      <c r="H82" s="1736"/>
      <c r="I82" s="1740"/>
      <c r="J82" s="1741"/>
      <c r="K82" s="1742"/>
      <c r="L82" s="1955" t="str">
        <f>IFERROR(VLOOKUP(A82,'Du thau'!C:BM,62,0),"")</f>
        <v/>
      </c>
      <c r="M82" s="1740" t="str">
        <f>IFERROR(VLOOKUP(A82,'Du thau'!C:BM,63,0),"")</f>
        <v/>
      </c>
      <c r="N82" s="1268" t="s">
        <v>4217</v>
      </c>
      <c r="O82" s="1483" t="str">
        <f t="shared" si="1"/>
        <v/>
      </c>
      <c r="P82" s="1264"/>
      <c r="Q82" s="1481"/>
      <c r="R82" s="1485"/>
    </row>
    <row r="83" spans="1:18" s="863" customFormat="1" ht="35.1" hidden="1" customHeight="1">
      <c r="A83" s="2171">
        <v>78</v>
      </c>
      <c r="B83" s="1736">
        <f>SUM($O$6:O83)</f>
        <v>19</v>
      </c>
      <c r="C83" s="1737" t="e">
        <f>(VLOOKUP(A83,TongHopKL!B:F,5,0))</f>
        <v>#N/A</v>
      </c>
      <c r="D83" s="1738">
        <f>IFERROR(VLOOKUP(A83,DG!A:D,4,0),0)</f>
        <v>0</v>
      </c>
      <c r="E83" s="1739">
        <f>SUMIF(TongHopKL!B:B,'NT-VT'!A83,TongHopKL!H:H)</f>
        <v>0</v>
      </c>
      <c r="F83" s="1736" t="str">
        <f>IFERROR(VLOOKUP(A83,Solieu!G:M,2,0),"")</f>
        <v>nt</v>
      </c>
      <c r="G83" s="1736" t="str">
        <f>IFERROR(VLOOKUP(A83,Solieu!G:M,3,0),"")</f>
        <v>nt</v>
      </c>
      <c r="H83" s="1736"/>
      <c r="I83" s="1740"/>
      <c r="J83" s="1741"/>
      <c r="K83" s="1742"/>
      <c r="L83" s="1955" t="str">
        <f>IFERROR(VLOOKUP(A83,'Du thau'!C:BM,62,0),"")</f>
        <v/>
      </c>
      <c r="M83" s="1740" t="str">
        <f>IFERROR(VLOOKUP(A83,'Du thau'!C:BM,63,0),"")</f>
        <v/>
      </c>
      <c r="N83" s="1268" t="s">
        <v>4217</v>
      </c>
      <c r="O83" s="1483" t="str">
        <f t="shared" si="1"/>
        <v/>
      </c>
      <c r="P83" s="1264"/>
      <c r="Q83" s="1481"/>
      <c r="R83" s="1485"/>
    </row>
    <row r="84" spans="1:18" s="863" customFormat="1" ht="35.1" hidden="1" customHeight="1">
      <c r="A84" s="2171">
        <v>79</v>
      </c>
      <c r="B84" s="1736">
        <f>SUM($O$6:O84)</f>
        <v>19</v>
      </c>
      <c r="C84" s="1737" t="e">
        <f>(VLOOKUP(A84,TongHopKL!B:F,5,0))</f>
        <v>#N/A</v>
      </c>
      <c r="D84" s="1738">
        <f>IFERROR(VLOOKUP(A84,DG!A:D,4,0),0)</f>
        <v>0</v>
      </c>
      <c r="E84" s="1739">
        <f>SUMIF(TongHopKL!B:B,'NT-VT'!A84,TongHopKL!H:H)</f>
        <v>0</v>
      </c>
      <c r="F84" s="1736" t="str">
        <f>IFERROR(VLOOKUP(A84,Solieu!G:M,2,0),"")</f>
        <v>nt</v>
      </c>
      <c r="G84" s="1736" t="str">
        <f>IFERROR(VLOOKUP(A84,Solieu!G:M,3,0),"")</f>
        <v>nt</v>
      </c>
      <c r="H84" s="1736"/>
      <c r="I84" s="1740"/>
      <c r="J84" s="1741"/>
      <c r="K84" s="1742"/>
      <c r="L84" s="1955" t="str">
        <f>IFERROR(VLOOKUP(A84,'Du thau'!C:BM,62,0),"")</f>
        <v/>
      </c>
      <c r="M84" s="1740" t="str">
        <f>IFERROR(VLOOKUP(A84,'Du thau'!C:BM,63,0),"")</f>
        <v/>
      </c>
      <c r="N84" s="1268" t="s">
        <v>4217</v>
      </c>
      <c r="O84" s="1483" t="str">
        <f t="shared" si="1"/>
        <v/>
      </c>
      <c r="P84" s="1264"/>
      <c r="Q84" s="1481"/>
      <c r="R84" s="1485"/>
    </row>
    <row r="85" spans="1:18" s="863" customFormat="1" ht="35.1" hidden="1" customHeight="1">
      <c r="A85" s="2171">
        <v>80</v>
      </c>
      <c r="B85" s="1736">
        <f>SUM($O$6:O85)</f>
        <v>19</v>
      </c>
      <c r="C85" s="1737" t="e">
        <f>(VLOOKUP(A85,TongHopKL!B:F,5,0))</f>
        <v>#N/A</v>
      </c>
      <c r="D85" s="1738">
        <f>IFERROR(VLOOKUP(A85,DG!A:D,4,0),0)</f>
        <v>0</v>
      </c>
      <c r="E85" s="1739">
        <f>SUMIF(TongHopKL!B:B,'NT-VT'!A85,TongHopKL!H:H)</f>
        <v>0</v>
      </c>
      <c r="F85" s="1736" t="str">
        <f>IFERROR(VLOOKUP(A85,Solieu!G:M,2,0),"")</f>
        <v>nt</v>
      </c>
      <c r="G85" s="1736" t="str">
        <f>IFERROR(VLOOKUP(A85,Solieu!G:M,3,0),"")</f>
        <v>nt</v>
      </c>
      <c r="H85" s="1736"/>
      <c r="I85" s="1740"/>
      <c r="J85" s="1741"/>
      <c r="K85" s="1742"/>
      <c r="L85" s="1955" t="str">
        <f>IFERROR(VLOOKUP(A85,'Du thau'!C:BM,62,0),"")</f>
        <v/>
      </c>
      <c r="M85" s="1740" t="str">
        <f>IFERROR(VLOOKUP(A85,'Du thau'!C:BM,63,0),"")</f>
        <v/>
      </c>
      <c r="N85" s="1268" t="s">
        <v>4217</v>
      </c>
      <c r="O85" s="1483" t="str">
        <f t="shared" si="1"/>
        <v/>
      </c>
      <c r="P85" s="1264"/>
      <c r="Q85" s="1481"/>
      <c r="R85" s="1485"/>
    </row>
    <row r="86" spans="1:18" s="863" customFormat="1" ht="35.1" hidden="1" customHeight="1">
      <c r="A86" s="2171">
        <v>81</v>
      </c>
      <c r="B86" s="1736">
        <f>SUM($O$6:O86)</f>
        <v>19</v>
      </c>
      <c r="C86" s="1737" t="e">
        <f>(VLOOKUP(A86,TongHopKL!B:F,5,0))</f>
        <v>#N/A</v>
      </c>
      <c r="D86" s="1738">
        <f>IFERROR(VLOOKUP(A86,DG!A:D,4,0),0)</f>
        <v>0</v>
      </c>
      <c r="E86" s="1739">
        <f>SUMIF(TongHopKL!B:B,'NT-VT'!A86,TongHopKL!H:H)</f>
        <v>0</v>
      </c>
      <c r="F86" s="1736" t="str">
        <f>IFERROR(VLOOKUP(A86,Solieu!G:M,2,0),"")</f>
        <v>nt</v>
      </c>
      <c r="G86" s="1736" t="str">
        <f>IFERROR(VLOOKUP(A86,Solieu!G:M,3,0),"")</f>
        <v>nt</v>
      </c>
      <c r="H86" s="1736"/>
      <c r="I86" s="1740"/>
      <c r="J86" s="1741"/>
      <c r="K86" s="1742"/>
      <c r="L86" s="1955" t="str">
        <f>IFERROR(VLOOKUP(A86,'Du thau'!C:BM,62,0),"")</f>
        <v/>
      </c>
      <c r="M86" s="1740" t="str">
        <f>IFERROR(VLOOKUP(A86,'Du thau'!C:BM,63,0),"")</f>
        <v/>
      </c>
      <c r="N86" s="1268" t="s">
        <v>4217</v>
      </c>
      <c r="O86" s="1483" t="str">
        <f t="shared" si="1"/>
        <v/>
      </c>
      <c r="P86" s="1264"/>
      <c r="Q86" s="1481"/>
      <c r="R86" s="1485"/>
    </row>
    <row r="87" spans="1:18" s="863" customFormat="1" ht="35.1" hidden="1" customHeight="1">
      <c r="A87" s="2171">
        <v>82</v>
      </c>
      <c r="B87" s="1736">
        <f>SUM($O$6:O87)</f>
        <v>19</v>
      </c>
      <c r="C87" s="1737" t="e">
        <f>(VLOOKUP(A87,TongHopKL!B:F,5,0))</f>
        <v>#N/A</v>
      </c>
      <c r="D87" s="1738">
        <f>IFERROR(VLOOKUP(A87,DG!A:D,4,0),0)</f>
        <v>0</v>
      </c>
      <c r="E87" s="1739">
        <f>SUMIF(TongHopKL!B:B,'NT-VT'!A87,TongHopKL!H:H)</f>
        <v>0</v>
      </c>
      <c r="F87" s="1736" t="str">
        <f>IFERROR(VLOOKUP(A87,Solieu!G:M,2,0),"")</f>
        <v>nt</v>
      </c>
      <c r="G87" s="1736" t="str">
        <f>IFERROR(VLOOKUP(A87,Solieu!G:M,3,0),"")</f>
        <v>nt</v>
      </c>
      <c r="H87" s="1736"/>
      <c r="I87" s="1740"/>
      <c r="J87" s="1741"/>
      <c r="K87" s="1742"/>
      <c r="L87" s="1955" t="str">
        <f>IFERROR(VLOOKUP(A87,'Du thau'!C:BM,62,0),"")</f>
        <v/>
      </c>
      <c r="M87" s="1740" t="str">
        <f>IFERROR(VLOOKUP(A87,'Du thau'!C:BM,63,0),"")</f>
        <v/>
      </c>
      <c r="N87" s="1268" t="s">
        <v>4217</v>
      </c>
      <c r="O87" s="1483" t="str">
        <f t="shared" si="1"/>
        <v/>
      </c>
      <c r="P87" s="1264"/>
      <c r="Q87" s="1481"/>
      <c r="R87" s="1485"/>
    </row>
    <row r="88" spans="1:18" s="863" customFormat="1" ht="35.1" hidden="1" customHeight="1">
      <c r="A88" s="2171">
        <v>83</v>
      </c>
      <c r="B88" s="1736">
        <f>SUM($O$6:O88)</f>
        <v>19</v>
      </c>
      <c r="C88" s="1737" t="e">
        <f>(VLOOKUP(A88,TongHopKL!B:F,5,0))</f>
        <v>#N/A</v>
      </c>
      <c r="D88" s="1738">
        <f>IFERROR(VLOOKUP(A88,DG!A:D,4,0),0)</f>
        <v>0</v>
      </c>
      <c r="E88" s="1739">
        <f>SUMIF(TongHopKL!B:B,'NT-VT'!A88,TongHopKL!H:H)</f>
        <v>0</v>
      </c>
      <c r="F88" s="1736" t="str">
        <f>IFERROR(VLOOKUP(A88,Solieu!G:M,2,0),"")</f>
        <v>nt</v>
      </c>
      <c r="G88" s="1736" t="str">
        <f>IFERROR(VLOOKUP(A88,Solieu!G:M,3,0),"")</f>
        <v>nt</v>
      </c>
      <c r="H88" s="1736"/>
      <c r="I88" s="1740"/>
      <c r="J88" s="1741"/>
      <c r="K88" s="1742"/>
      <c r="L88" s="1955" t="str">
        <f>IFERROR(VLOOKUP(A88,'Du thau'!C:BM,62,0),"")</f>
        <v/>
      </c>
      <c r="M88" s="1740" t="str">
        <f>IFERROR(VLOOKUP(A88,'Du thau'!C:BM,63,0),"")</f>
        <v/>
      </c>
      <c r="N88" s="1268" t="s">
        <v>4217</v>
      </c>
      <c r="O88" s="1483" t="str">
        <f t="shared" si="1"/>
        <v/>
      </c>
      <c r="P88" s="1264"/>
      <c r="Q88" s="1481"/>
      <c r="R88" s="1485"/>
    </row>
    <row r="89" spans="1:18" s="863" customFormat="1" ht="35.1" hidden="1" customHeight="1">
      <c r="A89" s="2171">
        <v>84</v>
      </c>
      <c r="B89" s="1736">
        <f>SUM($O$6:O89)</f>
        <v>19</v>
      </c>
      <c r="C89" s="1737" t="e">
        <f>(VLOOKUP(A89,TongHopKL!B:F,5,0))</f>
        <v>#N/A</v>
      </c>
      <c r="D89" s="1738">
        <f>IFERROR(VLOOKUP(A89,DG!A:D,4,0),0)</f>
        <v>0</v>
      </c>
      <c r="E89" s="1739">
        <f>SUMIF(TongHopKL!B:B,'NT-VT'!A89,TongHopKL!H:H)</f>
        <v>0</v>
      </c>
      <c r="F89" s="1736" t="str">
        <f>IFERROR(VLOOKUP(A89,Solieu!G:M,2,0),"")</f>
        <v/>
      </c>
      <c r="G89" s="1736" t="str">
        <f>IFERROR(VLOOKUP(A89,Solieu!G:M,3,0),"")</f>
        <v/>
      </c>
      <c r="H89" s="1736"/>
      <c r="I89" s="1740"/>
      <c r="J89" s="1741"/>
      <c r="K89" s="1742"/>
      <c r="L89" s="1955" t="str">
        <f>IFERROR(VLOOKUP(A89,'Du thau'!C:BM,62,0),"")</f>
        <v/>
      </c>
      <c r="M89" s="1740" t="str">
        <f>IFERROR(VLOOKUP(A89,'Du thau'!C:BM,63,0),"")</f>
        <v/>
      </c>
      <c r="N89" s="1268" t="s">
        <v>4217</v>
      </c>
      <c r="O89" s="1483" t="str">
        <f t="shared" si="1"/>
        <v/>
      </c>
      <c r="P89" s="1264"/>
      <c r="Q89" s="1481"/>
      <c r="R89" s="1485"/>
    </row>
    <row r="90" spans="1:18" s="863" customFormat="1" ht="35.1" hidden="1" customHeight="1">
      <c r="A90" s="2171">
        <v>85</v>
      </c>
      <c r="B90" s="1736">
        <f>SUM($O$6:O90)</f>
        <v>19</v>
      </c>
      <c r="C90" s="1737" t="e">
        <f>(VLOOKUP(A90,TongHopKL!B:F,5,0))</f>
        <v>#N/A</v>
      </c>
      <c r="D90" s="1738">
        <f>IFERROR(VLOOKUP(A90,DG!A:D,4,0),0)</f>
        <v>0</v>
      </c>
      <c r="E90" s="1739">
        <f>SUMIF(TongHopKL!B:B,'NT-VT'!A90,TongHopKL!H:H)</f>
        <v>0</v>
      </c>
      <c r="F90" s="1736" t="str">
        <f>IFERROR(VLOOKUP(A90,Solieu!G:M,2,0),"")</f>
        <v>nt</v>
      </c>
      <c r="G90" s="1736" t="str">
        <f>IFERROR(VLOOKUP(A90,Solieu!G:M,3,0),"")</f>
        <v>nt</v>
      </c>
      <c r="H90" s="1736"/>
      <c r="I90" s="1740"/>
      <c r="J90" s="1741"/>
      <c r="K90" s="1742"/>
      <c r="L90" s="1955" t="str">
        <f>IFERROR(VLOOKUP(A90,'Du thau'!C:BM,62,0),"")</f>
        <v/>
      </c>
      <c r="M90" s="1740" t="str">
        <f>IFERROR(VLOOKUP(A90,'Du thau'!C:BM,63,0),"")</f>
        <v/>
      </c>
      <c r="N90" s="1268" t="s">
        <v>4217</v>
      </c>
      <c r="O90" s="1483" t="str">
        <f t="shared" si="1"/>
        <v/>
      </c>
      <c r="P90" s="1264"/>
      <c r="Q90" s="1481"/>
      <c r="R90" s="1485"/>
    </row>
    <row r="91" spans="1:18" s="863" customFormat="1" ht="35.1" hidden="1" customHeight="1">
      <c r="A91" s="2171">
        <v>86</v>
      </c>
      <c r="B91" s="1736">
        <f>SUM($O$6:O91)</f>
        <v>19</v>
      </c>
      <c r="C91" s="1737" t="e">
        <f>(VLOOKUP(A91,TongHopKL!B:F,5,0))</f>
        <v>#N/A</v>
      </c>
      <c r="D91" s="1738">
        <f>IFERROR(VLOOKUP(A91,DG!A:D,4,0),0)</f>
        <v>0</v>
      </c>
      <c r="E91" s="1739">
        <f>SUMIF(TongHopKL!B:B,'NT-VT'!A91,TongHopKL!H:H)</f>
        <v>0</v>
      </c>
      <c r="F91" s="1736" t="str">
        <f>IFERROR(VLOOKUP(A91,Solieu!G:M,2,0),"")</f>
        <v>nt</v>
      </c>
      <c r="G91" s="1736" t="str">
        <f>IFERROR(VLOOKUP(A91,Solieu!G:M,3,0),"")</f>
        <v>nt</v>
      </c>
      <c r="H91" s="1736"/>
      <c r="I91" s="1740"/>
      <c r="J91" s="1741"/>
      <c r="K91" s="1742"/>
      <c r="L91" s="1955" t="str">
        <f>IFERROR(VLOOKUP(A91,'Du thau'!C:BM,62,0),"")</f>
        <v/>
      </c>
      <c r="M91" s="1740" t="str">
        <f>IFERROR(VLOOKUP(A91,'Du thau'!C:BM,63,0),"")</f>
        <v/>
      </c>
      <c r="N91" s="1268" t="s">
        <v>4217</v>
      </c>
      <c r="O91" s="1483" t="str">
        <f t="shared" si="1"/>
        <v/>
      </c>
      <c r="P91" s="1264"/>
      <c r="Q91" s="1481"/>
      <c r="R91" s="1485"/>
    </row>
    <row r="92" spans="1:18" s="863" customFormat="1" ht="35.1" hidden="1" customHeight="1">
      <c r="A92" s="2171">
        <v>87</v>
      </c>
      <c r="B92" s="1736">
        <f>SUM($O$6:O92)</f>
        <v>19</v>
      </c>
      <c r="C92" s="1737" t="e">
        <f>(VLOOKUP(A92,TongHopKL!B:F,5,0))</f>
        <v>#N/A</v>
      </c>
      <c r="D92" s="1738">
        <f>IFERROR(VLOOKUP(A92,DG!A:D,4,0),0)</f>
        <v>0</v>
      </c>
      <c r="E92" s="1739">
        <f>SUMIF(TongHopKL!B:B,'NT-VT'!A92,TongHopKL!H:H)</f>
        <v>0</v>
      </c>
      <c r="F92" s="1736" t="str">
        <f>IFERROR(VLOOKUP(A92,Solieu!G:M,2,0),"")</f>
        <v>nt</v>
      </c>
      <c r="G92" s="1736" t="str">
        <f>IFERROR(VLOOKUP(A92,Solieu!G:M,3,0),"")</f>
        <v>nt</v>
      </c>
      <c r="H92" s="1736"/>
      <c r="I92" s="1740"/>
      <c r="J92" s="1741"/>
      <c r="K92" s="1742"/>
      <c r="L92" s="1955" t="str">
        <f>IFERROR(VLOOKUP(A92,'Du thau'!C:BM,62,0),"")</f>
        <v/>
      </c>
      <c r="M92" s="1740" t="str">
        <f>IFERROR(VLOOKUP(A92,'Du thau'!C:BM,63,0),"")</f>
        <v/>
      </c>
      <c r="N92" s="1268" t="s">
        <v>4217</v>
      </c>
      <c r="O92" s="1483" t="str">
        <f t="shared" si="1"/>
        <v/>
      </c>
      <c r="P92" s="1264"/>
      <c r="Q92" s="1481"/>
      <c r="R92" s="1485"/>
    </row>
    <row r="93" spans="1:18" s="863" customFormat="1" ht="35.1" hidden="1" customHeight="1">
      <c r="A93" s="2171">
        <v>88</v>
      </c>
      <c r="B93" s="1736">
        <f>SUM($O$6:O93)</f>
        <v>19</v>
      </c>
      <c r="C93" s="1737" t="e">
        <f>(VLOOKUP(A93,TongHopKL!B:F,5,0))</f>
        <v>#N/A</v>
      </c>
      <c r="D93" s="1738">
        <f>IFERROR(VLOOKUP(A93,DG!A:D,4,0),0)</f>
        <v>0</v>
      </c>
      <c r="E93" s="1739">
        <f>SUMIF(TongHopKL!B:B,'NT-VT'!A93,TongHopKL!H:H)</f>
        <v>0</v>
      </c>
      <c r="F93" s="1736" t="str">
        <f>IFERROR(VLOOKUP(A93,Solieu!G:M,2,0),"")</f>
        <v>nt</v>
      </c>
      <c r="G93" s="1736" t="str">
        <f>IFERROR(VLOOKUP(A93,Solieu!G:M,3,0),"")</f>
        <v>nt</v>
      </c>
      <c r="H93" s="1736"/>
      <c r="I93" s="1740"/>
      <c r="J93" s="1741"/>
      <c r="K93" s="1742"/>
      <c r="L93" s="1955" t="str">
        <f>IFERROR(VLOOKUP(A93,'Du thau'!C:BM,62,0),"")</f>
        <v/>
      </c>
      <c r="M93" s="1740" t="str">
        <f>IFERROR(VLOOKUP(A93,'Du thau'!C:BM,63,0),"")</f>
        <v/>
      </c>
      <c r="N93" s="1268" t="s">
        <v>4217</v>
      </c>
      <c r="O93" s="1483" t="str">
        <f t="shared" si="1"/>
        <v/>
      </c>
      <c r="P93" s="1264"/>
      <c r="Q93" s="1481"/>
      <c r="R93" s="1485"/>
    </row>
    <row r="94" spans="1:18" s="863" customFormat="1" ht="35.1" hidden="1" customHeight="1">
      <c r="A94" s="2171">
        <v>89</v>
      </c>
      <c r="B94" s="1736">
        <f>SUM($O$6:O94)</f>
        <v>19</v>
      </c>
      <c r="C94" s="1737" t="e">
        <f>(VLOOKUP(A94,TongHopKL!B:F,5,0))</f>
        <v>#N/A</v>
      </c>
      <c r="D94" s="1738">
        <f>IFERROR(VLOOKUP(A94,DG!A:D,4,0),0)</f>
        <v>0</v>
      </c>
      <c r="E94" s="1739">
        <f>SUMIF(TongHopKL!B:B,'NT-VT'!A94,TongHopKL!H:H)</f>
        <v>0</v>
      </c>
      <c r="F94" s="1736" t="str">
        <f>IFERROR(VLOOKUP(A94,Solieu!G:M,2,0),"")</f>
        <v>nt</v>
      </c>
      <c r="G94" s="1736" t="str">
        <f>IFERROR(VLOOKUP(A94,Solieu!G:M,3,0),"")</f>
        <v>nt</v>
      </c>
      <c r="H94" s="1736"/>
      <c r="I94" s="1740"/>
      <c r="J94" s="1741"/>
      <c r="K94" s="1742"/>
      <c r="L94" s="1955" t="str">
        <f>IFERROR(VLOOKUP(A94,'Du thau'!C:BM,62,0),"")</f>
        <v/>
      </c>
      <c r="M94" s="1740" t="str">
        <f>IFERROR(VLOOKUP(A94,'Du thau'!C:BM,63,0),"")</f>
        <v/>
      </c>
      <c r="N94" s="1268" t="s">
        <v>4217</v>
      </c>
      <c r="O94" s="1483" t="str">
        <f t="shared" si="1"/>
        <v/>
      </c>
      <c r="P94" s="1264"/>
      <c r="Q94" s="1481"/>
      <c r="R94" s="1485"/>
    </row>
    <row r="95" spans="1:18" s="863" customFormat="1" ht="35.1" hidden="1" customHeight="1">
      <c r="A95" s="2171">
        <v>90</v>
      </c>
      <c r="B95" s="1736">
        <f>SUM($O$6:O95)</f>
        <v>19</v>
      </c>
      <c r="C95" s="1737" t="e">
        <f>(VLOOKUP(A95,TongHopKL!B:F,5,0))</f>
        <v>#N/A</v>
      </c>
      <c r="D95" s="1738">
        <f>IFERROR(VLOOKUP(A95,DG!A:D,4,0),0)</f>
        <v>0</v>
      </c>
      <c r="E95" s="1739">
        <f>SUMIF(TongHopKL!B:B,'NT-VT'!A95,TongHopKL!H:H)</f>
        <v>0</v>
      </c>
      <c r="F95" s="1736" t="str">
        <f>IFERROR(VLOOKUP(A95,Solieu!G:M,2,0),"")</f>
        <v>nt</v>
      </c>
      <c r="G95" s="1736" t="str">
        <f>IFERROR(VLOOKUP(A95,Solieu!G:M,3,0),"")</f>
        <v>nt</v>
      </c>
      <c r="H95" s="1736"/>
      <c r="I95" s="1740"/>
      <c r="J95" s="1741"/>
      <c r="K95" s="1742"/>
      <c r="L95" s="1955" t="str">
        <f>IFERROR(VLOOKUP(A95,'Du thau'!C:BM,62,0),"")</f>
        <v/>
      </c>
      <c r="M95" s="1740" t="str">
        <f>IFERROR(VLOOKUP(A95,'Du thau'!C:BM,63,0),"")</f>
        <v/>
      </c>
      <c r="N95" s="1268" t="s">
        <v>4217</v>
      </c>
      <c r="O95" s="1483" t="str">
        <f t="shared" si="1"/>
        <v/>
      </c>
      <c r="P95" s="1264"/>
      <c r="Q95" s="1481"/>
      <c r="R95" s="1485"/>
    </row>
    <row r="96" spans="1:18" s="863" customFormat="1" ht="35.1" hidden="1" customHeight="1">
      <c r="A96" s="2171">
        <v>91</v>
      </c>
      <c r="B96" s="1736">
        <f>SUM($O$6:O96)</f>
        <v>19</v>
      </c>
      <c r="C96" s="1737" t="e">
        <f>(VLOOKUP(A96,TongHopKL!B:F,5,0))</f>
        <v>#N/A</v>
      </c>
      <c r="D96" s="1738">
        <f>IFERROR(VLOOKUP(A96,DG!A:D,4,0),0)</f>
        <v>0</v>
      </c>
      <c r="E96" s="1739">
        <f>SUMIF(TongHopKL!B:B,'NT-VT'!A96,TongHopKL!H:H)</f>
        <v>0</v>
      </c>
      <c r="F96" s="1736" t="str">
        <f>IFERROR(VLOOKUP(A96,Solieu!G:M,2,0),"")</f>
        <v>nt</v>
      </c>
      <c r="G96" s="1736" t="str">
        <f>IFERROR(VLOOKUP(A96,Solieu!G:M,3,0),"")</f>
        <v>nt</v>
      </c>
      <c r="H96" s="1736"/>
      <c r="I96" s="1740"/>
      <c r="J96" s="1741"/>
      <c r="K96" s="1742"/>
      <c r="L96" s="1955" t="str">
        <f>IFERROR(VLOOKUP(A96,'Du thau'!C:BM,62,0),"")</f>
        <v/>
      </c>
      <c r="M96" s="1740" t="str">
        <f>IFERROR(VLOOKUP(A96,'Du thau'!C:BM,63,0),"")</f>
        <v/>
      </c>
      <c r="N96" s="1268" t="s">
        <v>4217</v>
      </c>
      <c r="O96" s="1483" t="str">
        <f t="shared" si="1"/>
        <v/>
      </c>
      <c r="P96" s="1264"/>
      <c r="Q96" s="1481"/>
      <c r="R96" s="1485"/>
    </row>
    <row r="97" spans="1:18" s="863" customFormat="1" ht="35.1" hidden="1" customHeight="1">
      <c r="A97" s="2171">
        <v>92</v>
      </c>
      <c r="B97" s="1736">
        <f>SUM($O$6:O97)</f>
        <v>19</v>
      </c>
      <c r="C97" s="1737" t="e">
        <f>(VLOOKUP(A97,TongHopKL!B:F,5,0))</f>
        <v>#N/A</v>
      </c>
      <c r="D97" s="1738">
        <f>IFERROR(VLOOKUP(A97,DG!A:D,4,0),0)</f>
        <v>0</v>
      </c>
      <c r="E97" s="1739">
        <f>SUMIF(TongHopKL!B:B,'NT-VT'!A97,TongHopKL!H:H)</f>
        <v>0</v>
      </c>
      <c r="F97" s="1736" t="str">
        <f>IFERROR(VLOOKUP(A97,Solieu!G:M,2,0),"")</f>
        <v>nt</v>
      </c>
      <c r="G97" s="1736" t="str">
        <f>IFERROR(VLOOKUP(A97,Solieu!G:M,3,0),"")</f>
        <v>nt</v>
      </c>
      <c r="H97" s="1736"/>
      <c r="I97" s="1740"/>
      <c r="J97" s="1741"/>
      <c r="K97" s="1742"/>
      <c r="L97" s="1955" t="str">
        <f>IFERROR(VLOOKUP(A97,'Du thau'!C:BM,62,0),"")</f>
        <v/>
      </c>
      <c r="M97" s="1740" t="str">
        <f>IFERROR(VLOOKUP(A97,'Du thau'!C:BM,63,0),"")</f>
        <v/>
      </c>
      <c r="N97" s="1268" t="s">
        <v>4217</v>
      </c>
      <c r="O97" s="1483" t="str">
        <f t="shared" si="1"/>
        <v/>
      </c>
      <c r="P97" s="1264"/>
      <c r="Q97" s="1481"/>
      <c r="R97" s="1485"/>
    </row>
    <row r="98" spans="1:18" s="863" customFormat="1" ht="35.1" hidden="1" customHeight="1">
      <c r="A98" s="2171">
        <v>93</v>
      </c>
      <c r="B98" s="1736">
        <f>SUM($O$6:O98)</f>
        <v>19</v>
      </c>
      <c r="C98" s="1737" t="e">
        <f>(VLOOKUP(A98,TongHopKL!B:F,5,0))</f>
        <v>#N/A</v>
      </c>
      <c r="D98" s="1738">
        <f>IFERROR(VLOOKUP(A98,DG!A:D,4,0),0)</f>
        <v>0</v>
      </c>
      <c r="E98" s="1739">
        <f>SUMIF(TongHopKL!B:B,'NT-VT'!A98,TongHopKL!H:H)</f>
        <v>0</v>
      </c>
      <c r="F98" s="1736" t="str">
        <f>IFERROR(VLOOKUP(A98,Solieu!G:M,2,0),"")</f>
        <v>nt</v>
      </c>
      <c r="G98" s="1736" t="str">
        <f>IFERROR(VLOOKUP(A98,Solieu!G:M,3,0),"")</f>
        <v>nt</v>
      </c>
      <c r="H98" s="1736"/>
      <c r="I98" s="1740"/>
      <c r="J98" s="1741"/>
      <c r="K98" s="1742"/>
      <c r="L98" s="1955" t="str">
        <f>IFERROR(VLOOKUP(A98,'Du thau'!C:BM,62,0),"")</f>
        <v/>
      </c>
      <c r="M98" s="1740" t="str">
        <f>IFERROR(VLOOKUP(A98,'Du thau'!C:BM,63,0),"")</f>
        <v/>
      </c>
      <c r="N98" s="1268" t="s">
        <v>4217</v>
      </c>
      <c r="O98" s="1483" t="str">
        <f t="shared" si="1"/>
        <v/>
      </c>
      <c r="P98" s="1264"/>
      <c r="Q98" s="1481"/>
      <c r="R98" s="1485"/>
    </row>
    <row r="99" spans="1:18" s="863" customFormat="1" ht="35.1" hidden="1" customHeight="1">
      <c r="A99" s="2171">
        <v>94</v>
      </c>
      <c r="B99" s="1736">
        <f>SUM($O$6:O99)</f>
        <v>19</v>
      </c>
      <c r="C99" s="1737" t="e">
        <f>(VLOOKUP(A99,TongHopKL!B:F,5,0))</f>
        <v>#N/A</v>
      </c>
      <c r="D99" s="1738">
        <f>IFERROR(VLOOKUP(A99,DG!A:D,4,0),0)</f>
        <v>0</v>
      </c>
      <c r="E99" s="1739">
        <f>SUMIF(TongHopKL!B:B,'NT-VT'!A99,TongHopKL!H:H)</f>
        <v>0</v>
      </c>
      <c r="F99" s="1736" t="str">
        <f>IFERROR(VLOOKUP(A99,Solieu!G:M,2,0),"")</f>
        <v>nt</v>
      </c>
      <c r="G99" s="1736" t="str">
        <f>IFERROR(VLOOKUP(A99,Solieu!G:M,3,0),"")</f>
        <v>nt</v>
      </c>
      <c r="H99" s="1736"/>
      <c r="I99" s="1740"/>
      <c r="J99" s="1741"/>
      <c r="K99" s="1742"/>
      <c r="L99" s="1955" t="str">
        <f>IFERROR(VLOOKUP(A99,'Du thau'!C:BM,62,0),"")</f>
        <v/>
      </c>
      <c r="M99" s="1740" t="str">
        <f>IFERROR(VLOOKUP(A99,'Du thau'!C:BM,63,0),"")</f>
        <v/>
      </c>
      <c r="N99" s="1268" t="s">
        <v>4217</v>
      </c>
      <c r="O99" s="1483" t="str">
        <f t="shared" si="1"/>
        <v/>
      </c>
      <c r="P99" s="1264"/>
      <c r="Q99" s="1481"/>
      <c r="R99" s="1485"/>
    </row>
    <row r="100" spans="1:18" s="863" customFormat="1" ht="35.1" hidden="1" customHeight="1">
      <c r="A100" s="2171">
        <v>95</v>
      </c>
      <c r="B100" s="1736">
        <f>SUM($O$6:O100)</f>
        <v>19</v>
      </c>
      <c r="C100" s="1737" t="e">
        <f>(VLOOKUP(A100,TongHopKL!B:F,5,0))</f>
        <v>#N/A</v>
      </c>
      <c r="D100" s="1738">
        <f>IFERROR(VLOOKUP(A100,DG!A:D,4,0),0)</f>
        <v>0</v>
      </c>
      <c r="E100" s="1739">
        <f>SUMIF(TongHopKL!B:B,'NT-VT'!A100,TongHopKL!H:H)</f>
        <v>0</v>
      </c>
      <c r="F100" s="1736" t="str">
        <f>IFERROR(VLOOKUP(A100,Solieu!G:M,2,0),"")</f>
        <v>nt</v>
      </c>
      <c r="G100" s="1736" t="str">
        <f>IFERROR(VLOOKUP(A100,Solieu!G:M,3,0),"")</f>
        <v>nt</v>
      </c>
      <c r="H100" s="1736"/>
      <c r="I100" s="1740"/>
      <c r="J100" s="1741"/>
      <c r="K100" s="1742"/>
      <c r="L100" s="1955" t="str">
        <f>IFERROR(VLOOKUP(A100,'Du thau'!C:BM,62,0),"")</f>
        <v/>
      </c>
      <c r="M100" s="1740" t="str">
        <f>IFERROR(VLOOKUP(A100,'Du thau'!C:BM,63,0),"")</f>
        <v/>
      </c>
      <c r="N100" s="1268" t="s">
        <v>4217</v>
      </c>
      <c r="O100" s="1483" t="str">
        <f t="shared" si="1"/>
        <v/>
      </c>
      <c r="P100" s="1264"/>
      <c r="Q100" s="1481"/>
      <c r="R100" s="1485"/>
    </row>
    <row r="101" spans="1:18" s="863" customFormat="1" ht="35.1" hidden="1" customHeight="1">
      <c r="A101" s="2171">
        <v>96</v>
      </c>
      <c r="B101" s="1736">
        <f>SUM($O$6:O101)</f>
        <v>19</v>
      </c>
      <c r="C101" s="1737" t="e">
        <f>(VLOOKUP(A101,TongHopKL!B:F,5,0))</f>
        <v>#N/A</v>
      </c>
      <c r="D101" s="1738">
        <f>IFERROR(VLOOKUP(A101,DG!A:D,4,0),0)</f>
        <v>0</v>
      </c>
      <c r="E101" s="1739">
        <f>SUMIF(TongHopKL!B:B,'NT-VT'!A101,TongHopKL!H:H)</f>
        <v>0</v>
      </c>
      <c r="F101" s="1736" t="str">
        <f>IFERROR(VLOOKUP(A101,Solieu!G:M,2,0),"")</f>
        <v>nt</v>
      </c>
      <c r="G101" s="1736" t="str">
        <f>IFERROR(VLOOKUP(A101,Solieu!G:M,3,0),"")</f>
        <v>nt</v>
      </c>
      <c r="H101" s="1736"/>
      <c r="I101" s="1740"/>
      <c r="J101" s="1741"/>
      <c r="K101" s="1742"/>
      <c r="L101" s="1955" t="str">
        <f>IFERROR(VLOOKUP(A101,'Du thau'!C:BM,62,0),"")</f>
        <v/>
      </c>
      <c r="M101" s="1740" t="str">
        <f>IFERROR(VLOOKUP(A101,'Du thau'!C:BM,63,0),"")</f>
        <v/>
      </c>
      <c r="N101" s="1268" t="s">
        <v>4217</v>
      </c>
      <c r="O101" s="1483" t="str">
        <f t="shared" si="1"/>
        <v/>
      </c>
      <c r="P101" s="1264"/>
      <c r="Q101" s="1481"/>
      <c r="R101" s="1485"/>
    </row>
    <row r="102" spans="1:18" s="863" customFormat="1" ht="35.1" hidden="1" customHeight="1">
      <c r="A102" s="2171">
        <v>97</v>
      </c>
      <c r="B102" s="1736">
        <f>SUM($O$6:O102)</f>
        <v>19</v>
      </c>
      <c r="C102" s="1737" t="e">
        <f>(VLOOKUP(A102,TongHopKL!B:F,5,0))</f>
        <v>#N/A</v>
      </c>
      <c r="D102" s="1738">
        <f>IFERROR(VLOOKUP(A102,DG!A:D,4,0),0)</f>
        <v>0</v>
      </c>
      <c r="E102" s="1739">
        <f>SUMIF(TongHopKL!B:B,'NT-VT'!A102,TongHopKL!H:H)</f>
        <v>0</v>
      </c>
      <c r="F102" s="1736" t="str">
        <f>IFERROR(VLOOKUP(A102,Solieu!G:M,2,0),"")</f>
        <v>nt</v>
      </c>
      <c r="G102" s="1736" t="str">
        <f>IFERROR(VLOOKUP(A102,Solieu!G:M,3,0),"")</f>
        <v>nt</v>
      </c>
      <c r="H102" s="1736"/>
      <c r="I102" s="1740"/>
      <c r="J102" s="1741"/>
      <c r="K102" s="1742"/>
      <c r="L102" s="1955" t="str">
        <f>IFERROR(VLOOKUP(A102,'Du thau'!C:BM,62,0),"")</f>
        <v/>
      </c>
      <c r="M102" s="1740" t="str">
        <f>IFERROR(VLOOKUP(A102,'Du thau'!C:BM,63,0),"")</f>
        <v/>
      </c>
      <c r="N102" s="1268" t="s">
        <v>4217</v>
      </c>
      <c r="O102" s="1483" t="str">
        <f t="shared" si="1"/>
        <v/>
      </c>
      <c r="P102" s="1264"/>
      <c r="Q102" s="1481"/>
      <c r="R102" s="1485"/>
    </row>
    <row r="103" spans="1:18" s="863" customFormat="1" ht="35.1" hidden="1" customHeight="1">
      <c r="A103" s="2171">
        <v>98</v>
      </c>
      <c r="B103" s="1736">
        <f>SUM($O$6:O103)</f>
        <v>19</v>
      </c>
      <c r="C103" s="1737" t="e">
        <f>(VLOOKUP(A103,TongHopKL!B:F,5,0))</f>
        <v>#N/A</v>
      </c>
      <c r="D103" s="1738">
        <f>IFERROR(VLOOKUP(A103,DG!A:D,4,0),0)</f>
        <v>0</v>
      </c>
      <c r="E103" s="1739">
        <f>SUMIF(TongHopKL!B:B,'NT-VT'!A103,TongHopKL!H:H)</f>
        <v>0</v>
      </c>
      <c r="F103" s="1736" t="str">
        <f>IFERROR(VLOOKUP(A103,Solieu!G:M,2,0),"")</f>
        <v>nt</v>
      </c>
      <c r="G103" s="1736" t="str">
        <f>IFERROR(VLOOKUP(A103,Solieu!G:M,3,0),"")</f>
        <v>nt</v>
      </c>
      <c r="H103" s="1736"/>
      <c r="I103" s="1740"/>
      <c r="J103" s="1741"/>
      <c r="K103" s="1742"/>
      <c r="L103" s="1955" t="str">
        <f>IFERROR(VLOOKUP(A103,'Du thau'!C:BM,62,0),"")</f>
        <v/>
      </c>
      <c r="M103" s="1740" t="str">
        <f>IFERROR(VLOOKUP(A103,'Du thau'!C:BM,63,0),"")</f>
        <v/>
      </c>
      <c r="N103" s="1268" t="s">
        <v>4217</v>
      </c>
      <c r="O103" s="1483" t="str">
        <f t="shared" si="1"/>
        <v/>
      </c>
      <c r="P103" s="1264"/>
      <c r="Q103" s="1481"/>
      <c r="R103" s="1485"/>
    </row>
    <row r="104" spans="1:18" s="863" customFormat="1" ht="35.1" hidden="1" customHeight="1">
      <c r="A104" s="2171">
        <v>99</v>
      </c>
      <c r="B104" s="1736">
        <f>SUM($O$6:O104)</f>
        <v>19</v>
      </c>
      <c r="C104" s="1737" t="e">
        <f>(VLOOKUP(A104,TongHopKL!B:F,5,0))</f>
        <v>#N/A</v>
      </c>
      <c r="D104" s="1738">
        <f>IFERROR(VLOOKUP(A104,DG!A:D,4,0),0)</f>
        <v>0</v>
      </c>
      <c r="E104" s="1739">
        <f>SUMIF(TongHopKL!B:B,'NT-VT'!A104,TongHopKL!H:H)</f>
        <v>0</v>
      </c>
      <c r="F104" s="1736" t="str">
        <f>IFERROR(VLOOKUP(A104,Solieu!G:M,2,0),"")</f>
        <v>nt</v>
      </c>
      <c r="G104" s="1736" t="str">
        <f>IFERROR(VLOOKUP(A104,Solieu!G:M,3,0),"")</f>
        <v>nt</v>
      </c>
      <c r="H104" s="1736"/>
      <c r="I104" s="1740"/>
      <c r="J104" s="1741"/>
      <c r="K104" s="1742"/>
      <c r="L104" s="1955" t="str">
        <f>IFERROR(VLOOKUP(A104,'Du thau'!C:BM,62,0),"")</f>
        <v/>
      </c>
      <c r="M104" s="1740" t="str">
        <f>IFERROR(VLOOKUP(A104,'Du thau'!C:BM,63,0),"")</f>
        <v/>
      </c>
      <c r="N104" s="1268" t="s">
        <v>4217</v>
      </c>
      <c r="O104" s="1483" t="str">
        <f t="shared" si="1"/>
        <v/>
      </c>
      <c r="P104" s="1264"/>
      <c r="Q104" s="1481"/>
      <c r="R104" s="1485"/>
    </row>
    <row r="105" spans="1:18" s="863" customFormat="1" ht="35.1" hidden="1" customHeight="1">
      <c r="A105" s="2171">
        <v>100</v>
      </c>
      <c r="B105" s="1736">
        <f>SUM($O$6:O105)</f>
        <v>19</v>
      </c>
      <c r="C105" s="1737" t="e">
        <f>(VLOOKUP(A105,TongHopKL!B:F,5,0))</f>
        <v>#N/A</v>
      </c>
      <c r="D105" s="1738">
        <f>IFERROR(VLOOKUP(A105,DG!A:D,4,0),0)</f>
        <v>0</v>
      </c>
      <c r="E105" s="1739">
        <f>SUMIF(TongHopKL!B:B,'NT-VT'!A105,TongHopKL!H:H)</f>
        <v>0</v>
      </c>
      <c r="F105" s="1736" t="str">
        <f>IFERROR(VLOOKUP(A105,Solieu!G:M,2,0),"")</f>
        <v>nt</v>
      </c>
      <c r="G105" s="1736" t="str">
        <f>IFERROR(VLOOKUP(A105,Solieu!G:M,3,0),"")</f>
        <v>nt</v>
      </c>
      <c r="H105" s="1736"/>
      <c r="I105" s="1740"/>
      <c r="J105" s="1741"/>
      <c r="K105" s="1742"/>
      <c r="L105" s="1955" t="str">
        <f>IFERROR(VLOOKUP(A105,'Du thau'!C:BM,62,0),"")</f>
        <v/>
      </c>
      <c r="M105" s="1740" t="str">
        <f>IFERROR(VLOOKUP(A105,'Du thau'!C:BM,63,0),"")</f>
        <v/>
      </c>
      <c r="N105" s="1268" t="s">
        <v>4217</v>
      </c>
      <c r="O105" s="1483" t="str">
        <f t="shared" si="1"/>
        <v/>
      </c>
      <c r="P105" s="1264"/>
      <c r="Q105" s="1481"/>
      <c r="R105" s="1485"/>
    </row>
    <row r="106" spans="1:18" s="863" customFormat="1" ht="35.1" hidden="1" customHeight="1">
      <c r="A106" s="2171">
        <v>101</v>
      </c>
      <c r="B106" s="1736">
        <f>SUM($O$6:O106)</f>
        <v>19</v>
      </c>
      <c r="C106" s="1737" t="e">
        <f>(VLOOKUP(A106,TongHopKL!B:F,5,0))</f>
        <v>#N/A</v>
      </c>
      <c r="D106" s="1738">
        <f>IFERROR(VLOOKUP(A106,DG!A:D,4,0),0)</f>
        <v>0</v>
      </c>
      <c r="E106" s="1739">
        <f>SUMIF(TongHopKL!B:B,'NT-VT'!A106,TongHopKL!H:H)</f>
        <v>0</v>
      </c>
      <c r="F106" s="1736" t="str">
        <f>IFERROR(VLOOKUP(A106,Solieu!G:M,2,0),"")</f>
        <v>nt</v>
      </c>
      <c r="G106" s="1736" t="str">
        <f>IFERROR(VLOOKUP(A106,Solieu!G:M,3,0),"")</f>
        <v>nt</v>
      </c>
      <c r="H106" s="1736"/>
      <c r="I106" s="1740"/>
      <c r="J106" s="1741"/>
      <c r="K106" s="1742"/>
      <c r="L106" s="1955" t="str">
        <f>IFERROR(VLOOKUP(A106,'Du thau'!C:BM,62,0),"")</f>
        <v/>
      </c>
      <c r="M106" s="1740" t="str">
        <f>IFERROR(VLOOKUP(A106,'Du thau'!C:BM,63,0),"")</f>
        <v/>
      </c>
      <c r="N106" s="1268" t="s">
        <v>4217</v>
      </c>
      <c r="O106" s="1483" t="str">
        <f t="shared" si="1"/>
        <v/>
      </c>
      <c r="P106" s="1264"/>
      <c r="Q106" s="1481"/>
      <c r="R106" s="1485"/>
    </row>
    <row r="107" spans="1:18" s="863" customFormat="1" ht="35.1" hidden="1" customHeight="1">
      <c r="A107" s="2171">
        <v>102</v>
      </c>
      <c r="B107" s="1736">
        <f>SUM($O$6:O107)</f>
        <v>19</v>
      </c>
      <c r="C107" s="1737" t="e">
        <f>(VLOOKUP(A107,DG!A:C,3,0))</f>
        <v>#N/A</v>
      </c>
      <c r="D107" s="1738">
        <f>IFERROR(VLOOKUP(A107,DG!A:D,4,0),0)</f>
        <v>0</v>
      </c>
      <c r="E107" s="1739">
        <f>SUMIF(TongHopKL!B:B,'NT-VT'!A107,TongHopKL!H:H)</f>
        <v>0</v>
      </c>
      <c r="F107" s="1736" t="str">
        <f>IFERROR(VLOOKUP(A107,Solieu!G:M,2,0),"")</f>
        <v/>
      </c>
      <c r="G107" s="1736" t="str">
        <f>IFERROR(VLOOKUP(A107,Solieu!G:M,3,0),"")</f>
        <v/>
      </c>
      <c r="H107" s="1736"/>
      <c r="I107" s="1740"/>
      <c r="J107" s="1741"/>
      <c r="K107" s="1742"/>
      <c r="L107" s="1955" t="str">
        <f>IFERROR(VLOOKUP(A107,'Du thau'!C:BM,62,0),"")</f>
        <v/>
      </c>
      <c r="M107" s="1740" t="str">
        <f>IFERROR(VLOOKUP(A107,'Du thau'!C:BM,63,0),"")</f>
        <v/>
      </c>
      <c r="N107" s="1268" t="s">
        <v>4217</v>
      </c>
      <c r="O107" s="1483" t="str">
        <f t="shared" si="1"/>
        <v/>
      </c>
      <c r="P107" s="1264"/>
      <c r="Q107" s="1481"/>
      <c r="R107" s="1485"/>
    </row>
    <row r="108" spans="1:18" s="863" customFormat="1" ht="35.1" hidden="1" customHeight="1">
      <c r="A108" s="2171">
        <v>103</v>
      </c>
      <c r="B108" s="1736">
        <f>SUM($O$6:O108)</f>
        <v>19</v>
      </c>
      <c r="C108" s="1737" t="e">
        <f>(VLOOKUP(A108,DG!A:C,3,0))</f>
        <v>#N/A</v>
      </c>
      <c r="D108" s="1738">
        <f>IFERROR(VLOOKUP(A108,DG!A:D,4,0),0)</f>
        <v>0</v>
      </c>
      <c r="E108" s="1739">
        <f>SUMIF(TongHopKL!B:B,'NT-VT'!A108,TongHopKL!H:H)</f>
        <v>0</v>
      </c>
      <c r="F108" s="1736" t="str">
        <f>IFERROR(VLOOKUP(A108,Solieu!G:M,2,0),"")</f>
        <v>nt</v>
      </c>
      <c r="G108" s="1736" t="str">
        <f>IFERROR(VLOOKUP(A108,Solieu!G:M,3,0),"")</f>
        <v>nt</v>
      </c>
      <c r="H108" s="1736"/>
      <c r="I108" s="1740"/>
      <c r="J108" s="1741"/>
      <c r="K108" s="1742"/>
      <c r="L108" s="1955" t="str">
        <f>IFERROR(VLOOKUP(A108,'Du thau'!C:BM,62,0),"")</f>
        <v/>
      </c>
      <c r="M108" s="1740" t="str">
        <f>IFERROR(VLOOKUP(A108,'Du thau'!C:BM,63,0),"")</f>
        <v/>
      </c>
      <c r="N108" s="1268" t="s">
        <v>4217</v>
      </c>
      <c r="O108" s="1483" t="str">
        <f t="shared" si="1"/>
        <v/>
      </c>
      <c r="P108" s="1264"/>
      <c r="Q108" s="1481"/>
      <c r="R108" s="1485"/>
    </row>
    <row r="109" spans="1:18" s="863" customFormat="1" ht="35.1" hidden="1" customHeight="1">
      <c r="A109" s="2171">
        <v>104</v>
      </c>
      <c r="B109" s="1736">
        <f>SUM($O$6:O109)</f>
        <v>19</v>
      </c>
      <c r="C109" s="1737" t="e">
        <f>(VLOOKUP(A109,DG!A:C,3,0))</f>
        <v>#N/A</v>
      </c>
      <c r="D109" s="1738">
        <f>IFERROR(VLOOKUP(A109,DG!A:D,4,0),0)</f>
        <v>0</v>
      </c>
      <c r="E109" s="1739">
        <f>SUMIF(TongHopKL!B:B,'NT-VT'!A109,TongHopKL!H:H)</f>
        <v>0</v>
      </c>
      <c r="F109" s="1736" t="str">
        <f>IFERROR(VLOOKUP(A109,Solieu!G:M,2,0),"")</f>
        <v>nt</v>
      </c>
      <c r="G109" s="1736" t="str">
        <f>IFERROR(VLOOKUP(A109,Solieu!G:M,3,0),"")</f>
        <v>nt</v>
      </c>
      <c r="H109" s="1736"/>
      <c r="I109" s="1740"/>
      <c r="J109" s="1741"/>
      <c r="K109" s="1742"/>
      <c r="L109" s="1955" t="str">
        <f>IFERROR(VLOOKUP(A109,'Du thau'!C:BM,62,0),"")</f>
        <v/>
      </c>
      <c r="M109" s="1740" t="str">
        <f>IFERROR(VLOOKUP(A109,'Du thau'!C:BM,63,0),"")</f>
        <v/>
      </c>
      <c r="N109" s="1268" t="s">
        <v>4217</v>
      </c>
      <c r="O109" s="1483" t="str">
        <f t="shared" si="1"/>
        <v/>
      </c>
      <c r="P109" s="1264"/>
      <c r="Q109" s="1481"/>
      <c r="R109" s="1485"/>
    </row>
    <row r="110" spans="1:18" s="863" customFormat="1" ht="35.1" hidden="1" customHeight="1">
      <c r="A110" s="2171">
        <v>105</v>
      </c>
      <c r="B110" s="1736">
        <f>SUM($O$6:O110)</f>
        <v>19</v>
      </c>
      <c r="C110" s="1737" t="e">
        <f>(VLOOKUP(A110,DG!A:C,3,0))</f>
        <v>#N/A</v>
      </c>
      <c r="D110" s="1738">
        <f>IFERROR(VLOOKUP(A110,DG!A:D,4,0),0)</f>
        <v>0</v>
      </c>
      <c r="E110" s="1739">
        <f>SUMIF(TongHopKL!B:B,'NT-VT'!A110,TongHopKL!H:H)</f>
        <v>0</v>
      </c>
      <c r="F110" s="1736" t="str">
        <f>IFERROR(VLOOKUP(A110,Solieu!G:M,2,0),"")</f>
        <v>nt</v>
      </c>
      <c r="G110" s="1736" t="str">
        <f>IFERROR(VLOOKUP(A110,Solieu!G:M,3,0),"")</f>
        <v>nt</v>
      </c>
      <c r="H110" s="1736"/>
      <c r="I110" s="1740"/>
      <c r="J110" s="1741"/>
      <c r="K110" s="1742"/>
      <c r="L110" s="1955" t="str">
        <f>IFERROR(VLOOKUP(A110,'Du thau'!C:BM,62,0),"")</f>
        <v/>
      </c>
      <c r="M110" s="1740" t="str">
        <f>IFERROR(VLOOKUP(A110,'Du thau'!C:BM,63,0),"")</f>
        <v/>
      </c>
      <c r="N110" s="1268" t="s">
        <v>4217</v>
      </c>
      <c r="O110" s="1483" t="str">
        <f t="shared" si="1"/>
        <v/>
      </c>
      <c r="P110" s="1264"/>
      <c r="Q110" s="1481"/>
      <c r="R110" s="1485"/>
    </row>
    <row r="111" spans="1:18" s="863" customFormat="1" ht="35.1" hidden="1" customHeight="1">
      <c r="A111" s="2171">
        <v>106</v>
      </c>
      <c r="B111" s="1736">
        <f>SUM($O$6:O111)</f>
        <v>19</v>
      </c>
      <c r="C111" s="1737" t="e">
        <f>(VLOOKUP(A111,DG!A:C,3,0))</f>
        <v>#N/A</v>
      </c>
      <c r="D111" s="1738">
        <f>IFERROR(VLOOKUP(A111,DG!A:D,4,0),0)</f>
        <v>0</v>
      </c>
      <c r="E111" s="1739">
        <f>SUMIF(TongHopKL!B:B,'NT-VT'!A111,TongHopKL!H:H)</f>
        <v>0</v>
      </c>
      <c r="F111" s="1736" t="str">
        <f>IFERROR(VLOOKUP(A111,Solieu!G:M,2,0),"")</f>
        <v>nt</v>
      </c>
      <c r="G111" s="1736" t="str">
        <f>IFERROR(VLOOKUP(A111,Solieu!G:M,3,0),"")</f>
        <v>nt</v>
      </c>
      <c r="H111" s="1736"/>
      <c r="I111" s="1740"/>
      <c r="J111" s="1741"/>
      <c r="K111" s="1742"/>
      <c r="L111" s="1955" t="str">
        <f>IFERROR(VLOOKUP(A111,'Du thau'!C:BM,62,0),"")</f>
        <v/>
      </c>
      <c r="M111" s="1740" t="str">
        <f>IFERROR(VLOOKUP(A111,'Du thau'!C:BM,63,0),"")</f>
        <v/>
      </c>
      <c r="N111" s="1268" t="s">
        <v>4217</v>
      </c>
      <c r="O111" s="1483" t="str">
        <f t="shared" si="1"/>
        <v/>
      </c>
      <c r="P111" s="1264"/>
      <c r="Q111" s="1481"/>
      <c r="R111" s="1485"/>
    </row>
    <row r="112" spans="1:18" s="863" customFormat="1" ht="35.1" hidden="1" customHeight="1">
      <c r="A112" s="2171">
        <v>107</v>
      </c>
      <c r="B112" s="1736">
        <f>SUM($O$6:O112)</f>
        <v>19</v>
      </c>
      <c r="C112" s="1737" t="e">
        <f>(VLOOKUP(A112,DG!A:C,3,0))</f>
        <v>#N/A</v>
      </c>
      <c r="D112" s="1738">
        <f>IFERROR(VLOOKUP(A112,DG!A:D,4,0),0)</f>
        <v>0</v>
      </c>
      <c r="E112" s="1739">
        <f>SUMIF(TongHopKL!B:B,'NT-VT'!A112,TongHopKL!H:H)</f>
        <v>0</v>
      </c>
      <c r="F112" s="1736" t="str">
        <f>IFERROR(VLOOKUP(A112,Solieu!G:M,2,0),"")</f>
        <v>nt</v>
      </c>
      <c r="G112" s="1736" t="str">
        <f>IFERROR(VLOOKUP(A112,Solieu!G:M,3,0),"")</f>
        <v>nt</v>
      </c>
      <c r="H112" s="1736"/>
      <c r="I112" s="1740"/>
      <c r="J112" s="1741"/>
      <c r="K112" s="1742"/>
      <c r="L112" s="1955" t="str">
        <f>IFERROR(VLOOKUP(A112,'Du thau'!C:BM,62,0),"")</f>
        <v/>
      </c>
      <c r="M112" s="1740" t="str">
        <f>IFERROR(VLOOKUP(A112,'Du thau'!C:BM,63,0),"")</f>
        <v/>
      </c>
      <c r="N112" s="1268" t="s">
        <v>4217</v>
      </c>
      <c r="O112" s="1483" t="str">
        <f t="shared" si="1"/>
        <v/>
      </c>
      <c r="P112" s="1264"/>
      <c r="Q112" s="1481"/>
      <c r="R112" s="1485"/>
    </row>
    <row r="113" spans="1:18" s="863" customFormat="1" ht="35.1" hidden="1" customHeight="1">
      <c r="A113" s="2171">
        <v>108</v>
      </c>
      <c r="B113" s="1736">
        <f>SUM($O$6:O113)</f>
        <v>19</v>
      </c>
      <c r="C113" s="1737" t="e">
        <f>(VLOOKUP(A113,DG!A:C,3,0))</f>
        <v>#N/A</v>
      </c>
      <c r="D113" s="1738">
        <f>IFERROR(VLOOKUP(A113,DG!A:D,4,0),0)</f>
        <v>0</v>
      </c>
      <c r="E113" s="1739">
        <f>SUMIF(TongHopKL!B:B,'NT-VT'!A113,TongHopKL!H:H)</f>
        <v>0</v>
      </c>
      <c r="F113" s="1736" t="str">
        <f>IFERROR(VLOOKUP(A113,Solieu!G:M,2,0),"")</f>
        <v>nt</v>
      </c>
      <c r="G113" s="1736" t="str">
        <f>IFERROR(VLOOKUP(A113,Solieu!G:M,3,0),"")</f>
        <v>nt</v>
      </c>
      <c r="H113" s="1736"/>
      <c r="I113" s="1740"/>
      <c r="J113" s="1741"/>
      <c r="K113" s="1742"/>
      <c r="L113" s="1955" t="str">
        <f>IFERROR(VLOOKUP(A113,'Du thau'!C:BM,62,0),"")</f>
        <v/>
      </c>
      <c r="M113" s="1740" t="str">
        <f>IFERROR(VLOOKUP(A113,'Du thau'!C:BM,63,0),"")</f>
        <v/>
      </c>
      <c r="N113" s="1268" t="s">
        <v>4217</v>
      </c>
      <c r="O113" s="1483" t="str">
        <f t="shared" si="1"/>
        <v/>
      </c>
      <c r="P113" s="1264"/>
      <c r="Q113" s="1481"/>
      <c r="R113" s="1485"/>
    </row>
    <row r="114" spans="1:18" s="863" customFormat="1" ht="35.1" hidden="1" customHeight="1">
      <c r="A114" s="2171">
        <v>109</v>
      </c>
      <c r="B114" s="1736">
        <f>SUM($O$6:O114)</f>
        <v>19</v>
      </c>
      <c r="C114" s="1737" t="e">
        <f>(VLOOKUP(A114,DG!A:C,3,0))</f>
        <v>#N/A</v>
      </c>
      <c r="D114" s="1738">
        <f>IFERROR(VLOOKUP(A114,DG!A:D,4,0),0)</f>
        <v>0</v>
      </c>
      <c r="E114" s="1739">
        <f>SUMIF(TongHopKL!B:B,'NT-VT'!A114,TongHopKL!H:H)</f>
        <v>0</v>
      </c>
      <c r="F114" s="1736" t="str">
        <f>IFERROR(VLOOKUP(A114,Solieu!G:M,2,0),"")</f>
        <v>nt</v>
      </c>
      <c r="G114" s="1736" t="str">
        <f>IFERROR(VLOOKUP(A114,Solieu!G:M,3,0),"")</f>
        <v>nt</v>
      </c>
      <c r="H114" s="1736"/>
      <c r="I114" s="1740"/>
      <c r="J114" s="1741"/>
      <c r="K114" s="1742"/>
      <c r="L114" s="1955" t="str">
        <f>IFERROR(VLOOKUP(A114,'Du thau'!C:BM,62,0),"")</f>
        <v/>
      </c>
      <c r="M114" s="1740" t="str">
        <f>IFERROR(VLOOKUP(A114,'Du thau'!C:BM,63,0),"")</f>
        <v/>
      </c>
      <c r="N114" s="1268" t="s">
        <v>4217</v>
      </c>
      <c r="O114" s="1483" t="str">
        <f t="shared" si="1"/>
        <v/>
      </c>
      <c r="P114" s="1264"/>
      <c r="Q114" s="1481"/>
      <c r="R114" s="1485"/>
    </row>
    <row r="115" spans="1:18" s="863" customFormat="1" ht="35.1" hidden="1" customHeight="1">
      <c r="A115" s="2171">
        <v>110</v>
      </c>
      <c r="B115" s="1736">
        <f>SUM($O$6:O115)</f>
        <v>19</v>
      </c>
      <c r="C115" s="1737" t="e">
        <f>(VLOOKUP(A115,DG!A:C,3,0))</f>
        <v>#N/A</v>
      </c>
      <c r="D115" s="1738">
        <f>IFERROR(VLOOKUP(A115,DG!A:D,4,0),0)</f>
        <v>0</v>
      </c>
      <c r="E115" s="1739">
        <f>SUMIF(TongHopKL!B:B,'NT-VT'!A115,TongHopKL!H:H)</f>
        <v>0</v>
      </c>
      <c r="F115" s="1736" t="str">
        <f>IFERROR(VLOOKUP(A115,Solieu!G:M,2,0),"")</f>
        <v>nt</v>
      </c>
      <c r="G115" s="1736" t="str">
        <f>IFERROR(VLOOKUP(A115,Solieu!G:M,3,0),"")</f>
        <v>nt</v>
      </c>
      <c r="H115" s="1736"/>
      <c r="I115" s="1740"/>
      <c r="J115" s="1741"/>
      <c r="K115" s="1742"/>
      <c r="L115" s="1955" t="str">
        <f>IFERROR(VLOOKUP(A115,'Du thau'!C:BM,62,0),"")</f>
        <v/>
      </c>
      <c r="M115" s="1740" t="str">
        <f>IFERROR(VLOOKUP(A115,'Du thau'!C:BM,63,0),"")</f>
        <v/>
      </c>
      <c r="N115" s="1268" t="s">
        <v>4217</v>
      </c>
      <c r="O115" s="1483" t="str">
        <f t="shared" si="1"/>
        <v/>
      </c>
      <c r="P115" s="1264"/>
      <c r="Q115" s="1481"/>
      <c r="R115" s="1485"/>
    </row>
    <row r="116" spans="1:18" s="863" customFormat="1" ht="35.1" hidden="1" customHeight="1">
      <c r="A116" s="2171">
        <v>111</v>
      </c>
      <c r="B116" s="1736">
        <f>SUM($O$6:O116)</f>
        <v>19</v>
      </c>
      <c r="C116" s="1737" t="e">
        <f>(VLOOKUP(A116,DG!A:C,3,0))</f>
        <v>#N/A</v>
      </c>
      <c r="D116" s="1738">
        <f>IFERROR(VLOOKUP(A116,DG!A:D,4,0),0)</f>
        <v>0</v>
      </c>
      <c r="E116" s="1739">
        <f>SUMIF(TongHopKL!B:B,'NT-VT'!A116,TongHopKL!H:H)</f>
        <v>0</v>
      </c>
      <c r="F116" s="1736" t="str">
        <f>IFERROR(VLOOKUP(A116,Solieu!G:M,2,0),"")</f>
        <v>nt</v>
      </c>
      <c r="G116" s="1736" t="str">
        <f>IFERROR(VLOOKUP(A116,Solieu!G:M,3,0),"")</f>
        <v>nt</v>
      </c>
      <c r="H116" s="1736"/>
      <c r="I116" s="1740"/>
      <c r="J116" s="1741"/>
      <c r="K116" s="1742"/>
      <c r="L116" s="1955" t="str">
        <f>IFERROR(VLOOKUP(A116,'Du thau'!C:BM,62,0),"")</f>
        <v/>
      </c>
      <c r="M116" s="1740" t="str">
        <f>IFERROR(VLOOKUP(A116,'Du thau'!C:BM,63,0),"")</f>
        <v/>
      </c>
      <c r="N116" s="1268" t="s">
        <v>4217</v>
      </c>
      <c r="O116" s="1483" t="str">
        <f t="shared" si="1"/>
        <v/>
      </c>
      <c r="P116" s="1264"/>
      <c r="Q116" s="1481"/>
      <c r="R116" s="1485"/>
    </row>
    <row r="117" spans="1:18" s="863" customFormat="1" ht="35.1" hidden="1" customHeight="1">
      <c r="A117" s="2171">
        <v>112</v>
      </c>
      <c r="B117" s="1736">
        <f>SUM($O$6:O117)</f>
        <v>19</v>
      </c>
      <c r="C117" s="1737" t="e">
        <f>(VLOOKUP(A117,DG!A:C,3,0))</f>
        <v>#N/A</v>
      </c>
      <c r="D117" s="1738">
        <f>IFERROR(VLOOKUP(A117,DG!A:D,4,0),0)</f>
        <v>0</v>
      </c>
      <c r="E117" s="1739">
        <f>SUMIF(TongHopKL!B:B,'NT-VT'!A117,TongHopKL!H:H)</f>
        <v>0</v>
      </c>
      <c r="F117" s="1736" t="str">
        <f>IFERROR(VLOOKUP(A117,Solieu!G:M,2,0),"")</f>
        <v>nt</v>
      </c>
      <c r="G117" s="1736" t="str">
        <f>IFERROR(VLOOKUP(A117,Solieu!G:M,3,0),"")</f>
        <v>nt</v>
      </c>
      <c r="H117" s="1736"/>
      <c r="I117" s="1740"/>
      <c r="J117" s="1741"/>
      <c r="K117" s="1742"/>
      <c r="L117" s="1955" t="str">
        <f>IFERROR(VLOOKUP(A117,'Du thau'!C:BM,62,0),"")</f>
        <v/>
      </c>
      <c r="M117" s="1740" t="str">
        <f>IFERROR(VLOOKUP(A117,'Du thau'!C:BM,63,0),"")</f>
        <v/>
      </c>
      <c r="N117" s="1268" t="s">
        <v>4217</v>
      </c>
      <c r="O117" s="1483" t="str">
        <f t="shared" si="1"/>
        <v/>
      </c>
      <c r="P117" s="1264"/>
      <c r="Q117" s="1481"/>
      <c r="R117" s="1485"/>
    </row>
    <row r="118" spans="1:18" s="863" customFormat="1" ht="35.1" hidden="1" customHeight="1">
      <c r="A118" s="2171">
        <v>113</v>
      </c>
      <c r="B118" s="1736">
        <f>SUM($O$6:O118)</f>
        <v>19</v>
      </c>
      <c r="C118" s="1737" t="e">
        <f>(VLOOKUP(A118,DG!A:C,3,0))</f>
        <v>#N/A</v>
      </c>
      <c r="D118" s="1738">
        <f>IFERROR(VLOOKUP(A118,DG!A:D,4,0),0)</f>
        <v>0</v>
      </c>
      <c r="E118" s="1739">
        <f>SUMIF(TongHopKL!B:B,'NT-VT'!A118,TongHopKL!H:H)</f>
        <v>0</v>
      </c>
      <c r="F118" s="1736" t="str">
        <f>IFERROR(VLOOKUP(A118,Solieu!G:M,2,0),"")</f>
        <v>nt</v>
      </c>
      <c r="G118" s="1736" t="str">
        <f>IFERROR(VLOOKUP(A118,Solieu!G:M,3,0),"")</f>
        <v>nt</v>
      </c>
      <c r="H118" s="1736"/>
      <c r="I118" s="1740"/>
      <c r="J118" s="1741"/>
      <c r="K118" s="1742"/>
      <c r="L118" s="1955" t="str">
        <f>IFERROR(VLOOKUP(A118,'Du thau'!C:BM,62,0),"")</f>
        <v/>
      </c>
      <c r="M118" s="1740" t="str">
        <f>IFERROR(VLOOKUP(A118,'Du thau'!C:BM,63,0),"")</f>
        <v/>
      </c>
      <c r="N118" s="1268" t="s">
        <v>4217</v>
      </c>
      <c r="O118" s="1483" t="str">
        <f t="shared" si="1"/>
        <v/>
      </c>
      <c r="P118" s="1264"/>
      <c r="Q118" s="1481"/>
      <c r="R118" s="1485"/>
    </row>
    <row r="119" spans="1:18" s="863" customFormat="1" ht="35.1" hidden="1" customHeight="1">
      <c r="A119" s="2171">
        <v>114</v>
      </c>
      <c r="B119" s="1736">
        <f>SUM($O$6:O119)</f>
        <v>19</v>
      </c>
      <c r="C119" s="1737" t="e">
        <f>(VLOOKUP(A119,DG!A:C,3,0))</f>
        <v>#N/A</v>
      </c>
      <c r="D119" s="1738">
        <f>IFERROR(VLOOKUP(A119,DG!A:D,4,0),0)</f>
        <v>0</v>
      </c>
      <c r="E119" s="1739">
        <f>SUMIF(TongHopKL!B:B,'NT-VT'!A119,TongHopKL!H:H)</f>
        <v>0</v>
      </c>
      <c r="F119" s="1736" t="str">
        <f>IFERROR(VLOOKUP(A119,Solieu!G:M,2,0),"")</f>
        <v>nt</v>
      </c>
      <c r="G119" s="1736" t="str">
        <f>IFERROR(VLOOKUP(A119,Solieu!G:M,3,0),"")</f>
        <v>nt</v>
      </c>
      <c r="H119" s="1736"/>
      <c r="I119" s="1740"/>
      <c r="J119" s="1741"/>
      <c r="K119" s="1742"/>
      <c r="L119" s="1955" t="str">
        <f>IFERROR(VLOOKUP(A119,'Du thau'!C:BM,62,0),"")</f>
        <v/>
      </c>
      <c r="M119" s="1740" t="str">
        <f>IFERROR(VLOOKUP(A119,'Du thau'!C:BM,63,0),"")</f>
        <v/>
      </c>
      <c r="N119" s="1268" t="s">
        <v>4217</v>
      </c>
      <c r="O119" s="1483" t="str">
        <f t="shared" si="1"/>
        <v/>
      </c>
      <c r="P119" s="1264"/>
      <c r="Q119" s="1481"/>
      <c r="R119" s="1485"/>
    </row>
    <row r="120" spans="1:18" s="863" customFormat="1" ht="35.1" hidden="1" customHeight="1">
      <c r="A120" s="2171">
        <v>115</v>
      </c>
      <c r="B120" s="1736">
        <f>SUM($O$6:O120)</f>
        <v>19</v>
      </c>
      <c r="C120" s="1737" t="e">
        <f>(VLOOKUP(A120,DG!A:C,3,0))</f>
        <v>#N/A</v>
      </c>
      <c r="D120" s="1738">
        <f>IFERROR(VLOOKUP(A120,DG!A:D,4,0),0)</f>
        <v>0</v>
      </c>
      <c r="E120" s="1739">
        <f>SUMIF(TongHopKL!B:B,'NT-VT'!A120,TongHopKL!H:H)</f>
        <v>0</v>
      </c>
      <c r="F120" s="1736" t="str">
        <f>IFERROR(VLOOKUP(A120,Solieu!G:M,2,0),"")</f>
        <v>nt</v>
      </c>
      <c r="G120" s="1736" t="str">
        <f>IFERROR(VLOOKUP(A120,Solieu!G:M,3,0),"")</f>
        <v>nt</v>
      </c>
      <c r="H120" s="1736"/>
      <c r="I120" s="1740"/>
      <c r="J120" s="1741"/>
      <c r="K120" s="1742"/>
      <c r="L120" s="1955" t="str">
        <f>IFERROR(VLOOKUP(A120,'Du thau'!C:BM,62,0),"")</f>
        <v/>
      </c>
      <c r="M120" s="1740" t="str">
        <f>IFERROR(VLOOKUP(A120,'Du thau'!C:BM,63,0),"")</f>
        <v/>
      </c>
      <c r="N120" s="1268" t="s">
        <v>4217</v>
      </c>
      <c r="O120" s="1483" t="str">
        <f t="shared" si="1"/>
        <v/>
      </c>
      <c r="P120" s="1264"/>
      <c r="Q120" s="1481"/>
      <c r="R120" s="1485"/>
    </row>
    <row r="121" spans="1:18" s="863" customFormat="1" ht="35.1" hidden="1" customHeight="1">
      <c r="A121" s="2171">
        <v>116</v>
      </c>
      <c r="B121" s="1736">
        <f>SUM($O$6:O121)</f>
        <v>19</v>
      </c>
      <c r="C121" s="1737" t="e">
        <f>(VLOOKUP(A121,DG!A:C,3,0))</f>
        <v>#N/A</v>
      </c>
      <c r="D121" s="1738">
        <f>IFERROR(VLOOKUP(A121,DG!A:D,4,0),0)</f>
        <v>0</v>
      </c>
      <c r="E121" s="1739">
        <f>SUMIF(TongHopKL!B:B,'NT-VT'!A121,TongHopKL!H:H)</f>
        <v>0</v>
      </c>
      <c r="F121" s="1736" t="str">
        <f>IFERROR(VLOOKUP(A121,Solieu!G:M,2,0),"")</f>
        <v>nt</v>
      </c>
      <c r="G121" s="1736" t="str">
        <f>IFERROR(VLOOKUP(A121,Solieu!G:M,3,0),"")</f>
        <v>nt</v>
      </c>
      <c r="H121" s="1736"/>
      <c r="I121" s="1740"/>
      <c r="J121" s="1741"/>
      <c r="K121" s="1742"/>
      <c r="L121" s="1955" t="str">
        <f>IFERROR(VLOOKUP(A121,'Du thau'!C:BM,62,0),"")</f>
        <v/>
      </c>
      <c r="M121" s="1740" t="str">
        <f>IFERROR(VLOOKUP(A121,'Du thau'!C:BM,63,0),"")</f>
        <v/>
      </c>
      <c r="N121" s="1268" t="s">
        <v>4217</v>
      </c>
      <c r="O121" s="1483" t="str">
        <f t="shared" si="1"/>
        <v/>
      </c>
      <c r="P121" s="1264"/>
      <c r="Q121" s="1481"/>
      <c r="R121" s="1485"/>
    </row>
    <row r="122" spans="1:18" s="863" customFormat="1" ht="35.1" hidden="1" customHeight="1">
      <c r="A122" s="2171">
        <v>117</v>
      </c>
      <c r="B122" s="1736">
        <f>SUM($O$6:O122)</f>
        <v>19</v>
      </c>
      <c r="C122" s="1737" t="e">
        <f>(VLOOKUP(A122,DG!A:C,3,0))</f>
        <v>#N/A</v>
      </c>
      <c r="D122" s="1738">
        <f>IFERROR(VLOOKUP(A122,DG!A:D,4,0),0)</f>
        <v>0</v>
      </c>
      <c r="E122" s="1739">
        <f>SUMIF(TongHopKL!B:B,'NT-VT'!A122,TongHopKL!H:H)</f>
        <v>0</v>
      </c>
      <c r="F122" s="1736" t="str">
        <f>IFERROR(VLOOKUP(A122,Solieu!G:M,2,0),"")</f>
        <v>nt</v>
      </c>
      <c r="G122" s="1736" t="str">
        <f>IFERROR(VLOOKUP(A122,Solieu!G:M,3,0),"")</f>
        <v>nt</v>
      </c>
      <c r="H122" s="1736"/>
      <c r="I122" s="1740"/>
      <c r="J122" s="1741"/>
      <c r="K122" s="1742"/>
      <c r="L122" s="1955" t="str">
        <f>IFERROR(VLOOKUP(A122,'Du thau'!C:BM,62,0),"")</f>
        <v/>
      </c>
      <c r="M122" s="1740" t="str">
        <f>IFERROR(VLOOKUP(A122,'Du thau'!C:BM,63,0),"")</f>
        <v/>
      </c>
      <c r="N122" s="1268" t="s">
        <v>4217</v>
      </c>
      <c r="O122" s="1483" t="str">
        <f t="shared" si="1"/>
        <v/>
      </c>
      <c r="P122" s="1264"/>
      <c r="Q122" s="1481"/>
      <c r="R122" s="1485"/>
    </row>
    <row r="123" spans="1:18" s="863" customFormat="1" ht="35.1" hidden="1" customHeight="1">
      <c r="A123" s="2171">
        <v>118</v>
      </c>
      <c r="B123" s="1736">
        <f>SUM($O$6:O123)</f>
        <v>19</v>
      </c>
      <c r="C123" s="1737" t="e">
        <f>(VLOOKUP(A123,DG!A:C,3,0))</f>
        <v>#N/A</v>
      </c>
      <c r="D123" s="1738">
        <f>IFERROR(VLOOKUP(A123,DG!A:D,4,0),0)</f>
        <v>0</v>
      </c>
      <c r="E123" s="1739">
        <f>SUMIF(TongHopKL!B:B,'NT-VT'!A123,TongHopKL!H:H)</f>
        <v>0</v>
      </c>
      <c r="F123" s="1736" t="str">
        <f>IFERROR(VLOOKUP(A123,Solieu!G:M,2,0),"")</f>
        <v>nt</v>
      </c>
      <c r="G123" s="1736" t="str">
        <f>IFERROR(VLOOKUP(A123,Solieu!G:M,3,0),"")</f>
        <v>nt</v>
      </c>
      <c r="H123" s="1736"/>
      <c r="I123" s="1740"/>
      <c r="J123" s="1741"/>
      <c r="K123" s="1742"/>
      <c r="L123" s="1955" t="str">
        <f>IFERROR(VLOOKUP(A123,'Du thau'!C:BM,62,0),"")</f>
        <v/>
      </c>
      <c r="M123" s="1740" t="str">
        <f>IFERROR(VLOOKUP(A123,'Du thau'!C:BM,63,0),"")</f>
        <v/>
      </c>
      <c r="N123" s="1268" t="s">
        <v>4217</v>
      </c>
      <c r="O123" s="1483" t="str">
        <f t="shared" si="1"/>
        <v/>
      </c>
      <c r="P123" s="1264"/>
      <c r="Q123" s="1481"/>
      <c r="R123" s="1485"/>
    </row>
    <row r="124" spans="1:18" s="863" customFormat="1" ht="35.1" hidden="1" customHeight="1">
      <c r="A124" s="2171">
        <v>119</v>
      </c>
      <c r="B124" s="1736">
        <f>SUM($O$6:O124)</f>
        <v>19</v>
      </c>
      <c r="C124" s="1737" t="e">
        <f>(VLOOKUP(A124,DG!A:C,3,0))</f>
        <v>#N/A</v>
      </c>
      <c r="D124" s="1738">
        <f>IFERROR(VLOOKUP(A124,DG!A:D,4,0),0)</f>
        <v>0</v>
      </c>
      <c r="E124" s="1739">
        <f>SUMIF(TongHopKL!B:B,'NT-VT'!A124,TongHopKL!H:H)</f>
        <v>0</v>
      </c>
      <c r="F124" s="1736" t="str">
        <f>IFERROR(VLOOKUP(A124,Solieu!G:M,2,0),"")</f>
        <v>nt</v>
      </c>
      <c r="G124" s="1736" t="str">
        <f>IFERROR(VLOOKUP(A124,Solieu!G:M,3,0),"")</f>
        <v>nt</v>
      </c>
      <c r="H124" s="1736"/>
      <c r="I124" s="1740"/>
      <c r="J124" s="1741"/>
      <c r="K124" s="1742"/>
      <c r="L124" s="1955" t="str">
        <f>IFERROR(VLOOKUP(A124,'Du thau'!C:BM,62,0),"")</f>
        <v/>
      </c>
      <c r="M124" s="1740" t="str">
        <f>IFERROR(VLOOKUP(A124,'Du thau'!C:BM,63,0),"")</f>
        <v/>
      </c>
      <c r="N124" s="1268" t="s">
        <v>4217</v>
      </c>
      <c r="O124" s="1483" t="str">
        <f t="shared" si="1"/>
        <v/>
      </c>
      <c r="P124" s="1264"/>
      <c r="Q124" s="1481"/>
      <c r="R124" s="1485"/>
    </row>
    <row r="125" spans="1:18" s="863" customFormat="1" ht="35.1" hidden="1" customHeight="1">
      <c r="A125" s="2171">
        <v>120</v>
      </c>
      <c r="B125" s="1736">
        <f>SUM($O$6:O125)</f>
        <v>19</v>
      </c>
      <c r="C125" s="1737" t="e">
        <f>(VLOOKUP(A125,DG!A:C,3,0))</f>
        <v>#N/A</v>
      </c>
      <c r="D125" s="1738">
        <f>IFERROR(VLOOKUP(A125,DG!A:D,4,0),0)</f>
        <v>0</v>
      </c>
      <c r="E125" s="1739">
        <f>SUMIF(TongHopKL!B:B,'NT-VT'!A125,TongHopKL!H:H)</f>
        <v>0</v>
      </c>
      <c r="F125" s="1736" t="str">
        <f>IFERROR(VLOOKUP(A125,Solieu!G:M,2,0),"")</f>
        <v>nt</v>
      </c>
      <c r="G125" s="1736" t="str">
        <f>IFERROR(VLOOKUP(A125,Solieu!G:M,3,0),"")</f>
        <v>nt</v>
      </c>
      <c r="H125" s="1736"/>
      <c r="I125" s="1740"/>
      <c r="J125" s="1741"/>
      <c r="K125" s="1742"/>
      <c r="L125" s="1955" t="str">
        <f>IFERROR(VLOOKUP(A125,'Du thau'!C:BM,62,0),"")</f>
        <v/>
      </c>
      <c r="M125" s="1740" t="str">
        <f>IFERROR(VLOOKUP(A125,'Du thau'!C:BM,63,0),"")</f>
        <v/>
      </c>
      <c r="N125" s="1268" t="s">
        <v>4217</v>
      </c>
      <c r="O125" s="1483" t="str">
        <f t="shared" si="1"/>
        <v/>
      </c>
      <c r="P125" s="1264"/>
      <c r="Q125" s="1481"/>
      <c r="R125" s="1485"/>
    </row>
    <row r="126" spans="1:18" s="863" customFormat="1" ht="35.1" hidden="1" customHeight="1">
      <c r="A126" s="2171">
        <v>121</v>
      </c>
      <c r="B126" s="1736">
        <f>SUM($O$6:O126)</f>
        <v>19</v>
      </c>
      <c r="C126" s="1737" t="e">
        <f>(VLOOKUP(A126,DG!A:C,3,0))</f>
        <v>#N/A</v>
      </c>
      <c r="D126" s="1738">
        <f>IFERROR(VLOOKUP(A126,DG!A:D,4,0),0)</f>
        <v>0</v>
      </c>
      <c r="E126" s="1739">
        <f>SUMIF(TongHopKL!B:B,'NT-VT'!A126,TongHopKL!H:H)</f>
        <v>0</v>
      </c>
      <c r="F126" s="1736" t="str">
        <f>IFERROR(VLOOKUP(A126,Solieu!G:M,2,0),"")</f>
        <v>nt</v>
      </c>
      <c r="G126" s="1736" t="str">
        <f>IFERROR(VLOOKUP(A126,Solieu!G:M,3,0),"")</f>
        <v>nt</v>
      </c>
      <c r="H126" s="1736"/>
      <c r="I126" s="1740"/>
      <c r="J126" s="1741"/>
      <c r="K126" s="1742"/>
      <c r="L126" s="1955" t="str">
        <f>IFERROR(VLOOKUP(A126,'Du thau'!C:BM,62,0),"")</f>
        <v/>
      </c>
      <c r="M126" s="1740" t="str">
        <f>IFERROR(VLOOKUP(A126,'Du thau'!C:BM,63,0),"")</f>
        <v/>
      </c>
      <c r="N126" s="1268" t="s">
        <v>4217</v>
      </c>
      <c r="O126" s="1483" t="str">
        <f t="shared" si="1"/>
        <v/>
      </c>
      <c r="P126" s="1264"/>
      <c r="Q126" s="1481"/>
      <c r="R126" s="1485"/>
    </row>
    <row r="127" spans="1:18" s="863" customFormat="1" ht="35.1" hidden="1" customHeight="1">
      <c r="A127" s="2171">
        <v>122</v>
      </c>
      <c r="B127" s="1736">
        <f>SUM($O$6:O127)</f>
        <v>19</v>
      </c>
      <c r="C127" s="1737" t="e">
        <f>(VLOOKUP(A127,DG!A:C,3,0))</f>
        <v>#N/A</v>
      </c>
      <c r="D127" s="1738">
        <f>IFERROR(VLOOKUP(A127,DG!A:D,4,0),0)</f>
        <v>0</v>
      </c>
      <c r="E127" s="1739">
        <f>SUMIF(TongHopKL!B:B,'NT-VT'!A127,TongHopKL!H:H)</f>
        <v>0</v>
      </c>
      <c r="F127" s="1736" t="str">
        <f>IFERROR(VLOOKUP(A127,Solieu!G:M,2,0),"")</f>
        <v>nt</v>
      </c>
      <c r="G127" s="1736" t="str">
        <f>IFERROR(VLOOKUP(A127,Solieu!G:M,3,0),"")</f>
        <v>nt</v>
      </c>
      <c r="H127" s="1736"/>
      <c r="I127" s="1740"/>
      <c r="J127" s="1741"/>
      <c r="K127" s="1742"/>
      <c r="L127" s="1955" t="str">
        <f>IFERROR(VLOOKUP(A127,'Du thau'!C:BM,62,0),"")</f>
        <v/>
      </c>
      <c r="M127" s="1740" t="str">
        <f>IFERROR(VLOOKUP(A127,'Du thau'!C:BM,63,0),"")</f>
        <v/>
      </c>
      <c r="N127" s="1268" t="s">
        <v>4217</v>
      </c>
      <c r="O127" s="1483" t="str">
        <f t="shared" si="1"/>
        <v/>
      </c>
      <c r="P127" s="1264"/>
      <c r="Q127" s="1481"/>
      <c r="R127" s="1485"/>
    </row>
    <row r="128" spans="1:18" s="863" customFormat="1" ht="35.1" customHeight="1">
      <c r="A128" s="1480"/>
      <c r="B128" s="1957"/>
      <c r="C128" s="1958"/>
      <c r="D128" s="1959"/>
      <c r="E128" s="1960"/>
      <c r="F128" s="1957"/>
      <c r="G128" s="1957"/>
      <c r="H128" s="1957"/>
      <c r="I128" s="1961"/>
      <c r="J128" s="1962"/>
      <c r="K128" s="1963"/>
      <c r="L128" s="1964"/>
      <c r="M128" s="1961"/>
      <c r="N128" s="1442"/>
      <c r="O128" s="1483"/>
      <c r="P128" s="1264"/>
      <c r="Q128" s="1481"/>
      <c r="R128" s="1485"/>
    </row>
    <row r="129" spans="1:27" s="861" customFormat="1" ht="24.9" customHeight="1">
      <c r="A129" s="2142"/>
      <c r="B129" s="875"/>
      <c r="C129" s="1746"/>
      <c r="D129" s="1279"/>
      <c r="E129" s="1486"/>
      <c r="F129" s="52"/>
      <c r="G129" s="52"/>
      <c r="H129" s="52"/>
      <c r="I129" s="1477"/>
      <c r="J129" s="1487"/>
      <c r="L129" s="1964">
        <f>IFERROR(VLOOKUP(A129,Solieu!G:M,6,0),"")</f>
        <v>0</v>
      </c>
      <c r="M129" s="871"/>
      <c r="N129" s="1477"/>
      <c r="O129" s="875"/>
      <c r="P129" s="875"/>
      <c r="Q129" s="1437"/>
      <c r="R129" s="1488"/>
    </row>
    <row r="130" spans="1:27" s="861" customFormat="1" ht="24.9" customHeight="1">
      <c r="A130" s="856"/>
      <c r="B130" s="869"/>
      <c r="C130" s="1281"/>
      <c r="D130" s="1279"/>
      <c r="E130" s="1280"/>
      <c r="F130"/>
      <c r="G130"/>
      <c r="H130"/>
      <c r="I130" s="870"/>
      <c r="J130" s="866"/>
      <c r="L130" s="868"/>
      <c r="M130" s="873"/>
      <c r="N130" s="872"/>
      <c r="O130" s="869"/>
      <c r="P130" s="875"/>
      <c r="Q130" s="1437"/>
    </row>
    <row r="131" spans="1:27" s="861" customFormat="1" ht="24.9" customHeight="1">
      <c r="A131" s="856"/>
      <c r="B131" s="869"/>
      <c r="C131" s="1281"/>
      <c r="D131" s="1279"/>
      <c r="E131" s="1280"/>
      <c r="F131"/>
      <c r="G131"/>
      <c r="H131"/>
      <c r="I131" s="870"/>
      <c r="J131" s="866"/>
      <c r="L131" s="868"/>
      <c r="M131" s="873"/>
      <c r="N131" s="872"/>
      <c r="O131" s="869"/>
      <c r="P131" s="875"/>
      <c r="Q131" s="1437"/>
    </row>
    <row r="132" spans="1:27" s="861" customFormat="1" ht="24.9" customHeight="1">
      <c r="A132" s="856"/>
      <c r="B132" s="869"/>
      <c r="C132" s="1281"/>
      <c r="D132" s="1279"/>
      <c r="E132" s="1280"/>
      <c r="F132"/>
      <c r="G132"/>
      <c r="H132"/>
      <c r="I132" s="870"/>
      <c r="J132" s="866"/>
      <c r="L132" s="868"/>
      <c r="M132" s="873"/>
      <c r="N132" s="872"/>
      <c r="O132" s="869"/>
      <c r="P132" s="875"/>
      <c r="Q132" s="1437"/>
    </row>
    <row r="133" spans="1:27" s="861" customFormat="1" ht="24.9" customHeight="1">
      <c r="A133" s="856"/>
      <c r="B133" s="860"/>
      <c r="C133" s="989"/>
      <c r="D133" s="1282"/>
      <c r="E133" s="1280"/>
      <c r="F133"/>
      <c r="G133"/>
      <c r="H133"/>
      <c r="I133" s="870"/>
      <c r="J133" s="867"/>
      <c r="L133" s="876">
        <f>WORD!L2</f>
        <v>0</v>
      </c>
      <c r="M133" s="873"/>
      <c r="N133" s="877"/>
      <c r="O133" s="860"/>
      <c r="P133" s="875"/>
      <c r="Q133" s="1437"/>
    </row>
    <row r="134" spans="1:27" s="861" customFormat="1" ht="24.9" customHeight="1">
      <c r="A134" s="856"/>
      <c r="B134" s="860"/>
      <c r="C134" s="874"/>
      <c r="D134" s="874"/>
      <c r="E134"/>
      <c r="F134"/>
      <c r="G134"/>
      <c r="H134"/>
      <c r="I134" s="875"/>
      <c r="J134" s="866"/>
      <c r="K134" s="868"/>
      <c r="L134" s="867"/>
      <c r="M134" s="873"/>
      <c r="N134" s="860"/>
      <c r="O134" s="860"/>
      <c r="P134" s="875"/>
      <c r="Q134" s="1437"/>
    </row>
    <row r="135" spans="1:27" s="861" customFormat="1" ht="24.9" customHeight="1">
      <c r="A135" s="856"/>
      <c r="B135" s="860"/>
      <c r="C135" s="878"/>
      <c r="D135" s="878"/>
      <c r="E135" s="860"/>
      <c r="F135" s="860"/>
      <c r="G135" s="860"/>
      <c r="H135" s="860"/>
      <c r="I135" s="860"/>
      <c r="J135" s="866"/>
      <c r="K135" s="868"/>
      <c r="L135" s="867"/>
      <c r="M135" s="873"/>
      <c r="N135" s="860"/>
      <c r="O135" s="860"/>
      <c r="P135" s="875"/>
      <c r="Q135" s="1437"/>
    </row>
    <row r="136" spans="1:27" s="861" customFormat="1" ht="24.9" customHeight="1">
      <c r="A136" s="856"/>
      <c r="B136" s="860"/>
      <c r="C136" s="878"/>
      <c r="D136" s="878"/>
      <c r="E136" s="860"/>
      <c r="F136" s="860"/>
      <c r="G136" s="860"/>
      <c r="H136" s="860"/>
      <c r="I136" s="860"/>
      <c r="J136" s="867"/>
      <c r="K136" s="868"/>
      <c r="L136" s="867"/>
      <c r="M136" s="873"/>
      <c r="N136" s="860"/>
      <c r="O136" s="860"/>
      <c r="P136" s="875"/>
      <c r="Q136" s="1437"/>
    </row>
    <row r="137" spans="1:27" s="861" customFormat="1" ht="24.9" customHeight="1">
      <c r="A137" s="856"/>
      <c r="B137" s="860"/>
      <c r="C137" s="878"/>
      <c r="D137" s="878"/>
      <c r="E137" s="860"/>
      <c r="F137" s="860"/>
      <c r="G137" s="860"/>
      <c r="H137" s="860"/>
      <c r="I137" s="860"/>
      <c r="J137" s="867"/>
      <c r="K137" s="868"/>
      <c r="L137" s="867"/>
      <c r="M137" s="873"/>
      <c r="N137" s="860"/>
      <c r="O137" s="860"/>
      <c r="P137" s="875"/>
      <c r="Q137" s="1437"/>
    </row>
    <row r="138" spans="1:27" s="860" customFormat="1" ht="24.9" customHeight="1">
      <c r="A138" s="856"/>
      <c r="C138" s="878"/>
      <c r="D138" s="878"/>
      <c r="J138" s="866"/>
      <c r="K138" s="868"/>
      <c r="L138" s="867"/>
      <c r="M138" s="873"/>
      <c r="P138" s="875"/>
      <c r="Q138" s="1437"/>
      <c r="R138" s="861"/>
      <c r="S138" s="861"/>
      <c r="T138" s="861"/>
      <c r="U138" s="861"/>
      <c r="V138" s="861"/>
      <c r="W138" s="861"/>
      <c r="X138" s="861"/>
      <c r="Y138" s="861"/>
      <c r="Z138" s="861"/>
      <c r="AA138" s="861"/>
    </row>
    <row r="139" spans="1:27" s="860" customFormat="1" ht="24.9" customHeight="1">
      <c r="A139" s="856"/>
      <c r="C139" s="878"/>
      <c r="D139" s="878"/>
      <c r="J139" s="866"/>
      <c r="K139" s="868"/>
      <c r="L139" s="867"/>
      <c r="M139" s="868"/>
      <c r="P139" s="875"/>
      <c r="Q139" s="1437"/>
      <c r="R139" s="861"/>
      <c r="S139" s="861"/>
      <c r="T139" s="861"/>
      <c r="U139" s="861"/>
      <c r="V139" s="861"/>
      <c r="W139" s="861"/>
      <c r="X139" s="861"/>
      <c r="Y139" s="861"/>
      <c r="Z139" s="861"/>
      <c r="AA139" s="861"/>
    </row>
    <row r="140" spans="1:27" s="860" customFormat="1" ht="24.9" customHeight="1">
      <c r="A140" s="856"/>
      <c r="C140" s="878"/>
      <c r="D140" s="878"/>
      <c r="J140" s="866"/>
      <c r="K140" s="868"/>
      <c r="L140" s="867"/>
      <c r="M140" s="868"/>
      <c r="P140" s="875"/>
      <c r="Q140" s="1437"/>
      <c r="R140" s="861"/>
      <c r="S140" s="861"/>
      <c r="T140" s="861"/>
      <c r="U140" s="861"/>
      <c r="V140" s="861"/>
      <c r="W140" s="861"/>
      <c r="X140" s="861"/>
      <c r="Y140" s="861"/>
      <c r="Z140" s="861"/>
      <c r="AA140" s="861"/>
    </row>
  </sheetData>
  <autoFilter ref="A4:T127" xr:uid="{00000000-0009-0000-0000-000022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A9 A11 A13 A15 A17 A19 A21 A23 A25 A27 A29 A31 A33 A35 A37 A39 A41 A43 A45 A47 A49 A51 A53 A55 A57 A59 A61 A63 A65 A67 A69 A71 A73 A75 A77 A79 A81 A83 A85 A87 A89 A91 A93 A95 A97 A99 A101 A103 A105 A107 A109 A111 A113 A115 A117 A119 A121 A123 A125 A127">
    <cfRule type="duplicateValues" dxfId="1" priority="2"/>
  </conditionalFormatting>
  <conditionalFormatting sqref="A1:A1048576">
    <cfRule type="duplicateValues" dxfId="0" priority="1"/>
  </conditionalFormatting>
  <dataValidations disablePrompts="1" count="1">
    <dataValidation allowBlank="1" sqref="F135:G1048576" xr:uid="{00000000-0002-0000-2200-000000000000}"/>
  </dataValidations>
  <pageMargins left="0.85" right="0.2" top="0.85" bottom="0.41" header="0.31496062992126" footer="0.17"/>
  <pageSetup paperSize="9" orientation="portrait" blackAndWhite="1"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91" t="s">
        <v>4664</v>
      </c>
      <c r="B1" s="2791"/>
      <c r="C1" s="2791"/>
      <c r="D1" s="2791"/>
      <c r="E1" s="2791"/>
      <c r="F1" s="2791"/>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'NT-VT'!C6</f>
        <v>Dây điện CV mềm 2x4mm2: 8m/bảng (đi bên trong trụ chiếu sáng luồn ra)</v>
      </c>
      <c r="C3" s="1434" t="str">
        <f>'NT-VT'!D6</f>
        <v>mét</v>
      </c>
      <c r="D3" s="1435">
        <f>'NT-VT'!E6</f>
        <v>340</v>
      </c>
      <c r="E3" s="1432">
        <f>'NT-VT'!F6</f>
        <v>340</v>
      </c>
      <c r="F3" s="1432" t="str">
        <f>'NT-VT'!G6</f>
        <v/>
      </c>
      <c r="G3" s="869">
        <v>1</v>
      </c>
      <c r="H3" s="883"/>
      <c r="I3" s="859"/>
    </row>
    <row r="4" spans="1:9" ht="35.1" customHeight="1">
      <c r="A4" s="1432">
        <f>SUM($G$3:G4)</f>
        <v>2</v>
      </c>
      <c r="B4" s="1433" t="str">
        <f>'NT-VT'!C7</f>
        <v>Dây điện nguồn 2x1,5mm2</v>
      </c>
      <c r="C4" s="1434" t="str">
        <f>'NT-VT'!D7</f>
        <v>m</v>
      </c>
      <c r="D4" s="1435">
        <f>'NT-VT'!E7</f>
        <v>320</v>
      </c>
      <c r="E4" s="1432">
        <f>'NT-VT'!F7</f>
        <v>320</v>
      </c>
      <c r="F4" s="1432" t="str">
        <f>'NT-VT'!G7</f>
        <v/>
      </c>
      <c r="G4" s="869">
        <f t="shared" ref="G4:G66" si="0">IF(ISERROR(B4),"",1)</f>
        <v>1</v>
      </c>
      <c r="H4" s="884"/>
    </row>
    <row r="5" spans="1:9" ht="35.1" customHeight="1">
      <c r="A5" s="1432">
        <f>SUM($G$3:G5)</f>
        <v>3</v>
      </c>
      <c r="B5" s="1433" t="str">
        <f>'NT-VT'!C8</f>
        <v>Dây điện nguồn CVV 3.5</v>
      </c>
      <c r="C5" s="1434" t="str">
        <f>'NT-VT'!D8</f>
        <v>m</v>
      </c>
      <c r="D5" s="1435">
        <f>'NT-VT'!E8</f>
        <v>2000</v>
      </c>
      <c r="E5" s="1432">
        <f>'NT-VT'!F8</f>
        <v>2000</v>
      </c>
      <c r="F5" s="1432" t="str">
        <f>'NT-VT'!G8</f>
        <v/>
      </c>
      <c r="G5" s="869">
        <f t="shared" si="0"/>
        <v>1</v>
      </c>
      <c r="H5" s="884"/>
    </row>
    <row r="6" spans="1:9" ht="35.1" customHeight="1">
      <c r="A6" s="1432">
        <f>SUM($G$3:G6)</f>
        <v>4</v>
      </c>
      <c r="B6" s="1433" t="str">
        <f>'NT-VT'!C9</f>
        <v>Ống ruột gà xám Ø20: 08 mét/ bảng</v>
      </c>
      <c r="C6" s="1434" t="str">
        <f>'NT-VT'!D9</f>
        <v>mét</v>
      </c>
      <c r="D6" s="1435">
        <f>'NT-VT'!E9</f>
        <v>340</v>
      </c>
      <c r="E6" s="1432">
        <f>'NT-VT'!F9</f>
        <v>340</v>
      </c>
      <c r="F6" s="1432" t="str">
        <f>'NT-VT'!G9</f>
        <v/>
      </c>
      <c r="G6" s="869">
        <f t="shared" si="0"/>
        <v>1</v>
      </c>
      <c r="H6" s="884"/>
    </row>
    <row r="7" spans="1:9" ht="35.1" customHeight="1">
      <c r="A7" s="1432">
        <f>SUM($G$3:G7)</f>
        <v>5</v>
      </c>
      <c r="B7" s="1433" t="str">
        <f>'NT-VT'!C10</f>
        <v>Cọc tiếp đất Φ16x2400mm mạ đồng</v>
      </c>
      <c r="C7" s="1434" t="str">
        <f>'NT-VT'!D10</f>
        <v>cọc</v>
      </c>
      <c r="D7" s="1435">
        <f>'NT-VT'!E10</f>
        <v>17</v>
      </c>
      <c r="E7" s="1432">
        <f>'NT-VT'!F10</f>
        <v>17</v>
      </c>
      <c r="F7" s="1432" t="str">
        <f>'NT-VT'!G10</f>
        <v/>
      </c>
      <c r="G7" s="869">
        <f t="shared" si="0"/>
        <v>1</v>
      </c>
      <c r="H7" s="883"/>
      <c r="I7" s="859"/>
    </row>
    <row r="8" spans="1:9" ht="35.1" customHeight="1">
      <c r="A8" s="1432">
        <f>SUM($G$3:G8)</f>
        <v>6</v>
      </c>
      <c r="B8" s="1433" t="str">
        <f>'NT-VT'!C11</f>
        <v>Kẹp cọc tiếp đất đồng</v>
      </c>
      <c r="C8" s="1434" t="str">
        <f>'NT-VT'!D11</f>
        <v>cái</v>
      </c>
      <c r="D8" s="1435">
        <f>'NT-VT'!E11</f>
        <v>17</v>
      </c>
      <c r="E8" s="1432">
        <f>'NT-VT'!F11</f>
        <v>17</v>
      </c>
      <c r="F8" s="1432" t="str">
        <f>'NT-VT'!G11</f>
        <v/>
      </c>
      <c r="G8" s="869">
        <f t="shared" si="0"/>
        <v>1</v>
      </c>
      <c r="H8" s="883"/>
      <c r="I8" s="859"/>
    </row>
    <row r="9" spans="1:9" ht="35.1" customHeight="1">
      <c r="A9" s="1432">
        <f>SUM($G$3:G9)</f>
        <v>7</v>
      </c>
      <c r="B9" s="1433" t="str">
        <f>'NT-VT'!C12</f>
        <v>Ốc siết cáp đồng M11mm2</v>
      </c>
      <c r="C9" s="1434" t="str">
        <f>'NT-VT'!D12</f>
        <v>cái</v>
      </c>
      <c r="D9" s="1435">
        <f>'NT-VT'!E12</f>
        <v>17</v>
      </c>
      <c r="E9" s="1432">
        <f>'NT-VT'!F13</f>
        <v>17</v>
      </c>
      <c r="F9" s="1432" t="str">
        <f>'NT-VT'!G13</f>
        <v/>
      </c>
      <c r="G9" s="869">
        <f t="shared" si="0"/>
        <v>1</v>
      </c>
      <c r="H9" s="883"/>
      <c r="I9" s="859"/>
    </row>
    <row r="10" spans="1:9" ht="35.1" customHeight="1">
      <c r="A10" s="1432">
        <f>SUM($G$3:G10)</f>
        <v>8</v>
      </c>
      <c r="B10" s="1433" t="str">
        <f>'NT-VT'!C13</f>
        <v>Bulông Φ8x30 + long đền: bắt dây nối đất vào đèn</v>
      </c>
      <c r="C10" s="1434" t="str">
        <f>'NT-VT'!D13</f>
        <v>bộ</v>
      </c>
      <c r="D10" s="1435">
        <f>'NT-VT'!E13</f>
        <v>17</v>
      </c>
      <c r="E10" s="1432">
        <f>'NT-VT'!F14</f>
        <v>34</v>
      </c>
      <c r="F10" s="1432" t="str">
        <f>'NT-VT'!G14</f>
        <v/>
      </c>
      <c r="G10" s="869">
        <f t="shared" si="0"/>
        <v>1</v>
      </c>
      <c r="H10" s="883"/>
      <c r="I10" s="859"/>
    </row>
    <row r="11" spans="1:9" ht="35.1" customHeight="1">
      <c r="A11" s="1432">
        <f>SUM($G$3:G11)</f>
        <v>9</v>
      </c>
      <c r="B11" s="1433" t="str">
        <f>'NT-VT'!C14</f>
        <v>Đầu cosse ép đồng Cu11mm2</v>
      </c>
      <c r="C11" s="1434" t="str">
        <f>'NT-VT'!D14</f>
        <v>cái</v>
      </c>
      <c r="D11" s="1435">
        <f>'NT-VT'!E14</f>
        <v>34</v>
      </c>
      <c r="E11" s="1432">
        <f>'NT-VT'!F15</f>
        <v>16</v>
      </c>
      <c r="F11" s="1432" t="str">
        <f>'NT-VT'!G15</f>
        <v/>
      </c>
      <c r="G11" s="869">
        <f t="shared" si="0"/>
        <v>1</v>
      </c>
      <c r="H11" s="884"/>
    </row>
    <row r="12" spans="1:9" ht="35.1" customHeight="1">
      <c r="A12" s="1432">
        <f>SUM($G$3:G12)</f>
        <v>10</v>
      </c>
      <c r="B12" s="1433" t="str">
        <f>'NT-VT'!C15</f>
        <v>Nguồn cấp Camera</v>
      </c>
      <c r="C12" s="1434" t="str">
        <f>'NT-VT'!D15</f>
        <v>Bộ</v>
      </c>
      <c r="D12" s="1435">
        <f>'NT-VT'!E15</f>
        <v>16</v>
      </c>
      <c r="E12" s="1432">
        <f>'NT-VT'!F16</f>
        <v>16</v>
      </c>
      <c r="F12" s="1432" t="str">
        <f>'NT-VT'!G16</f>
        <v/>
      </c>
      <c r="G12" s="869">
        <f t="shared" si="0"/>
        <v>1</v>
      </c>
      <c r="H12" s="883"/>
      <c r="I12" s="859"/>
    </row>
    <row r="13" spans="1:9" ht="35.1" customHeight="1">
      <c r="A13" s="1432">
        <f>SUM($G$3:G13)</f>
        <v>11</v>
      </c>
      <c r="B13" s="1433" t="str">
        <f>'NT-VT'!C16</f>
        <v>Hộp nhựa bảo vệ nguồn</v>
      </c>
      <c r="C13" s="1434" t="str">
        <f>'NT-VT'!D16</f>
        <v>bộ</v>
      </c>
      <c r="D13" s="1435">
        <f>'NT-VT'!E16</f>
        <v>16</v>
      </c>
      <c r="E13" s="1432">
        <f>'NT-VT'!F17</f>
        <v>275</v>
      </c>
      <c r="F13" s="1432" t="str">
        <f>'NT-VT'!G17</f>
        <v/>
      </c>
      <c r="G13" s="869">
        <f t="shared" si="0"/>
        <v>1</v>
      </c>
      <c r="H13" s="883"/>
      <c r="I13" s="859"/>
    </row>
    <row r="14" spans="1:9" ht="35.1" customHeight="1">
      <c r="A14" s="1432">
        <f>SUM($G$3:G14)</f>
        <v>12</v>
      </c>
      <c r="B14" s="1433" t="str">
        <f>'NT-VT'!C17</f>
        <v>Ống nhựa PVC-D21 bảo vệ dây nguồn (cây dài 4m)</v>
      </c>
      <c r="C14" s="1434" t="str">
        <f>'NT-VT'!D17</f>
        <v>cây</v>
      </c>
      <c r="D14" s="1435">
        <f>'NT-VT'!E17</f>
        <v>275</v>
      </c>
      <c r="E14" s="1432">
        <f>'NT-VT'!F18</f>
        <v>68</v>
      </c>
      <c r="F14" s="1432" t="str">
        <f>'NT-VT'!G18</f>
        <v/>
      </c>
      <c r="G14" s="869">
        <f t="shared" si="0"/>
        <v>1</v>
      </c>
      <c r="H14" s="883"/>
      <c r="I14" s="859"/>
    </row>
    <row r="15" spans="1:9" ht="35.1" customHeight="1">
      <c r="A15" s="1432">
        <f>SUM($G$3:G15)</f>
        <v>13</v>
      </c>
      <c r="B15" s="1433" t="str">
        <f>'NT-VT'!C18</f>
        <v>Nối chữ T</v>
      </c>
      <c r="C15" s="1434" t="str">
        <f>'NT-VT'!D18</f>
        <v>cái</v>
      </c>
      <c r="D15" s="1435">
        <f>'NT-VT'!E18</f>
        <v>68</v>
      </c>
      <c r="E15" s="1432">
        <f>'NT-VT'!F19</f>
        <v>68</v>
      </c>
      <c r="F15" s="1432" t="str">
        <f>'NT-VT'!G19</f>
        <v/>
      </c>
      <c r="G15" s="869">
        <f t="shared" si="0"/>
        <v>1</v>
      </c>
      <c r="H15" s="883"/>
      <c r="I15" s="859"/>
    </row>
    <row r="16" spans="1:9" ht="35.1" customHeight="1">
      <c r="A16" s="1432">
        <f>SUM($G$3:G16)</f>
        <v>14</v>
      </c>
      <c r="B16" s="1433" t="str">
        <f>'NT-VT'!C19</f>
        <v>Co nối</v>
      </c>
      <c r="C16" s="1434" t="str">
        <f>'NT-VT'!D19</f>
        <v>bộ</v>
      </c>
      <c r="D16" s="1435">
        <f>'NT-VT'!E19</f>
        <v>68</v>
      </c>
      <c r="E16" s="1432">
        <f>'NT-VT'!F20</f>
        <v>2</v>
      </c>
      <c r="F16" s="1432" t="str">
        <f>'NT-VT'!G20</f>
        <v/>
      </c>
      <c r="G16" s="869">
        <f t="shared" si="0"/>
        <v>1</v>
      </c>
      <c r="H16" s="883"/>
      <c r="I16" s="859"/>
    </row>
    <row r="17" spans="1:9" ht="35.1" customHeight="1">
      <c r="A17" s="1432">
        <f>SUM($G$3:G17)</f>
        <v>15</v>
      </c>
      <c r="B17" s="1433" t="str">
        <f>'NT-VT'!C20</f>
        <v>Tủ điện lưu trữ</v>
      </c>
      <c r="C17" s="1434" t="str">
        <f>'NT-VT'!D20</f>
        <v>bộ</v>
      </c>
      <c r="D17" s="1435">
        <f>'NT-VT'!E20</f>
        <v>2</v>
      </c>
      <c r="E17" s="1432">
        <f>'NT-VT'!F21</f>
        <v>16</v>
      </c>
      <c r="F17" s="1432" t="str">
        <f>'NT-VT'!G21</f>
        <v/>
      </c>
      <c r="G17" s="869">
        <f t="shared" si="0"/>
        <v>1</v>
      </c>
      <c r="H17" s="883"/>
      <c r="I17" s="885"/>
    </row>
    <row r="18" spans="1:9" ht="35.1" customHeight="1">
      <c r="A18" s="1432">
        <f>SUM($G$3:G18)</f>
        <v>16</v>
      </c>
      <c r="B18" s="1433" t="str">
        <f>'NT-VT'!C21</f>
        <v>Xi bi sử dụng cho màn hình Led</v>
      </c>
      <c r="C18" s="1434" t="str">
        <f>'NT-VT'!D21</f>
        <v>cái</v>
      </c>
      <c r="D18" s="1435">
        <f>'NT-VT'!E21</f>
        <v>16</v>
      </c>
      <c r="E18" s="1432">
        <f>'NT-VT'!F22</f>
        <v>680</v>
      </c>
      <c r="F18" s="1432" t="str">
        <f>'NT-VT'!G22</f>
        <v/>
      </c>
      <c r="G18" s="869">
        <f t="shared" si="0"/>
        <v>1</v>
      </c>
      <c r="H18" s="883"/>
      <c r="I18" s="885"/>
    </row>
    <row r="19" spans="1:9" ht="35.1" customHeight="1">
      <c r="A19" s="1432">
        <f>SUM($G$3:G19)</f>
        <v>17</v>
      </c>
      <c r="B19" s="1433" t="str">
        <f>'NT-VT'!C22</f>
        <v>Led dây 50X50mm (20m một trụ) (sử dụng nguồn điện 220V.</v>
      </c>
      <c r="C19" s="1434" t="str">
        <f>'NT-VT'!D22</f>
        <v>m</v>
      </c>
      <c r="D19" s="1435">
        <f>'NT-VT'!E22</f>
        <v>680</v>
      </c>
      <c r="E19" s="1432">
        <f>'NT-VT'!F23</f>
        <v>34</v>
      </c>
      <c r="F19" s="1432" t="str">
        <f>'NT-VT'!G23</f>
        <v/>
      </c>
      <c r="G19" s="869">
        <f t="shared" si="0"/>
        <v>1</v>
      </c>
      <c r="H19" s="883"/>
      <c r="I19" s="885"/>
    </row>
    <row r="20" spans="1:9" ht="35.1" customHeight="1">
      <c r="A20" s="1432">
        <f>SUM($G$3:G20)</f>
        <v>18</v>
      </c>
      <c r="B20" s="1433" t="str">
        <f>'NT-VT'!C23</f>
        <v>Bộ chuyển đổi nguồn điện AC sang nguồn điện DC</v>
      </c>
      <c r="C20" s="1434" t="str">
        <f>'NT-VT'!D23</f>
        <v>bộ</v>
      </c>
      <c r="D20" s="1435">
        <f>'NT-VT'!E23</f>
        <v>34</v>
      </c>
      <c r="E20" s="1432">
        <f>'NT-VT'!F24</f>
        <v>34</v>
      </c>
      <c r="F20" s="1432" t="str">
        <f>'NT-VT'!G24</f>
        <v>Cty TNHHSX-TM Dây &amp; Cáp Điện Tài Trường Thành</v>
      </c>
      <c r="G20" s="869">
        <f t="shared" si="0"/>
        <v>1</v>
      </c>
      <c r="H20" s="884"/>
    </row>
    <row r="21" spans="1:9" ht="35.1" customHeight="1">
      <c r="A21" s="1432">
        <f>SUM($G$3:G21)</f>
        <v>19</v>
      </c>
      <c r="B21" s="1433" t="str">
        <f>'NT-VT'!C24</f>
        <v>Keo alu (500ml/chai)</v>
      </c>
      <c r="C21" s="1434" t="str">
        <f>'NT-VT'!D24</f>
        <v>Chai</v>
      </c>
      <c r="D21" s="1435">
        <f>'NT-VT'!E24</f>
        <v>34</v>
      </c>
      <c r="E21" s="1432">
        <f>'NT-VT'!F25</f>
        <v>0</v>
      </c>
      <c r="F21" s="1432" t="str">
        <f>'NT-VT'!G25</f>
        <v>nt</v>
      </c>
      <c r="G21" s="869">
        <f t="shared" si="0"/>
        <v>1</v>
      </c>
      <c r="H21" s="883"/>
      <c r="I21" s="859"/>
    </row>
    <row r="22" spans="1:9" ht="35.1" customHeight="1">
      <c r="A22" s="1432">
        <f>SUM($G$3:G22)</f>
        <v>20</v>
      </c>
      <c r="B22" s="1433">
        <f>'NT-VT'!C25</f>
        <v>0</v>
      </c>
      <c r="C22" s="1434">
        <f>'NT-VT'!D25</f>
        <v>0</v>
      </c>
      <c r="D22" s="1435">
        <f>'NT-VT'!E25</f>
        <v>0</v>
      </c>
      <c r="E22" s="1432" t="str">
        <f>'NT-VT'!F26</f>
        <v>nt</v>
      </c>
      <c r="F22" s="1432" t="str">
        <f>'NT-VT'!G26</f>
        <v>nt</v>
      </c>
      <c r="G22" s="869">
        <f t="shared" si="0"/>
        <v>1</v>
      </c>
      <c r="H22" s="883"/>
      <c r="I22" s="859"/>
    </row>
    <row r="23" spans="1:9" ht="35.1" customHeight="1">
      <c r="A23" s="1432">
        <f>SUM($G$3:G23)</f>
        <v>20</v>
      </c>
      <c r="B23" s="1433" t="e">
        <f>'NT-VT'!C26</f>
        <v>#N/A</v>
      </c>
      <c r="C23" s="1434">
        <f>'NT-VT'!D26</f>
        <v>0</v>
      </c>
      <c r="D23" s="1435">
        <f>'NT-VT'!E26</f>
        <v>0</v>
      </c>
      <c r="E23" s="1432" t="str">
        <f>'NT-VT'!F27</f>
        <v>nt</v>
      </c>
      <c r="F23" s="1432" t="str">
        <f>'NT-VT'!G27</f>
        <v>nt</v>
      </c>
      <c r="G23" s="869" t="str">
        <f t="shared" si="0"/>
        <v/>
      </c>
      <c r="H23" s="883"/>
      <c r="I23" s="885"/>
    </row>
    <row r="24" spans="1:9" ht="35.1" customHeight="1">
      <c r="A24" s="1432">
        <f>SUM($G$3:G24)</f>
        <v>20</v>
      </c>
      <c r="B24" s="1433" t="e">
        <f>'NT-VT'!C27</f>
        <v>#N/A</v>
      </c>
      <c r="C24" s="1434">
        <f>'NT-VT'!D27</f>
        <v>0</v>
      </c>
      <c r="D24" s="1435">
        <f>'NT-VT'!E27</f>
        <v>0</v>
      </c>
      <c r="E24" s="1432" t="str">
        <f>'NT-VT'!F28</f>
        <v>nt</v>
      </c>
      <c r="F24" s="1432" t="str">
        <f>'NT-VT'!G28</f>
        <v>nt</v>
      </c>
      <c r="G24" s="869" t="str">
        <f t="shared" si="0"/>
        <v/>
      </c>
      <c r="H24" s="883"/>
      <c r="I24" s="885"/>
    </row>
    <row r="25" spans="1:9" ht="35.1" customHeight="1">
      <c r="A25" s="1432">
        <f>SUM($G$3:G25)</f>
        <v>20</v>
      </c>
      <c r="B25" s="1433" t="e">
        <f>'NT-VT'!C28</f>
        <v>#N/A</v>
      </c>
      <c r="C25" s="1434">
        <f>'NT-VT'!D28</f>
        <v>0</v>
      </c>
      <c r="D25" s="1435">
        <f>'NT-VT'!E28</f>
        <v>0</v>
      </c>
      <c r="E25" s="1432" t="str">
        <f>'NT-VT'!F29</f>
        <v>nt</v>
      </c>
      <c r="F25" s="1432" t="str">
        <f>'NT-VT'!G29</f>
        <v>nt</v>
      </c>
      <c r="G25" s="869" t="str">
        <f t="shared" si="0"/>
        <v/>
      </c>
      <c r="H25" s="883"/>
      <c r="I25" s="859"/>
    </row>
    <row r="26" spans="1:9" ht="35.1" customHeight="1">
      <c r="A26" s="1432">
        <f>SUM($G$3:G26)</f>
        <v>20</v>
      </c>
      <c r="B26" s="1433" t="e">
        <f>'NT-VT'!C29</f>
        <v>#N/A</v>
      </c>
      <c r="C26" s="1434">
        <f>'NT-VT'!D29</f>
        <v>0</v>
      </c>
      <c r="D26" s="1435">
        <f>'NT-VT'!E29</f>
        <v>0</v>
      </c>
      <c r="E26" s="1432" t="str">
        <f>'NT-VT'!F30</f>
        <v>nt</v>
      </c>
      <c r="F26" s="1432" t="str">
        <f>'NT-VT'!G30</f>
        <v>nt</v>
      </c>
      <c r="G26" s="869" t="str">
        <f t="shared" si="0"/>
        <v/>
      </c>
      <c r="H26" s="883"/>
      <c r="I26" s="859"/>
    </row>
    <row r="27" spans="1:9" ht="35.1" customHeight="1">
      <c r="A27" s="1432">
        <f>SUM($G$3:G27)</f>
        <v>20</v>
      </c>
      <c r="B27" s="1433" t="e">
        <f>'NT-VT'!C30</f>
        <v>#N/A</v>
      </c>
      <c r="C27" s="1434">
        <f>'NT-VT'!D30</f>
        <v>0</v>
      </c>
      <c r="D27" s="1435">
        <f>'NT-VT'!E30</f>
        <v>0</v>
      </c>
      <c r="E27" s="1432" t="str">
        <f>'NT-VT'!F31</f>
        <v>nt</v>
      </c>
      <c r="F27" s="1432" t="str">
        <f>'NT-VT'!G31</f>
        <v>nt</v>
      </c>
      <c r="G27" s="869" t="str">
        <f t="shared" si="0"/>
        <v/>
      </c>
      <c r="H27" s="883"/>
      <c r="I27" s="859"/>
    </row>
    <row r="28" spans="1:9" ht="35.1" customHeight="1">
      <c r="A28" s="1432">
        <f>SUM($G$3:G28)</f>
        <v>20</v>
      </c>
      <c r="B28" s="1433" t="e">
        <f>'NT-VT'!C31</f>
        <v>#N/A</v>
      </c>
      <c r="C28" s="1434">
        <f>'NT-VT'!D31</f>
        <v>0</v>
      </c>
      <c r="D28" s="1435">
        <f>'NT-VT'!E31</f>
        <v>0</v>
      </c>
      <c r="E28" s="1432" t="str">
        <f>'NT-VT'!F32</f>
        <v>nt</v>
      </c>
      <c r="F28" s="1432" t="str">
        <f>'NT-VT'!G32</f>
        <v>nt</v>
      </c>
      <c r="G28" s="869" t="str">
        <f t="shared" si="0"/>
        <v/>
      </c>
      <c r="H28" s="883"/>
      <c r="I28" s="859"/>
    </row>
    <row r="29" spans="1:9" ht="35.1" customHeight="1">
      <c r="A29" s="1432">
        <f>SUM($G$3:G29)</f>
        <v>20</v>
      </c>
      <c r="B29" s="1433" t="e">
        <f>'NT-VT'!C32</f>
        <v>#N/A</v>
      </c>
      <c r="C29" s="1434">
        <f>'NT-VT'!D32</f>
        <v>0</v>
      </c>
      <c r="D29" s="1435">
        <f>'NT-VT'!E32</f>
        <v>0</v>
      </c>
      <c r="E29" s="1432" t="str">
        <f>'NT-VT'!F33</f>
        <v>nt</v>
      </c>
      <c r="F29" s="1432" t="str">
        <f>'NT-VT'!G33</f>
        <v>nt</v>
      </c>
      <c r="G29" s="869" t="str">
        <f t="shared" si="0"/>
        <v/>
      </c>
      <c r="H29" s="883"/>
      <c r="I29" s="885"/>
    </row>
    <row r="30" spans="1:9" ht="35.1" customHeight="1">
      <c r="A30" s="1432">
        <f>SUM($G$3:G30)</f>
        <v>20</v>
      </c>
      <c r="B30" s="1433" t="e">
        <f>'NT-VT'!C33</f>
        <v>#N/A</v>
      </c>
      <c r="C30" s="1434">
        <f>'NT-VT'!D33</f>
        <v>0</v>
      </c>
      <c r="D30" s="1435">
        <f>'NT-VT'!E33</f>
        <v>0</v>
      </c>
      <c r="E30" s="1432" t="str">
        <f>'NT-VT'!F34</f>
        <v>nt</v>
      </c>
      <c r="F30" s="1432" t="str">
        <f>'NT-VT'!G34</f>
        <v>nt</v>
      </c>
      <c r="G30" s="869" t="str">
        <f t="shared" si="0"/>
        <v/>
      </c>
      <c r="H30" s="884"/>
    </row>
    <row r="31" spans="1:9" ht="35.1" customHeight="1">
      <c r="A31" s="1432">
        <f>SUM($G$3:G31)</f>
        <v>20</v>
      </c>
      <c r="B31" s="1433" t="e">
        <f>'NT-VT'!C34</f>
        <v>#N/A</v>
      </c>
      <c r="C31" s="1434">
        <f>'NT-VT'!D34</f>
        <v>0</v>
      </c>
      <c r="D31" s="1435">
        <f>'NT-VT'!E34</f>
        <v>0</v>
      </c>
      <c r="E31" s="1432" t="str">
        <f>'NT-VT'!F35</f>
        <v>nt</v>
      </c>
      <c r="F31" s="1432" t="str">
        <f>'NT-VT'!G35</f>
        <v>nt</v>
      </c>
      <c r="G31" s="869" t="str">
        <f t="shared" si="0"/>
        <v/>
      </c>
      <c r="H31" s="883"/>
      <c r="I31" s="885"/>
    </row>
    <row r="32" spans="1:9" ht="35.1" customHeight="1">
      <c r="A32" s="1432">
        <f>SUM($G$3:G32)</f>
        <v>20</v>
      </c>
      <c r="B32" s="1433" t="e">
        <f>'NT-VT'!C35</f>
        <v>#N/A</v>
      </c>
      <c r="C32" s="1434">
        <f>'NT-VT'!D35</f>
        <v>0</v>
      </c>
      <c r="D32" s="1435">
        <f>'NT-VT'!E35</f>
        <v>0</v>
      </c>
      <c r="E32" s="1432" t="str">
        <f>'NT-VT'!F36</f>
        <v>nt</v>
      </c>
      <c r="F32" s="1432" t="str">
        <f>'NT-VT'!G36</f>
        <v>nt</v>
      </c>
      <c r="G32" s="869" t="str">
        <f t="shared" si="0"/>
        <v/>
      </c>
      <c r="H32" s="883"/>
      <c r="I32" s="885"/>
    </row>
    <row r="33" spans="1:9" ht="35.1" customHeight="1">
      <c r="A33" s="1432">
        <f>SUM($G$3:G33)</f>
        <v>20</v>
      </c>
      <c r="B33" s="1433" t="e">
        <f>'NT-VT'!C36</f>
        <v>#N/A</v>
      </c>
      <c r="C33" s="1434">
        <f>'NT-VT'!D36</f>
        <v>0</v>
      </c>
      <c r="D33" s="1435">
        <f>'NT-VT'!E36</f>
        <v>0</v>
      </c>
      <c r="E33" s="1432" t="str">
        <f>'NT-VT'!F37</f>
        <v>nt</v>
      </c>
      <c r="F33" s="1432" t="str">
        <f>'NT-VT'!G37</f>
        <v>nt</v>
      </c>
      <c r="G33" s="869" t="str">
        <f t="shared" si="0"/>
        <v/>
      </c>
      <c r="H33" s="884"/>
    </row>
    <row r="34" spans="1:9" ht="35.1" customHeight="1">
      <c r="A34" s="1432">
        <f>SUM($G$3:G34)</f>
        <v>20</v>
      </c>
      <c r="B34" s="1433" t="e">
        <f>'NT-VT'!C37</f>
        <v>#N/A</v>
      </c>
      <c r="C34" s="1434">
        <f>'NT-VT'!D37</f>
        <v>0</v>
      </c>
      <c r="D34" s="1435">
        <f>'NT-VT'!E37</f>
        <v>0</v>
      </c>
      <c r="E34" s="1432" t="str">
        <f>'NT-VT'!F38</f>
        <v>nt</v>
      </c>
      <c r="F34" s="1432" t="str">
        <f>'NT-VT'!G38</f>
        <v>nt</v>
      </c>
      <c r="G34" s="869" t="str">
        <f t="shared" si="0"/>
        <v/>
      </c>
      <c r="H34" s="883"/>
      <c r="I34" s="885"/>
    </row>
    <row r="35" spans="1:9" ht="35.1" customHeight="1">
      <c r="A35" s="1432">
        <f>SUM($G$3:G35)</f>
        <v>20</v>
      </c>
      <c r="B35" s="1433" t="e">
        <f>'NT-VT'!C38</f>
        <v>#N/A</v>
      </c>
      <c r="C35" s="1434">
        <f>'NT-VT'!D38</f>
        <v>0</v>
      </c>
      <c r="D35" s="1435">
        <f>'NT-VT'!E38</f>
        <v>0</v>
      </c>
      <c r="E35" s="1432" t="str">
        <f>'NT-VT'!F39</f>
        <v>nt</v>
      </c>
      <c r="F35" s="1432" t="str">
        <f>'NT-VT'!G39</f>
        <v>nt</v>
      </c>
      <c r="G35" s="869" t="str">
        <f t="shared" si="0"/>
        <v/>
      </c>
      <c r="H35" s="883"/>
      <c r="I35" s="885"/>
    </row>
    <row r="36" spans="1:9" ht="35.1" customHeight="1">
      <c r="A36" s="1432">
        <f>SUM($G$3:G36)</f>
        <v>20</v>
      </c>
      <c r="B36" s="1433" t="e">
        <f>'NT-VT'!C39</f>
        <v>#N/A</v>
      </c>
      <c r="C36" s="1434">
        <f>'NT-VT'!D39</f>
        <v>0</v>
      </c>
      <c r="D36" s="1435">
        <f>'NT-VT'!E39</f>
        <v>0</v>
      </c>
      <c r="E36" s="1432" t="str">
        <f>'NT-VT'!F40</f>
        <v>nt</v>
      </c>
      <c r="F36" s="1432" t="str">
        <f>'NT-VT'!G40</f>
        <v>nt</v>
      </c>
      <c r="G36" s="869" t="str">
        <f t="shared" si="0"/>
        <v/>
      </c>
      <c r="H36" s="883"/>
      <c r="I36" s="885"/>
    </row>
    <row r="37" spans="1:9" ht="35.1" customHeight="1">
      <c r="A37" s="1432">
        <f>SUM($G$3:G37)</f>
        <v>20</v>
      </c>
      <c r="B37" s="1433" t="e">
        <f>'NT-VT'!C40</f>
        <v>#N/A</v>
      </c>
      <c r="C37" s="1434">
        <f>'NT-VT'!D40</f>
        <v>0</v>
      </c>
      <c r="D37" s="1435">
        <f>'NT-VT'!E40</f>
        <v>0</v>
      </c>
      <c r="E37" s="1432" t="str">
        <f>'NT-VT'!F41</f>
        <v>nt</v>
      </c>
      <c r="F37" s="1432" t="str">
        <f>'NT-VT'!G41</f>
        <v>nt</v>
      </c>
      <c r="G37" s="869" t="str">
        <f t="shared" si="0"/>
        <v/>
      </c>
      <c r="H37" s="883"/>
      <c r="I37" s="885"/>
    </row>
    <row r="38" spans="1:9" ht="35.1" customHeight="1">
      <c r="A38" s="1432">
        <f>SUM($G$3:G38)</f>
        <v>20</v>
      </c>
      <c r="B38" s="1433" t="e">
        <f>'NT-VT'!C41</f>
        <v>#N/A</v>
      </c>
      <c r="C38" s="1434">
        <f>'NT-VT'!D41</f>
        <v>0</v>
      </c>
      <c r="D38" s="1435">
        <f>'NT-VT'!E41</f>
        <v>0</v>
      </c>
      <c r="E38" s="1432" t="str">
        <f>'NT-VT'!F42</f>
        <v>nt</v>
      </c>
      <c r="F38" s="1432" t="str">
        <f>'NT-VT'!G42</f>
        <v>nt</v>
      </c>
      <c r="G38" s="869" t="str">
        <f t="shared" si="0"/>
        <v/>
      </c>
      <c r="H38" s="883"/>
      <c r="I38" s="859"/>
    </row>
    <row r="39" spans="1:9" ht="35.1" customHeight="1">
      <c r="A39" s="1432">
        <f>SUM($G$3:G39)</f>
        <v>20</v>
      </c>
      <c r="B39" s="1433" t="e">
        <f>'NT-VT'!C42</f>
        <v>#N/A</v>
      </c>
      <c r="C39" s="1434">
        <f>'NT-VT'!D42</f>
        <v>0</v>
      </c>
      <c r="D39" s="1435">
        <f>'NT-VT'!E42</f>
        <v>0</v>
      </c>
      <c r="E39" s="1432" t="str">
        <f>'NT-VT'!F43</f>
        <v>nt</v>
      </c>
      <c r="F39" s="1432" t="str">
        <f>'NT-VT'!G43</f>
        <v>nt</v>
      </c>
      <c r="G39" s="869" t="str">
        <f t="shared" si="0"/>
        <v/>
      </c>
      <c r="H39" s="884"/>
    </row>
    <row r="40" spans="1:9" ht="35.1" customHeight="1">
      <c r="A40" s="1432">
        <f>SUM($G$3:G40)</f>
        <v>20</v>
      </c>
      <c r="B40" s="1433" t="e">
        <f>'NT-VT'!C43</f>
        <v>#N/A</v>
      </c>
      <c r="C40" s="1434">
        <f>'NT-VT'!D43</f>
        <v>0</v>
      </c>
      <c r="D40" s="1435">
        <f>'NT-VT'!E43</f>
        <v>0</v>
      </c>
      <c r="E40" s="1432" t="str">
        <f>'NT-VT'!F44</f>
        <v>nt</v>
      </c>
      <c r="F40" s="1432" t="str">
        <f>'NT-VT'!G44</f>
        <v>nt</v>
      </c>
      <c r="G40" s="869" t="str">
        <f t="shared" si="0"/>
        <v/>
      </c>
      <c r="H40" s="884"/>
    </row>
    <row r="41" spans="1:9" ht="35.1" hidden="1" customHeight="1">
      <c r="A41" s="1432">
        <f>SUM($G$3:G41)</f>
        <v>20</v>
      </c>
      <c r="B41" s="1433" t="e">
        <f>'NT-VT'!C44</f>
        <v>#N/A</v>
      </c>
      <c r="C41" s="1434">
        <f>'NT-VT'!D44</f>
        <v>0</v>
      </c>
      <c r="D41" s="1435">
        <f>'NT-VT'!E44</f>
        <v>0</v>
      </c>
      <c r="E41" s="1432" t="str">
        <f>'NT-VT'!F45</f>
        <v>nt</v>
      </c>
      <c r="F41" s="1432" t="str">
        <f>'NT-VT'!G45</f>
        <v>nt</v>
      </c>
      <c r="G41" s="869" t="str">
        <f t="shared" si="0"/>
        <v/>
      </c>
      <c r="H41" s="883"/>
      <c r="I41" s="885"/>
    </row>
    <row r="42" spans="1:9" ht="35.1" hidden="1" customHeight="1">
      <c r="A42" s="1432">
        <f>SUM($G$3:G42)</f>
        <v>20</v>
      </c>
      <c r="B42" s="1433" t="e">
        <f>'NT-VT'!C45</f>
        <v>#N/A</v>
      </c>
      <c r="C42" s="1434">
        <f>'NT-VT'!D45</f>
        <v>0</v>
      </c>
      <c r="D42" s="1435">
        <f>'NT-VT'!E45</f>
        <v>0</v>
      </c>
      <c r="E42" s="1432" t="str">
        <f>'NT-VT'!F46</f>
        <v>nt</v>
      </c>
      <c r="F42" s="1432" t="str">
        <f>'NT-VT'!G46</f>
        <v>nt</v>
      </c>
      <c r="G42" s="869" t="str">
        <f t="shared" si="0"/>
        <v/>
      </c>
      <c r="H42" s="883"/>
      <c r="I42" s="859"/>
    </row>
    <row r="43" spans="1:9" ht="35.1" hidden="1" customHeight="1">
      <c r="A43" s="1432">
        <f>SUM($G$3:G43)</f>
        <v>20</v>
      </c>
      <c r="B43" s="1433" t="e">
        <f>'NT-VT'!C46</f>
        <v>#N/A</v>
      </c>
      <c r="C43" s="1434">
        <f>'NT-VT'!D46</f>
        <v>0</v>
      </c>
      <c r="D43" s="1435">
        <f>'NT-VT'!E46</f>
        <v>0</v>
      </c>
      <c r="E43" s="1432" t="str">
        <f>'NT-VT'!F47</f>
        <v>nt</v>
      </c>
      <c r="F43" s="1432" t="str">
        <f>'NT-VT'!G47</f>
        <v>nt</v>
      </c>
      <c r="G43" s="869" t="str">
        <f t="shared" si="0"/>
        <v/>
      </c>
      <c r="H43" s="883"/>
      <c r="I43" s="885"/>
    </row>
    <row r="44" spans="1:9" ht="35.1" hidden="1" customHeight="1">
      <c r="A44" s="1432">
        <f>SUM($G$3:G44)</f>
        <v>20</v>
      </c>
      <c r="B44" s="1433" t="e">
        <f>'NT-VT'!C47</f>
        <v>#N/A</v>
      </c>
      <c r="C44" s="1434">
        <f>'NT-VT'!D47</f>
        <v>0</v>
      </c>
      <c r="D44" s="1435">
        <f>'NT-VT'!E47</f>
        <v>0</v>
      </c>
      <c r="E44" s="1432" t="str">
        <f>'NT-VT'!F48</f>
        <v>nt</v>
      </c>
      <c r="F44" s="1432" t="str">
        <f>'NT-VT'!G48</f>
        <v>nt</v>
      </c>
      <c r="G44" s="869" t="str">
        <f t="shared" si="0"/>
        <v/>
      </c>
      <c r="H44" s="883"/>
      <c r="I44" s="859"/>
    </row>
    <row r="45" spans="1:9" ht="35.1" hidden="1" customHeight="1">
      <c r="A45" s="1432">
        <f>SUM($G$3:G45)</f>
        <v>20</v>
      </c>
      <c r="B45" s="1433" t="e">
        <f>'NT-VT'!C48</f>
        <v>#N/A</v>
      </c>
      <c r="C45" s="1434">
        <f>'NT-VT'!D48</f>
        <v>0</v>
      </c>
      <c r="D45" s="1435">
        <f>'NT-VT'!E48</f>
        <v>0</v>
      </c>
      <c r="E45" s="1432" t="str">
        <f>'NT-VT'!F49</f>
        <v>nt</v>
      </c>
      <c r="F45" s="1432" t="str">
        <f>'NT-VT'!G49</f>
        <v>nt</v>
      </c>
      <c r="G45" s="869" t="str">
        <f t="shared" si="0"/>
        <v/>
      </c>
      <c r="H45" s="883"/>
      <c r="I45" s="859"/>
    </row>
    <row r="46" spans="1:9" ht="35.1" hidden="1" customHeight="1">
      <c r="A46" s="1432">
        <f>SUM($G$3:G46)</f>
        <v>20</v>
      </c>
      <c r="B46" s="1433" t="e">
        <f>'NT-VT'!C49</f>
        <v>#N/A</v>
      </c>
      <c r="C46" s="1434">
        <f>'NT-VT'!D49</f>
        <v>0</v>
      </c>
      <c r="D46" s="1435">
        <f>'NT-VT'!E49</f>
        <v>0</v>
      </c>
      <c r="E46" s="1432" t="str">
        <f>'NT-VT'!F50</f>
        <v>nt</v>
      </c>
      <c r="F46" s="1432" t="str">
        <f>'NT-VT'!G50</f>
        <v>nt</v>
      </c>
      <c r="G46" s="869" t="str">
        <f t="shared" si="0"/>
        <v/>
      </c>
      <c r="H46" s="883"/>
      <c r="I46" s="859"/>
    </row>
    <row r="47" spans="1:9" ht="35.1" hidden="1" customHeight="1">
      <c r="A47" s="1432">
        <f>SUM($G$3:G47)</f>
        <v>20</v>
      </c>
      <c r="B47" s="1433" t="e">
        <f>'NT-VT'!C50</f>
        <v>#N/A</v>
      </c>
      <c r="C47" s="1434">
        <f>'NT-VT'!D50</f>
        <v>0</v>
      </c>
      <c r="D47" s="1435">
        <f>'NT-VT'!E50</f>
        <v>0</v>
      </c>
      <c r="E47" s="1432" t="str">
        <f>'NT-VT'!F51</f>
        <v>nt</v>
      </c>
      <c r="F47" s="1432" t="str">
        <f>'NT-VT'!G51</f>
        <v>nt</v>
      </c>
      <c r="G47" s="869" t="str">
        <f t="shared" si="0"/>
        <v/>
      </c>
      <c r="H47" s="883"/>
      <c r="I47" s="859"/>
    </row>
    <row r="48" spans="1:9" ht="35.1" hidden="1" customHeight="1">
      <c r="A48" s="1432">
        <f>SUM($G$3:G48)</f>
        <v>20</v>
      </c>
      <c r="B48" s="1433" t="e">
        <f>'NT-VT'!C51</f>
        <v>#N/A</v>
      </c>
      <c r="C48" s="1434">
        <f>'NT-VT'!D51</f>
        <v>0</v>
      </c>
      <c r="D48" s="1435">
        <f>'NT-VT'!E51</f>
        <v>0</v>
      </c>
      <c r="E48" s="1432" t="str">
        <f>'NT-VT'!F52</f>
        <v>nt</v>
      </c>
      <c r="F48" s="1432" t="str">
        <f>'NT-VT'!G52</f>
        <v>nt</v>
      </c>
      <c r="G48" s="869" t="str">
        <f t="shared" si="0"/>
        <v/>
      </c>
      <c r="H48" s="883"/>
      <c r="I48" s="859"/>
    </row>
    <row r="49" spans="1:9" ht="35.1" hidden="1" customHeight="1">
      <c r="A49" s="1432">
        <f>SUM($G$3:G49)</f>
        <v>20</v>
      </c>
      <c r="B49" s="1433" t="e">
        <f>'NT-VT'!C52</f>
        <v>#N/A</v>
      </c>
      <c r="C49" s="1434">
        <f>'NT-VT'!D52</f>
        <v>0</v>
      </c>
      <c r="D49" s="1435">
        <f>'NT-VT'!E52</f>
        <v>0</v>
      </c>
      <c r="E49" s="1432" t="str">
        <f>'NT-VT'!F53</f>
        <v>nt</v>
      </c>
      <c r="F49" s="1432" t="str">
        <f>'NT-VT'!G53</f>
        <v>nt</v>
      </c>
      <c r="G49" s="869" t="str">
        <f t="shared" si="0"/>
        <v/>
      </c>
      <c r="H49" s="883"/>
      <c r="I49" s="859"/>
    </row>
    <row r="50" spans="1:9" ht="35.1" hidden="1" customHeight="1">
      <c r="A50" s="1432">
        <f>SUM($G$3:G50)</f>
        <v>20</v>
      </c>
      <c r="B50" s="1433" t="e">
        <f>'NT-VT'!C53</f>
        <v>#N/A</v>
      </c>
      <c r="C50" s="1434">
        <f>'NT-VT'!D53</f>
        <v>0</v>
      </c>
      <c r="D50" s="1435">
        <f>'NT-VT'!E53</f>
        <v>0</v>
      </c>
      <c r="E50" s="1432" t="str">
        <f>'NT-VT'!F54</f>
        <v>nt</v>
      </c>
      <c r="F50" s="1432" t="str">
        <f>'NT-VT'!G54</f>
        <v>nt</v>
      </c>
      <c r="G50" s="869" t="str">
        <f t="shared" si="0"/>
        <v/>
      </c>
      <c r="H50" s="883"/>
      <c r="I50" s="859"/>
    </row>
    <row r="51" spans="1:9" ht="35.1" hidden="1" customHeight="1">
      <c r="A51" s="1432">
        <f>SUM($G$3:G51)</f>
        <v>20</v>
      </c>
      <c r="B51" s="1433" t="e">
        <f>'NT-VT'!C54</f>
        <v>#N/A</v>
      </c>
      <c r="C51" s="1434">
        <f>'NT-VT'!D54</f>
        <v>0</v>
      </c>
      <c r="D51" s="1435">
        <f>'NT-VT'!E54</f>
        <v>0</v>
      </c>
      <c r="E51" s="1432" t="str">
        <f>'NT-VT'!F55</f>
        <v>nt</v>
      </c>
      <c r="F51" s="1432" t="str">
        <f>'NT-VT'!G55</f>
        <v>nt</v>
      </c>
      <c r="G51" s="869" t="str">
        <f t="shared" si="0"/>
        <v/>
      </c>
      <c r="H51" s="883"/>
      <c r="I51" s="859"/>
    </row>
    <row r="52" spans="1:9" ht="35.1" hidden="1" customHeight="1">
      <c r="A52" s="1432">
        <f>SUM($G$3:G52)</f>
        <v>20</v>
      </c>
      <c r="B52" s="1433" t="e">
        <f>'NT-VT'!C55</f>
        <v>#N/A</v>
      </c>
      <c r="C52" s="1434">
        <f>'NT-VT'!D55</f>
        <v>0</v>
      </c>
      <c r="D52" s="1435">
        <f>'NT-VT'!E55</f>
        <v>0</v>
      </c>
      <c r="E52" s="1432" t="str">
        <f>'NT-VT'!F56</f>
        <v>nt</v>
      </c>
      <c r="F52" s="1432" t="str">
        <f>'NT-VT'!G56</f>
        <v>nt</v>
      </c>
      <c r="G52" s="869" t="str">
        <f t="shared" si="0"/>
        <v/>
      </c>
      <c r="H52" s="883"/>
      <c r="I52" s="859"/>
    </row>
    <row r="53" spans="1:9" ht="35.1" hidden="1" customHeight="1">
      <c r="A53" s="1432">
        <f>SUM($G$3:G53)</f>
        <v>20</v>
      </c>
      <c r="B53" s="1433" t="e">
        <f>'NT-VT'!C56</f>
        <v>#N/A</v>
      </c>
      <c r="C53" s="1434">
        <f>'NT-VT'!D56</f>
        <v>0</v>
      </c>
      <c r="D53" s="1435">
        <f>'NT-VT'!E56</f>
        <v>0</v>
      </c>
      <c r="E53" s="1432" t="str">
        <f>'NT-VT'!F57</f>
        <v>nt</v>
      </c>
      <c r="F53" s="1432" t="str">
        <f>'NT-VT'!G57</f>
        <v>nt</v>
      </c>
      <c r="G53" s="869" t="str">
        <f t="shared" si="0"/>
        <v/>
      </c>
      <c r="H53" s="883"/>
      <c r="I53" s="859"/>
    </row>
    <row r="54" spans="1:9" ht="35.1" hidden="1" customHeight="1">
      <c r="A54" s="1432">
        <f>SUM($G$3:G54)</f>
        <v>20</v>
      </c>
      <c r="B54" s="1433" t="e">
        <f>'NT-VT'!C57</f>
        <v>#N/A</v>
      </c>
      <c r="C54" s="1434">
        <f>'NT-VT'!D57</f>
        <v>0</v>
      </c>
      <c r="D54" s="1435">
        <f>'NT-VT'!E57</f>
        <v>0</v>
      </c>
      <c r="E54" s="1432" t="str">
        <f>'NT-VT'!F58</f>
        <v>nt</v>
      </c>
      <c r="F54" s="1432" t="str">
        <f>'NT-VT'!G58</f>
        <v>nt</v>
      </c>
      <c r="G54" s="869" t="str">
        <f t="shared" si="0"/>
        <v/>
      </c>
      <c r="H54" s="883"/>
      <c r="I54" s="859"/>
    </row>
    <row r="55" spans="1:9" ht="35.1" hidden="1" customHeight="1">
      <c r="A55" s="1432">
        <f>SUM($G$3:G55)</f>
        <v>20</v>
      </c>
      <c r="B55" s="1433" t="e">
        <f>'NT-VT'!C58</f>
        <v>#N/A</v>
      </c>
      <c r="C55" s="1434">
        <f>'NT-VT'!D58</f>
        <v>0</v>
      </c>
      <c r="D55" s="1435">
        <f>'NT-VT'!E58</f>
        <v>0</v>
      </c>
      <c r="E55" s="1432" t="str">
        <f>'NT-VT'!F59</f>
        <v>nt</v>
      </c>
      <c r="F55" s="1432" t="str">
        <f>'NT-VT'!G59</f>
        <v>nt</v>
      </c>
      <c r="G55" s="869" t="str">
        <f t="shared" si="0"/>
        <v/>
      </c>
      <c r="H55" s="883"/>
      <c r="I55" s="859"/>
    </row>
    <row r="56" spans="1:9" ht="35.1" hidden="1" customHeight="1">
      <c r="A56" s="1432">
        <f>SUM($G$3:G56)</f>
        <v>20</v>
      </c>
      <c r="B56" s="1433" t="e">
        <f>'NT-VT'!C59</f>
        <v>#N/A</v>
      </c>
      <c r="C56" s="1434">
        <f>'NT-VT'!D59</f>
        <v>0</v>
      </c>
      <c r="D56" s="1435">
        <f>'NT-VT'!E59</f>
        <v>0</v>
      </c>
      <c r="E56" s="1432" t="str">
        <f>'NT-VT'!F60</f>
        <v>nt</v>
      </c>
      <c r="F56" s="1432" t="str">
        <f>'NT-VT'!G60</f>
        <v>nt</v>
      </c>
      <c r="G56" s="869" t="str">
        <f t="shared" si="0"/>
        <v/>
      </c>
      <c r="H56" s="883"/>
      <c r="I56" s="859"/>
    </row>
    <row r="57" spans="1:9" ht="35.1" hidden="1" customHeight="1">
      <c r="A57" s="1432">
        <f>SUM($G$3:G57)</f>
        <v>20</v>
      </c>
      <c r="B57" s="1433" t="e">
        <f>'NT-VT'!C60</f>
        <v>#N/A</v>
      </c>
      <c r="C57" s="1434">
        <f>'NT-VT'!D60</f>
        <v>0</v>
      </c>
      <c r="D57" s="1435">
        <f>'NT-VT'!E60</f>
        <v>0</v>
      </c>
      <c r="E57" s="1432" t="str">
        <f>'NT-VT'!F61</f>
        <v>nt</v>
      </c>
      <c r="F57" s="1432" t="str">
        <f>'NT-VT'!G61</f>
        <v>nt</v>
      </c>
      <c r="G57" s="869" t="str">
        <f t="shared" si="0"/>
        <v/>
      </c>
      <c r="H57" s="883"/>
      <c r="I57" s="859"/>
    </row>
    <row r="58" spans="1:9" ht="35.1" hidden="1" customHeight="1">
      <c r="A58" s="1432">
        <f>SUM($G$3:G58)</f>
        <v>20</v>
      </c>
      <c r="B58" s="1433" t="e">
        <f>'NT-VT'!C61</f>
        <v>#N/A</v>
      </c>
      <c r="C58" s="1434">
        <f>'NT-VT'!D61</f>
        <v>0</v>
      </c>
      <c r="D58" s="1435">
        <f>'NT-VT'!E61</f>
        <v>0</v>
      </c>
      <c r="E58" s="1432" t="str">
        <f>'NT-VT'!F62</f>
        <v>nt</v>
      </c>
      <c r="F58" s="1432" t="str">
        <f>'NT-VT'!G62</f>
        <v>nt</v>
      </c>
      <c r="G58" s="869" t="str">
        <f t="shared" si="0"/>
        <v/>
      </c>
      <c r="H58" s="883"/>
      <c r="I58" s="859"/>
    </row>
    <row r="59" spans="1:9" ht="35.1" hidden="1" customHeight="1">
      <c r="A59" s="1432">
        <f>SUM($G$3:G59)</f>
        <v>20</v>
      </c>
      <c r="B59" s="1433" t="e">
        <f>'NT-VT'!C62</f>
        <v>#N/A</v>
      </c>
      <c r="C59" s="1434">
        <f>'NT-VT'!D62</f>
        <v>0</v>
      </c>
      <c r="D59" s="1435">
        <f>'NT-VT'!E62</f>
        <v>0</v>
      </c>
      <c r="E59" s="1432" t="str">
        <f>'NT-VT'!F63</f>
        <v>nt</v>
      </c>
      <c r="F59" s="1432" t="str">
        <f>'NT-VT'!G63</f>
        <v>nt</v>
      </c>
      <c r="G59" s="869" t="str">
        <f t="shared" si="0"/>
        <v/>
      </c>
      <c r="H59" s="883"/>
      <c r="I59" s="859"/>
    </row>
    <row r="60" spans="1:9" ht="35.1" hidden="1" customHeight="1">
      <c r="A60" s="1432">
        <f>SUM($G$3:G60)</f>
        <v>20</v>
      </c>
      <c r="B60" s="1433" t="e">
        <f>'NT-VT'!C63</f>
        <v>#N/A</v>
      </c>
      <c r="C60" s="1434">
        <f>'NT-VT'!D63</f>
        <v>0</v>
      </c>
      <c r="D60" s="1435">
        <f>'NT-VT'!E63</f>
        <v>0</v>
      </c>
      <c r="E60" s="1432" t="str">
        <f>'NT-VT'!F64</f>
        <v>nt</v>
      </c>
      <c r="F60" s="1432" t="str">
        <f>'NT-VT'!G64</f>
        <v>nt</v>
      </c>
      <c r="G60" s="869" t="str">
        <f t="shared" si="0"/>
        <v/>
      </c>
      <c r="H60" s="883"/>
      <c r="I60" s="859"/>
    </row>
    <row r="61" spans="1:9" ht="35.1" hidden="1" customHeight="1">
      <c r="A61" s="1432">
        <f>SUM($G$3:G61)</f>
        <v>20</v>
      </c>
      <c r="B61" s="1433" t="e">
        <f>'NT-VT'!C64</f>
        <v>#N/A</v>
      </c>
      <c r="C61" s="1434">
        <f>'NT-VT'!D64</f>
        <v>0</v>
      </c>
      <c r="D61" s="1435">
        <f>'NT-VT'!E64</f>
        <v>0</v>
      </c>
      <c r="E61" s="1432" t="str">
        <f>'NT-VT'!F65</f>
        <v>nt</v>
      </c>
      <c r="F61" s="1432" t="str">
        <f>'NT-VT'!G65</f>
        <v>nt</v>
      </c>
      <c r="G61" s="869" t="str">
        <f t="shared" si="0"/>
        <v/>
      </c>
      <c r="H61" s="883"/>
      <c r="I61" s="859"/>
    </row>
    <row r="62" spans="1:9" ht="35.1" hidden="1" customHeight="1">
      <c r="A62" s="1432">
        <f>SUM($G$3:G62)</f>
        <v>20</v>
      </c>
      <c r="B62" s="1433" t="e">
        <f>'NT-VT'!C65</f>
        <v>#N/A</v>
      </c>
      <c r="C62" s="1434">
        <f>'NT-VT'!D65</f>
        <v>0</v>
      </c>
      <c r="D62" s="1435">
        <f>'NT-VT'!E65</f>
        <v>0</v>
      </c>
      <c r="E62" s="1432" t="str">
        <f>'NT-VT'!F66</f>
        <v>nt</v>
      </c>
      <c r="F62" s="1432" t="str">
        <f>'NT-VT'!G66</f>
        <v>nt</v>
      </c>
      <c r="G62" s="869" t="str">
        <f t="shared" si="0"/>
        <v/>
      </c>
      <c r="H62" s="883"/>
      <c r="I62" s="859"/>
    </row>
    <row r="63" spans="1:9" ht="35.1" hidden="1" customHeight="1">
      <c r="A63" s="1432">
        <f>SUM($G$3:G63)</f>
        <v>20</v>
      </c>
      <c r="B63" s="1433" t="e">
        <f>'NT-VT'!C66</f>
        <v>#N/A</v>
      </c>
      <c r="C63" s="1434">
        <f>'NT-VT'!D66</f>
        <v>0</v>
      </c>
      <c r="D63" s="1435">
        <f>'NT-VT'!E66</f>
        <v>0</v>
      </c>
      <c r="E63" s="1432" t="str">
        <f>'NT-VT'!F67</f>
        <v>nt</v>
      </c>
      <c r="F63" s="1432" t="str">
        <f>'NT-VT'!G67</f>
        <v>nt</v>
      </c>
      <c r="G63" s="869" t="str">
        <f t="shared" si="0"/>
        <v/>
      </c>
      <c r="H63" s="883"/>
      <c r="I63" s="859"/>
    </row>
    <row r="64" spans="1:9" ht="35.1" hidden="1" customHeight="1">
      <c r="A64" s="1432">
        <f>SUM($G$3:G64)</f>
        <v>20</v>
      </c>
      <c r="B64" s="1433" t="e">
        <f>'NT-VT'!C67</f>
        <v>#N/A</v>
      </c>
      <c r="C64" s="1434">
        <f>'NT-VT'!D67</f>
        <v>0</v>
      </c>
      <c r="D64" s="1435">
        <f>'NT-VT'!E67</f>
        <v>0</v>
      </c>
      <c r="E64" s="1432" t="str">
        <f>'NT-VT'!F68</f>
        <v>nt</v>
      </c>
      <c r="F64" s="1432" t="str">
        <f>'NT-VT'!G68</f>
        <v>nt</v>
      </c>
      <c r="G64" s="869" t="str">
        <f t="shared" si="0"/>
        <v/>
      </c>
      <c r="H64" s="883"/>
      <c r="I64" s="859"/>
    </row>
    <row r="65" spans="1:9" ht="35.1" hidden="1" customHeight="1">
      <c r="A65" s="1432">
        <f>SUM($G$3:G65)</f>
        <v>20</v>
      </c>
      <c r="B65" s="1433" t="e">
        <f>'NT-VT'!C68</f>
        <v>#N/A</v>
      </c>
      <c r="C65" s="1434">
        <f>'NT-VT'!D68</f>
        <v>0</v>
      </c>
      <c r="D65" s="1435">
        <f>'NT-VT'!E68</f>
        <v>0</v>
      </c>
      <c r="E65" s="1432" t="str">
        <f>'NT-VT'!F69</f>
        <v>nt</v>
      </c>
      <c r="F65" s="1432" t="str">
        <f>'NT-VT'!G69</f>
        <v>nt</v>
      </c>
      <c r="G65" s="869" t="str">
        <f t="shared" si="0"/>
        <v/>
      </c>
      <c r="H65" s="883"/>
      <c r="I65" s="859"/>
    </row>
    <row r="66" spans="1:9" ht="35.1" hidden="1" customHeight="1">
      <c r="A66" s="1432">
        <f>SUM($G$3:G66)</f>
        <v>20</v>
      </c>
      <c r="B66" s="1433" t="e">
        <f>'NT-VT'!C69</f>
        <v>#N/A</v>
      </c>
      <c r="C66" s="1434">
        <f>'NT-VT'!D69</f>
        <v>0</v>
      </c>
      <c r="D66" s="1435">
        <f>'NT-VT'!E69</f>
        <v>0</v>
      </c>
      <c r="E66" s="1432" t="str">
        <f>'NT-VT'!F69</f>
        <v>nt</v>
      </c>
      <c r="F66" s="1432" t="str">
        <f>'NT-VT'!G69</f>
        <v>nt</v>
      </c>
      <c r="G66" s="869" t="str">
        <f t="shared" si="0"/>
        <v/>
      </c>
      <c r="H66" s="883"/>
      <c r="I66" s="859"/>
    </row>
    <row r="67" spans="1:9" ht="35.1" hidden="1" customHeight="1">
      <c r="A67" s="1432">
        <f>SUM($G$3:G67)</f>
        <v>20</v>
      </c>
      <c r="B67" s="1433" t="e">
        <f>'NT-VT'!C70</f>
        <v>#N/A</v>
      </c>
      <c r="C67" s="1434">
        <f>'NT-VT'!D69</f>
        <v>0</v>
      </c>
      <c r="D67" s="1435">
        <f>'NT-VT'!E69</f>
        <v>0</v>
      </c>
      <c r="E67" s="1432" t="str">
        <f>'NT-VT'!F70</f>
        <v>nt</v>
      </c>
      <c r="F67" s="1432" t="str">
        <f>'NT-VT'!G70</f>
        <v>nt</v>
      </c>
      <c r="G67" s="869" t="str">
        <f t="shared" ref="G67:G94" si="1">IF(ISERROR(B67),"",1)</f>
        <v/>
      </c>
      <c r="H67" s="883"/>
      <c r="I67" s="859"/>
    </row>
    <row r="68" spans="1:9" ht="35.1" hidden="1" customHeight="1">
      <c r="A68" s="1432">
        <f>SUM($G$3:G68)</f>
        <v>20</v>
      </c>
      <c r="B68" s="1433" t="e">
        <f>'NT-VT'!C71</f>
        <v>#N/A</v>
      </c>
      <c r="C68" s="1434">
        <f>'NT-VT'!D70</f>
        <v>0</v>
      </c>
      <c r="D68" s="1435">
        <f>'NT-VT'!E70</f>
        <v>0</v>
      </c>
      <c r="E68" s="1432" t="str">
        <f>'NT-VT'!F71</f>
        <v>nt</v>
      </c>
      <c r="F68" s="1432" t="str">
        <f>'NT-VT'!G71</f>
        <v>nt</v>
      </c>
      <c r="G68" s="869" t="str">
        <f t="shared" si="1"/>
        <v/>
      </c>
      <c r="H68" s="883"/>
      <c r="I68" s="859"/>
    </row>
    <row r="69" spans="1:9" ht="35.1" hidden="1" customHeight="1">
      <c r="A69" s="1432">
        <f>SUM($G$3:G69)</f>
        <v>20</v>
      </c>
      <c r="B69" s="1433" t="e">
        <f>'NT-VT'!C72</f>
        <v>#N/A</v>
      </c>
      <c r="C69" s="1434">
        <f>'NT-VT'!D71</f>
        <v>0</v>
      </c>
      <c r="D69" s="1435">
        <f>'NT-VT'!E71</f>
        <v>0</v>
      </c>
      <c r="E69" s="1432" t="str">
        <f>'NT-VT'!F72</f>
        <v>nt</v>
      </c>
      <c r="F69" s="1432" t="str">
        <f>'NT-VT'!G72</f>
        <v>nt</v>
      </c>
      <c r="G69" s="869" t="str">
        <f t="shared" si="1"/>
        <v/>
      </c>
      <c r="H69" s="883"/>
      <c r="I69" s="859"/>
    </row>
    <row r="70" spans="1:9" ht="35.1" hidden="1" customHeight="1">
      <c r="A70" s="1432">
        <f>SUM($G$3:G70)</f>
        <v>20</v>
      </c>
      <c r="B70" s="1433" t="e">
        <f>'NT-VT'!C73</f>
        <v>#N/A</v>
      </c>
      <c r="C70" s="1434">
        <f>'NT-VT'!D72</f>
        <v>0</v>
      </c>
      <c r="D70" s="1435">
        <f>'NT-VT'!E72</f>
        <v>0</v>
      </c>
      <c r="E70" s="1432" t="str">
        <f>'NT-VT'!F73</f>
        <v>nt</v>
      </c>
      <c r="F70" s="1432" t="str">
        <f>'NT-VT'!G73</f>
        <v>nt</v>
      </c>
      <c r="G70" s="869" t="str">
        <f t="shared" si="1"/>
        <v/>
      </c>
      <c r="H70" s="883"/>
      <c r="I70" s="859"/>
    </row>
    <row r="71" spans="1:9" ht="35.1" hidden="1" customHeight="1">
      <c r="A71" s="1432">
        <f>SUM($G$3:G71)</f>
        <v>20</v>
      </c>
      <c r="B71" s="1433" t="e">
        <f>'NT-VT'!C74</f>
        <v>#N/A</v>
      </c>
      <c r="C71" s="1434">
        <f>'NT-VT'!D73</f>
        <v>0</v>
      </c>
      <c r="D71" s="1435">
        <f>'NT-VT'!E73</f>
        <v>0</v>
      </c>
      <c r="E71" s="1432" t="str">
        <f>'NT-VT'!F74</f>
        <v>nt</v>
      </c>
      <c r="F71" s="1432" t="str">
        <f>'NT-VT'!G74</f>
        <v>nt</v>
      </c>
      <c r="G71" s="869" t="str">
        <f t="shared" si="1"/>
        <v/>
      </c>
      <c r="H71" s="883"/>
      <c r="I71" s="859"/>
    </row>
    <row r="72" spans="1:9" ht="35.1" hidden="1" customHeight="1">
      <c r="A72" s="1432">
        <f>SUM($G$3:G72)</f>
        <v>20</v>
      </c>
      <c r="B72" s="1433" t="e">
        <f>'NT-VT'!C75</f>
        <v>#N/A</v>
      </c>
      <c r="C72" s="1434">
        <f>'NT-VT'!D74</f>
        <v>0</v>
      </c>
      <c r="D72" s="1435">
        <f>'NT-VT'!E74</f>
        <v>0</v>
      </c>
      <c r="E72" s="1432" t="str">
        <f>'NT-VT'!F75</f>
        <v>nt</v>
      </c>
      <c r="F72" s="1432" t="str">
        <f>'NT-VT'!G75</f>
        <v>nt</v>
      </c>
      <c r="G72" s="869" t="str">
        <f t="shared" si="1"/>
        <v/>
      </c>
      <c r="H72" s="883"/>
      <c r="I72" s="859"/>
    </row>
    <row r="73" spans="1:9" ht="35.1" hidden="1" customHeight="1">
      <c r="A73" s="1432">
        <f>SUM($G$3:G73)</f>
        <v>20</v>
      </c>
      <c r="B73" s="1433" t="e">
        <f>'NT-VT'!C75</f>
        <v>#N/A</v>
      </c>
      <c r="C73" s="1434">
        <f>'NT-VT'!D75</f>
        <v>0</v>
      </c>
      <c r="D73" s="1435">
        <f>'NT-VT'!E75</f>
        <v>0</v>
      </c>
      <c r="E73" s="1432" t="str">
        <f>'NT-VT'!F76</f>
        <v>nt</v>
      </c>
      <c r="F73" s="1432" t="str">
        <f>'NT-VT'!G76</f>
        <v>nt</v>
      </c>
      <c r="G73" s="869" t="str">
        <f t="shared" si="1"/>
        <v/>
      </c>
      <c r="H73" s="883"/>
      <c r="I73" s="859"/>
    </row>
    <row r="74" spans="1:9" ht="35.1" hidden="1" customHeight="1">
      <c r="A74" s="1432">
        <f>SUM($G$3:G74)</f>
        <v>20</v>
      </c>
      <c r="B74" s="1433" t="e">
        <f>'NT-VT'!C76</f>
        <v>#N/A</v>
      </c>
      <c r="C74" s="1434">
        <f>'NT-VT'!D76</f>
        <v>0</v>
      </c>
      <c r="D74" s="1435">
        <f>'NT-VT'!E76</f>
        <v>0</v>
      </c>
      <c r="E74" s="1432" t="str">
        <f>'NT-VT'!F77</f>
        <v>nt</v>
      </c>
      <c r="F74" s="1432" t="str">
        <f>'NT-VT'!G77</f>
        <v>nt</v>
      </c>
      <c r="G74" s="869" t="str">
        <f t="shared" si="1"/>
        <v/>
      </c>
      <c r="H74" s="883"/>
      <c r="I74" s="859"/>
    </row>
    <row r="75" spans="1:9" ht="35.1" hidden="1" customHeight="1">
      <c r="A75" s="1432">
        <f>SUM($G$3:G75)</f>
        <v>20</v>
      </c>
      <c r="B75" s="1433" t="e">
        <f>'NT-VT'!C77</f>
        <v>#N/A</v>
      </c>
      <c r="C75" s="1434">
        <f>'NT-VT'!D77</f>
        <v>0</v>
      </c>
      <c r="D75" s="1435">
        <f>'NT-VT'!E77</f>
        <v>0</v>
      </c>
      <c r="E75" s="1432" t="str">
        <f>'NT-VT'!F78</f>
        <v>nt</v>
      </c>
      <c r="F75" s="1432" t="str">
        <f>'NT-VT'!G78</f>
        <v>nt</v>
      </c>
      <c r="G75" s="869" t="str">
        <f t="shared" si="1"/>
        <v/>
      </c>
      <c r="H75" s="883"/>
      <c r="I75" s="859"/>
    </row>
    <row r="76" spans="1:9" ht="35.1" hidden="1" customHeight="1">
      <c r="A76" s="1432">
        <f>SUM($G$3:G76)</f>
        <v>20</v>
      </c>
      <c r="B76" s="1433" t="e">
        <f>'NT-VT'!C78</f>
        <v>#N/A</v>
      </c>
      <c r="C76" s="1434">
        <f>'NT-VT'!D78</f>
        <v>0</v>
      </c>
      <c r="D76" s="1435">
        <f>'NT-VT'!E78</f>
        <v>0</v>
      </c>
      <c r="E76" s="1432" t="str">
        <f>'NT-VT'!F79</f>
        <v>nt</v>
      </c>
      <c r="F76" s="1432" t="str">
        <f>'NT-VT'!G79</f>
        <v>nt</v>
      </c>
      <c r="G76" s="869" t="str">
        <f t="shared" si="1"/>
        <v/>
      </c>
      <c r="H76" s="883"/>
      <c r="I76" s="859"/>
    </row>
    <row r="77" spans="1:9" ht="35.1" hidden="1" customHeight="1">
      <c r="A77" s="1432">
        <f>SUM($G$3:G77)</f>
        <v>20</v>
      </c>
      <c r="B77" s="1433" t="e">
        <f>'NT-VT'!C79</f>
        <v>#N/A</v>
      </c>
      <c r="C77" s="1434">
        <f>'NT-VT'!D79</f>
        <v>0</v>
      </c>
      <c r="D77" s="1435">
        <f>'NT-VT'!E79</f>
        <v>0</v>
      </c>
      <c r="E77" s="1432" t="str">
        <f>'NT-VT'!F80</f>
        <v>nt</v>
      </c>
      <c r="F77" s="1432" t="str">
        <f>'NT-VT'!G80</f>
        <v>nt</v>
      </c>
      <c r="G77" s="869" t="str">
        <f t="shared" si="1"/>
        <v/>
      </c>
      <c r="H77" s="883"/>
      <c r="I77" s="859"/>
    </row>
    <row r="78" spans="1:9" ht="35.1" hidden="1" customHeight="1">
      <c r="A78" s="1432">
        <f>SUM($G$3:G78)</f>
        <v>20</v>
      </c>
      <c r="B78" s="1433" t="e">
        <f>'NT-VT'!C80</f>
        <v>#N/A</v>
      </c>
      <c r="C78" s="1434">
        <f>'NT-VT'!D80</f>
        <v>0</v>
      </c>
      <c r="D78" s="1435">
        <f>'NT-VT'!E80</f>
        <v>0</v>
      </c>
      <c r="E78" s="1432" t="str">
        <f>'NT-VT'!F81</f>
        <v>nt</v>
      </c>
      <c r="F78" s="1432" t="str">
        <f>'NT-VT'!G81</f>
        <v>nt</v>
      </c>
      <c r="G78" s="869" t="str">
        <f t="shared" si="1"/>
        <v/>
      </c>
      <c r="H78" s="883"/>
      <c r="I78" s="859"/>
    </row>
    <row r="79" spans="1:9" ht="35.1" hidden="1" customHeight="1">
      <c r="A79" s="1432">
        <f>SUM($G$3:G79)</f>
        <v>20</v>
      </c>
      <c r="B79" s="1433" t="e">
        <f>'NT-VT'!C81</f>
        <v>#N/A</v>
      </c>
      <c r="C79" s="1434">
        <f>'NT-VT'!D81</f>
        <v>0</v>
      </c>
      <c r="D79" s="1435">
        <f>'NT-VT'!E81</f>
        <v>0</v>
      </c>
      <c r="E79" s="1432" t="str">
        <f>'NT-VT'!F82</f>
        <v>nt</v>
      </c>
      <c r="F79" s="1432" t="str">
        <f>'NT-VT'!G82</f>
        <v>nt</v>
      </c>
      <c r="G79" s="869" t="str">
        <f t="shared" si="1"/>
        <v/>
      </c>
      <c r="H79" s="883"/>
      <c r="I79" s="859"/>
    </row>
    <row r="80" spans="1:9" ht="35.1" hidden="1" customHeight="1">
      <c r="A80" s="1432">
        <f>SUM($G$3:G80)</f>
        <v>20</v>
      </c>
      <c r="B80" s="1433" t="e">
        <f>'NT-VT'!C82</f>
        <v>#N/A</v>
      </c>
      <c r="C80" s="1434">
        <f>'NT-VT'!D82</f>
        <v>0</v>
      </c>
      <c r="D80" s="1435">
        <f>'NT-VT'!E82</f>
        <v>0</v>
      </c>
      <c r="E80" s="1432" t="str">
        <f>'NT-VT'!F83</f>
        <v>nt</v>
      </c>
      <c r="F80" s="1432" t="str">
        <f>'NT-VT'!G83</f>
        <v>nt</v>
      </c>
      <c r="G80" s="869" t="str">
        <f t="shared" si="1"/>
        <v/>
      </c>
      <c r="H80" s="883"/>
      <c r="I80" s="859"/>
    </row>
    <row r="81" spans="1:9" ht="35.1" hidden="1" customHeight="1">
      <c r="A81" s="1432">
        <f>SUM($G$3:G81)</f>
        <v>20</v>
      </c>
      <c r="B81" s="1433" t="e">
        <f>'NT-VT'!C83</f>
        <v>#N/A</v>
      </c>
      <c r="C81" s="1434">
        <f>'NT-VT'!D83</f>
        <v>0</v>
      </c>
      <c r="D81" s="1435">
        <f>'NT-VT'!E83</f>
        <v>0</v>
      </c>
      <c r="E81" s="1432" t="str">
        <f>'NT-VT'!F84</f>
        <v>nt</v>
      </c>
      <c r="F81" s="1432" t="str">
        <f>'NT-VT'!G84</f>
        <v>nt</v>
      </c>
      <c r="G81" s="869" t="str">
        <f t="shared" si="1"/>
        <v/>
      </c>
      <c r="H81" s="883"/>
      <c r="I81" s="859"/>
    </row>
    <row r="82" spans="1:9" ht="35.1" hidden="1" customHeight="1">
      <c r="A82" s="1432">
        <f>SUM($G$3:G82)</f>
        <v>20</v>
      </c>
      <c r="B82" s="1433" t="e">
        <f>'NT-VT'!C84</f>
        <v>#N/A</v>
      </c>
      <c r="C82" s="1434">
        <f>'NT-VT'!D84</f>
        <v>0</v>
      </c>
      <c r="D82" s="1435">
        <f>'NT-VT'!E84</f>
        <v>0</v>
      </c>
      <c r="E82" s="1432" t="str">
        <f>'NT-VT'!F85</f>
        <v>nt</v>
      </c>
      <c r="F82" s="1432" t="str">
        <f>'NT-VT'!G85</f>
        <v>nt</v>
      </c>
      <c r="G82" s="869" t="str">
        <f t="shared" si="1"/>
        <v/>
      </c>
      <c r="H82" s="883"/>
      <c r="I82" s="859"/>
    </row>
    <row r="83" spans="1:9" ht="35.1" hidden="1" customHeight="1">
      <c r="A83" s="1432">
        <f>SUM($G$3:G83)</f>
        <v>20</v>
      </c>
      <c r="B83" s="1433" t="e">
        <f>'NT-VT'!C85</f>
        <v>#N/A</v>
      </c>
      <c r="C83" s="1434">
        <f>'NT-VT'!D85</f>
        <v>0</v>
      </c>
      <c r="D83" s="1435">
        <f>'NT-VT'!E85</f>
        <v>0</v>
      </c>
      <c r="E83" s="1432" t="str">
        <f>'NT-VT'!F86</f>
        <v>nt</v>
      </c>
      <c r="F83" s="1432" t="str">
        <f>'NT-VT'!G86</f>
        <v>nt</v>
      </c>
      <c r="G83" s="869" t="str">
        <f t="shared" si="1"/>
        <v/>
      </c>
      <c r="H83" s="883"/>
      <c r="I83" s="859"/>
    </row>
    <row r="84" spans="1:9" ht="35.1" hidden="1" customHeight="1">
      <c r="A84" s="1432">
        <f>SUM($G$3:G84)</f>
        <v>20</v>
      </c>
      <c r="B84" s="1433" t="e">
        <f>'NT-VT'!C86</f>
        <v>#N/A</v>
      </c>
      <c r="C84" s="1434">
        <f>'NT-VT'!D86</f>
        <v>0</v>
      </c>
      <c r="D84" s="1435">
        <f>'NT-VT'!E86</f>
        <v>0</v>
      </c>
      <c r="E84" s="1432" t="str">
        <f>'NT-VT'!F87</f>
        <v>nt</v>
      </c>
      <c r="F84" s="1432" t="str">
        <f>'NT-VT'!G87</f>
        <v>nt</v>
      </c>
      <c r="G84" s="869" t="str">
        <f t="shared" si="1"/>
        <v/>
      </c>
      <c r="H84" s="883"/>
      <c r="I84" s="859"/>
    </row>
    <row r="85" spans="1:9" ht="35.1" hidden="1" customHeight="1">
      <c r="A85" s="1432">
        <f>SUM($G$3:G85)</f>
        <v>20</v>
      </c>
      <c r="B85" s="1433" t="e">
        <f>'NT-VT'!C87</f>
        <v>#N/A</v>
      </c>
      <c r="C85" s="1434">
        <f>'NT-VT'!D87</f>
        <v>0</v>
      </c>
      <c r="D85" s="1435">
        <f>'NT-VT'!E87</f>
        <v>0</v>
      </c>
      <c r="E85" s="1432" t="str">
        <f>'NT-VT'!F88</f>
        <v>nt</v>
      </c>
      <c r="F85" s="1432" t="str">
        <f>'NT-VT'!G88</f>
        <v>nt</v>
      </c>
      <c r="G85" s="869" t="str">
        <f t="shared" si="1"/>
        <v/>
      </c>
      <c r="H85" s="883"/>
      <c r="I85" s="859"/>
    </row>
    <row r="86" spans="1:9" ht="35.1" hidden="1" customHeight="1">
      <c r="A86" s="1432">
        <f>SUM($G$3:G86)</f>
        <v>20</v>
      </c>
      <c r="B86" s="1433" t="e">
        <f>'NT-VT'!C88</f>
        <v>#N/A</v>
      </c>
      <c r="C86" s="1434">
        <f>'NT-VT'!D88</f>
        <v>0</v>
      </c>
      <c r="D86" s="1435">
        <f>'NT-VT'!E88</f>
        <v>0</v>
      </c>
      <c r="E86" s="1432" t="str">
        <f>'NT-VT'!F89</f>
        <v/>
      </c>
      <c r="F86" s="1432" t="str">
        <f>'NT-VT'!G89</f>
        <v/>
      </c>
      <c r="G86" s="869" t="str">
        <f t="shared" si="1"/>
        <v/>
      </c>
      <c r="H86" s="883"/>
      <c r="I86" s="859"/>
    </row>
    <row r="87" spans="1:9" ht="35.1" hidden="1" customHeight="1">
      <c r="A87" s="1432">
        <f>SUM($G$3:G87)</f>
        <v>20</v>
      </c>
      <c r="B87" s="1433" t="e">
        <f>'NT-VT'!C89</f>
        <v>#N/A</v>
      </c>
      <c r="C87" s="1434">
        <f>'NT-VT'!D89</f>
        <v>0</v>
      </c>
      <c r="D87" s="1435">
        <f>'NT-VT'!E89</f>
        <v>0</v>
      </c>
      <c r="E87" s="1432" t="str">
        <f>'NT-VT'!F90</f>
        <v>nt</v>
      </c>
      <c r="F87" s="1432" t="str">
        <f>'NT-VT'!G90</f>
        <v>nt</v>
      </c>
      <c r="G87" s="869" t="str">
        <f t="shared" si="1"/>
        <v/>
      </c>
      <c r="H87" s="883"/>
      <c r="I87" s="859"/>
    </row>
    <row r="88" spans="1:9" ht="35.1" hidden="1" customHeight="1">
      <c r="A88" s="1432">
        <f>SUM($G$3:G88)</f>
        <v>20</v>
      </c>
      <c r="B88" s="1433" t="e">
        <f>'NT-VT'!C90</f>
        <v>#N/A</v>
      </c>
      <c r="C88" s="1434">
        <f>'NT-VT'!D90</f>
        <v>0</v>
      </c>
      <c r="D88" s="1435">
        <f>'NT-VT'!E90</f>
        <v>0</v>
      </c>
      <c r="E88" s="1432" t="str">
        <f>'NT-VT'!F91</f>
        <v>nt</v>
      </c>
      <c r="F88" s="1432" t="str">
        <f>'NT-VT'!G91</f>
        <v>nt</v>
      </c>
      <c r="G88" s="869" t="str">
        <f t="shared" si="1"/>
        <v/>
      </c>
      <c r="H88" s="883"/>
      <c r="I88" s="859"/>
    </row>
    <row r="89" spans="1:9" ht="35.1" hidden="1" customHeight="1">
      <c r="A89" s="1432">
        <f>SUM($G$3:G89)</f>
        <v>20</v>
      </c>
      <c r="B89" s="1433" t="e">
        <f>'NT-VT'!C91</f>
        <v>#N/A</v>
      </c>
      <c r="C89" s="1434">
        <f>'NT-VT'!D91</f>
        <v>0</v>
      </c>
      <c r="D89" s="1435">
        <f>'NT-VT'!E91</f>
        <v>0</v>
      </c>
      <c r="E89" s="1432" t="str">
        <f>'NT-VT'!F92</f>
        <v>nt</v>
      </c>
      <c r="F89" s="1432" t="str">
        <f>'NT-VT'!G92</f>
        <v>nt</v>
      </c>
      <c r="G89" s="869" t="str">
        <f t="shared" si="1"/>
        <v/>
      </c>
      <c r="H89" s="883"/>
      <c r="I89" s="859"/>
    </row>
    <row r="90" spans="1:9" ht="35.1" hidden="1" customHeight="1">
      <c r="A90" s="1432">
        <f>SUM($G$3:G90)</f>
        <v>20</v>
      </c>
      <c r="B90" s="1433" t="e">
        <f>'NT-VT'!C93</f>
        <v>#N/A</v>
      </c>
      <c r="C90" s="1434">
        <f>'NT-VT'!D93</f>
        <v>0</v>
      </c>
      <c r="D90" s="1435">
        <f>'NT-VT'!E93</f>
        <v>0</v>
      </c>
      <c r="E90" s="1432" t="str">
        <f>'NT-VT'!F93</f>
        <v>nt</v>
      </c>
      <c r="F90" s="1432" t="str">
        <f>'NT-VT'!G93</f>
        <v>nt</v>
      </c>
      <c r="G90" s="869" t="str">
        <f t="shared" si="1"/>
        <v/>
      </c>
      <c r="H90" s="883"/>
      <c r="I90" s="859"/>
    </row>
    <row r="91" spans="1:9" ht="35.1" hidden="1" customHeight="1">
      <c r="A91" s="1432">
        <f>SUM($G$3:G91)</f>
        <v>20</v>
      </c>
      <c r="B91" s="1433" t="e">
        <f>'NT-VT'!C94</f>
        <v>#N/A</v>
      </c>
      <c r="C91" s="1434">
        <f>'NT-VT'!D94</f>
        <v>0</v>
      </c>
      <c r="D91" s="1435">
        <f>'NT-VT'!E94</f>
        <v>0</v>
      </c>
      <c r="E91" s="1432" t="str">
        <f>'NT-VT'!F94</f>
        <v>nt</v>
      </c>
      <c r="F91" s="1432" t="str">
        <f>'NT-VT'!G94</f>
        <v>nt</v>
      </c>
      <c r="G91" s="869" t="str">
        <f t="shared" si="1"/>
        <v/>
      </c>
      <c r="H91" s="883"/>
      <c r="I91" s="859"/>
    </row>
    <row r="92" spans="1:9" ht="35.1" hidden="1" customHeight="1">
      <c r="A92" s="1432">
        <f>SUM($G$3:G92)</f>
        <v>20</v>
      </c>
      <c r="B92" s="1433" t="e">
        <f>'NT-VT'!C95</f>
        <v>#N/A</v>
      </c>
      <c r="C92" s="1434">
        <f>'NT-VT'!D95</f>
        <v>0</v>
      </c>
      <c r="D92" s="1435">
        <f>'NT-VT'!E95</f>
        <v>0</v>
      </c>
      <c r="E92" s="1432" t="str">
        <f>'NT-VT'!F95</f>
        <v>nt</v>
      </c>
      <c r="F92" s="1432" t="str">
        <f>'NT-VT'!G95</f>
        <v>nt</v>
      </c>
      <c r="G92" s="869" t="str">
        <f t="shared" si="1"/>
        <v/>
      </c>
      <c r="H92" s="883"/>
      <c r="I92" s="859"/>
    </row>
    <row r="93" spans="1:9" ht="35.1" hidden="1" customHeight="1">
      <c r="A93" s="1432">
        <f>SUM($G$3:G93)</f>
        <v>20</v>
      </c>
      <c r="B93" s="1433" t="e">
        <f>'NT-VT'!C96</f>
        <v>#N/A</v>
      </c>
      <c r="C93" s="1434">
        <f>'NT-VT'!D96</f>
        <v>0</v>
      </c>
      <c r="D93" s="1435">
        <f>'NT-VT'!E96</f>
        <v>0</v>
      </c>
      <c r="E93" s="1432" t="str">
        <f>'NT-VT'!F96</f>
        <v>nt</v>
      </c>
      <c r="F93" s="1432" t="str">
        <f>'NT-VT'!G96</f>
        <v>nt</v>
      </c>
      <c r="G93" s="869" t="str">
        <f t="shared" si="1"/>
        <v/>
      </c>
      <c r="H93" s="883"/>
      <c r="I93" s="859"/>
    </row>
    <row r="94" spans="1:9" ht="35.1" hidden="1" customHeight="1">
      <c r="A94" s="1432">
        <f>SUM($G$3:G94)</f>
        <v>20</v>
      </c>
      <c r="B94" s="1433" t="e">
        <f>'NT-VT'!C97</f>
        <v>#N/A</v>
      </c>
      <c r="C94" s="1434"/>
      <c r="D94" s="1435"/>
      <c r="E94" s="1432" t="str">
        <f>'NT-VT'!F97</f>
        <v>nt</v>
      </c>
      <c r="F94" s="1432" t="str">
        <f>'NT-VT'!G97</f>
        <v>nt</v>
      </c>
      <c r="G94" s="869" t="str">
        <f t="shared" si="1"/>
        <v/>
      </c>
      <c r="H94" s="883"/>
      <c r="I94" s="859"/>
    </row>
  </sheetData>
  <autoFilter ref="A2:I94" xr:uid="{00000000-0009-0000-0000-000023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91" t="s">
        <v>4639</v>
      </c>
      <c r="B1" s="2791"/>
      <c r="C1" s="2791"/>
      <c r="D1" s="2791"/>
      <c r="E1" s="2791"/>
      <c r="F1" s="2791"/>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'NT-VT'!C6</f>
        <v>Dây điện CV mềm 2x4mm2: 8m/bảng (đi bên trong trụ chiếu sáng luồn ra)</v>
      </c>
      <c r="C3" s="1434" t="str">
        <f>'NT-VT'!D6</f>
        <v>mét</v>
      </c>
      <c r="D3" s="1435">
        <f>'NT-VT'!E6</f>
        <v>340</v>
      </c>
      <c r="E3" s="1432">
        <f>'NT-VT'!F6</f>
        <v>340</v>
      </c>
      <c r="F3" s="1432" t="str">
        <f>'NT-VT'!G6</f>
        <v/>
      </c>
      <c r="G3" s="869">
        <f>IF(D3&gt;0,1,0)</f>
        <v>1</v>
      </c>
      <c r="H3" s="883"/>
      <c r="I3" s="859"/>
    </row>
    <row r="4" spans="1:9" ht="35.1" customHeight="1">
      <c r="A4" s="1432">
        <f>SUM($G$3:G4)</f>
        <v>2</v>
      </c>
      <c r="B4" s="1433" t="str">
        <f>'NT-VT'!C7</f>
        <v>Dây điện nguồn 2x1,5mm2</v>
      </c>
      <c r="C4" s="1434" t="str">
        <f>'NT-VT'!D7</f>
        <v>m</v>
      </c>
      <c r="D4" s="1435">
        <f>'NT-VT'!E7</f>
        <v>320</v>
      </c>
      <c r="E4" s="1432">
        <f>'NT-VT'!F7</f>
        <v>320</v>
      </c>
      <c r="F4" s="1432" t="str">
        <f>'NT-VT'!G7</f>
        <v/>
      </c>
      <c r="G4" s="869">
        <f t="shared" ref="G4:G67" si="0">IF(D4&gt;0,1,0)</f>
        <v>1</v>
      </c>
      <c r="H4" s="884"/>
    </row>
    <row r="5" spans="1:9" ht="35.1" customHeight="1">
      <c r="A5" s="1432">
        <f>SUM($G$3:G5)</f>
        <v>3</v>
      </c>
      <c r="B5" s="1433" t="str">
        <f>'NT-VT'!C8</f>
        <v>Dây điện nguồn CVV 3.5</v>
      </c>
      <c r="C5" s="1434" t="str">
        <f>'NT-VT'!D8</f>
        <v>m</v>
      </c>
      <c r="D5" s="1435">
        <f>'NT-VT'!E8</f>
        <v>2000</v>
      </c>
      <c r="E5" s="1432">
        <f>'NT-VT'!F8</f>
        <v>2000</v>
      </c>
      <c r="F5" s="1432" t="str">
        <f>'NT-VT'!G8</f>
        <v/>
      </c>
      <c r="G5" s="869">
        <f t="shared" si="0"/>
        <v>1</v>
      </c>
      <c r="H5" s="884"/>
    </row>
    <row r="6" spans="1:9" ht="35.1" customHeight="1">
      <c r="A6" s="1432">
        <f>SUM($G$3:G6)</f>
        <v>4</v>
      </c>
      <c r="B6" s="1433" t="str">
        <f>'NT-VT'!C9</f>
        <v>Ống ruột gà xám Ø20: 08 mét/ bảng</v>
      </c>
      <c r="C6" s="1434" t="str">
        <f>'NT-VT'!D9</f>
        <v>mét</v>
      </c>
      <c r="D6" s="1435">
        <f>'NT-VT'!E9</f>
        <v>340</v>
      </c>
      <c r="E6" s="1432">
        <f>'NT-VT'!F9</f>
        <v>340</v>
      </c>
      <c r="F6" s="1432" t="str">
        <f>'NT-VT'!G9</f>
        <v/>
      </c>
      <c r="G6" s="869">
        <f t="shared" si="0"/>
        <v>1</v>
      </c>
      <c r="H6" s="884"/>
    </row>
    <row r="7" spans="1:9" ht="35.1" customHeight="1">
      <c r="A7" s="1432">
        <f>SUM($G$3:G7)</f>
        <v>5</v>
      </c>
      <c r="B7" s="1433" t="str">
        <f>'NT-VT'!C10</f>
        <v>Cọc tiếp đất Φ16x2400mm mạ đồng</v>
      </c>
      <c r="C7" s="1434" t="str">
        <f>'NT-VT'!D10</f>
        <v>cọc</v>
      </c>
      <c r="D7" s="1435">
        <f>'NT-VT'!E10</f>
        <v>17</v>
      </c>
      <c r="E7" s="1432">
        <f>'NT-VT'!F10</f>
        <v>17</v>
      </c>
      <c r="F7" s="1432" t="str">
        <f>'NT-VT'!G10</f>
        <v/>
      </c>
      <c r="G7" s="869">
        <f t="shared" si="0"/>
        <v>1</v>
      </c>
      <c r="H7" s="883"/>
      <c r="I7" s="859"/>
    </row>
    <row r="8" spans="1:9" ht="35.1" customHeight="1">
      <c r="A8" s="1432">
        <f>SUM($G$3:G8)</f>
        <v>6</v>
      </c>
      <c r="B8" s="1433" t="str">
        <f>'NT-VT'!C11</f>
        <v>Kẹp cọc tiếp đất đồng</v>
      </c>
      <c r="C8" s="1434" t="str">
        <f>'NT-VT'!D11</f>
        <v>cái</v>
      </c>
      <c r="D8" s="1435">
        <f>'NT-VT'!E11</f>
        <v>17</v>
      </c>
      <c r="E8" s="1432">
        <f>'NT-VT'!F11</f>
        <v>17</v>
      </c>
      <c r="F8" s="1432" t="str">
        <f>'NT-VT'!G11</f>
        <v/>
      </c>
      <c r="G8" s="869">
        <f t="shared" si="0"/>
        <v>1</v>
      </c>
      <c r="H8" s="883"/>
      <c r="I8" s="859"/>
    </row>
    <row r="9" spans="1:9" ht="35.1" customHeight="1">
      <c r="A9" s="1432">
        <f>SUM($G$3:G9)</f>
        <v>7</v>
      </c>
      <c r="B9" s="1433" t="str">
        <f>'NT-VT'!C12</f>
        <v>Ốc siết cáp đồng M11mm2</v>
      </c>
      <c r="C9" s="1434" t="str">
        <f>'NT-VT'!D12</f>
        <v>cái</v>
      </c>
      <c r="D9" s="1435">
        <f>'NT-VT'!E12</f>
        <v>17</v>
      </c>
      <c r="E9" s="1432">
        <f>'NT-VT'!F13</f>
        <v>17</v>
      </c>
      <c r="F9" s="1432" t="str">
        <f>'NT-VT'!G13</f>
        <v/>
      </c>
      <c r="G9" s="869">
        <f t="shared" si="0"/>
        <v>1</v>
      </c>
      <c r="H9" s="883"/>
      <c r="I9" s="859"/>
    </row>
    <row r="10" spans="1:9" ht="35.1" customHeight="1">
      <c r="A10" s="1432">
        <f>SUM($G$3:G10)</f>
        <v>8</v>
      </c>
      <c r="B10" s="1433" t="str">
        <f>'NT-VT'!C13</f>
        <v>Bulông Φ8x30 + long đền: bắt dây nối đất vào đèn</v>
      </c>
      <c r="C10" s="1434" t="str">
        <f>'NT-VT'!D13</f>
        <v>bộ</v>
      </c>
      <c r="D10" s="1435">
        <f>'NT-VT'!E13</f>
        <v>17</v>
      </c>
      <c r="E10" s="1432">
        <f>'NT-VT'!F14</f>
        <v>34</v>
      </c>
      <c r="F10" s="1432" t="str">
        <f>'NT-VT'!G14</f>
        <v/>
      </c>
      <c r="G10" s="869">
        <f t="shared" si="0"/>
        <v>1</v>
      </c>
      <c r="H10" s="883"/>
      <c r="I10" s="859"/>
    </row>
    <row r="11" spans="1:9" ht="35.1" customHeight="1">
      <c r="A11" s="1432">
        <f>SUM($G$3:G11)</f>
        <v>9</v>
      </c>
      <c r="B11" s="1433" t="str">
        <f>'NT-VT'!C14</f>
        <v>Đầu cosse ép đồng Cu11mm2</v>
      </c>
      <c r="C11" s="1434" t="str">
        <f>'NT-VT'!D14</f>
        <v>cái</v>
      </c>
      <c r="D11" s="1435">
        <f>'NT-VT'!E14</f>
        <v>34</v>
      </c>
      <c r="E11" s="1432">
        <f>'NT-VT'!F15</f>
        <v>16</v>
      </c>
      <c r="F11" s="1432" t="str">
        <f>'NT-VT'!G15</f>
        <v/>
      </c>
      <c r="G11" s="869">
        <f t="shared" si="0"/>
        <v>1</v>
      </c>
      <c r="H11" s="884"/>
    </row>
    <row r="12" spans="1:9" ht="35.1" customHeight="1">
      <c r="A12" s="1432">
        <f>SUM($G$3:G12)</f>
        <v>10</v>
      </c>
      <c r="B12" s="1433" t="str">
        <f>'NT-VT'!C15</f>
        <v>Nguồn cấp Camera</v>
      </c>
      <c r="C12" s="1434" t="str">
        <f>'NT-VT'!D15</f>
        <v>Bộ</v>
      </c>
      <c r="D12" s="1435">
        <f>'NT-VT'!E15</f>
        <v>16</v>
      </c>
      <c r="E12" s="1432">
        <f>'NT-VT'!F16</f>
        <v>16</v>
      </c>
      <c r="F12" s="1432" t="str">
        <f>'NT-VT'!G16</f>
        <v/>
      </c>
      <c r="G12" s="869">
        <f t="shared" si="0"/>
        <v>1</v>
      </c>
      <c r="H12" s="883"/>
      <c r="I12" s="859"/>
    </row>
    <row r="13" spans="1:9" ht="35.1" customHeight="1">
      <c r="A13" s="1432">
        <f>SUM($G$3:G13)</f>
        <v>11</v>
      </c>
      <c r="B13" s="1433" t="str">
        <f>'NT-VT'!C16</f>
        <v>Hộp nhựa bảo vệ nguồn</v>
      </c>
      <c r="C13" s="1434" t="str">
        <f>'NT-VT'!D16</f>
        <v>bộ</v>
      </c>
      <c r="D13" s="1435">
        <f>'NT-VT'!E16</f>
        <v>16</v>
      </c>
      <c r="E13" s="1432">
        <f>'NT-VT'!F17</f>
        <v>275</v>
      </c>
      <c r="F13" s="1432" t="str">
        <f>'NT-VT'!G17</f>
        <v/>
      </c>
      <c r="G13" s="869">
        <f t="shared" si="0"/>
        <v>1</v>
      </c>
      <c r="H13" s="883"/>
      <c r="I13" s="859"/>
    </row>
    <row r="14" spans="1:9" ht="35.1" customHeight="1">
      <c r="A14" s="1432">
        <f>SUM($G$3:G14)</f>
        <v>12</v>
      </c>
      <c r="B14" s="1433" t="str">
        <f>'NT-VT'!C17</f>
        <v>Ống nhựa PVC-D21 bảo vệ dây nguồn (cây dài 4m)</v>
      </c>
      <c r="C14" s="1434" t="str">
        <f>'NT-VT'!D17</f>
        <v>cây</v>
      </c>
      <c r="D14" s="1435">
        <f>'NT-VT'!E17</f>
        <v>275</v>
      </c>
      <c r="E14" s="1432">
        <f>'NT-VT'!F18</f>
        <v>68</v>
      </c>
      <c r="F14" s="1432" t="str">
        <f>'NT-VT'!G18</f>
        <v/>
      </c>
      <c r="G14" s="869">
        <f t="shared" si="0"/>
        <v>1</v>
      </c>
      <c r="H14" s="883"/>
      <c r="I14" s="859"/>
    </row>
    <row r="15" spans="1:9" ht="35.1" customHeight="1">
      <c r="A15" s="1432">
        <f>SUM($G$3:G15)</f>
        <v>13</v>
      </c>
      <c r="B15" s="1433" t="str">
        <f>'NT-VT'!C18</f>
        <v>Nối chữ T</v>
      </c>
      <c r="C15" s="1434" t="str">
        <f>'NT-VT'!D18</f>
        <v>cái</v>
      </c>
      <c r="D15" s="1435">
        <f>'NT-VT'!E18</f>
        <v>68</v>
      </c>
      <c r="E15" s="1432">
        <f>'NT-VT'!F19</f>
        <v>68</v>
      </c>
      <c r="F15" s="1432" t="str">
        <f>'NT-VT'!G19</f>
        <v/>
      </c>
      <c r="G15" s="869">
        <f t="shared" si="0"/>
        <v>1</v>
      </c>
      <c r="H15" s="883"/>
      <c r="I15" s="859"/>
    </row>
    <row r="16" spans="1:9" ht="35.1" customHeight="1">
      <c r="A16" s="1432">
        <f>SUM($G$3:G16)</f>
        <v>14</v>
      </c>
      <c r="B16" s="1433" t="str">
        <f>'NT-VT'!C19</f>
        <v>Co nối</v>
      </c>
      <c r="C16" s="1434" t="str">
        <f>'NT-VT'!D19</f>
        <v>bộ</v>
      </c>
      <c r="D16" s="1435">
        <f>'NT-VT'!E19</f>
        <v>68</v>
      </c>
      <c r="E16" s="1432">
        <f>'NT-VT'!F20</f>
        <v>2</v>
      </c>
      <c r="F16" s="1432" t="str">
        <f>'NT-VT'!G20</f>
        <v/>
      </c>
      <c r="G16" s="869">
        <f t="shared" si="0"/>
        <v>1</v>
      </c>
      <c r="H16" s="883"/>
      <c r="I16" s="859"/>
    </row>
    <row r="17" spans="1:9" ht="35.1" customHeight="1">
      <c r="A17" s="1432">
        <f>SUM($G$3:G17)</f>
        <v>15</v>
      </c>
      <c r="B17" s="1433" t="str">
        <f>'NT-VT'!C20</f>
        <v>Tủ điện lưu trữ</v>
      </c>
      <c r="C17" s="1434" t="str">
        <f>'NT-VT'!D20</f>
        <v>bộ</v>
      </c>
      <c r="D17" s="1435">
        <f>'NT-VT'!E20</f>
        <v>2</v>
      </c>
      <c r="E17" s="1432">
        <f>'NT-VT'!F21</f>
        <v>16</v>
      </c>
      <c r="F17" s="1432" t="str">
        <f>'NT-VT'!G21</f>
        <v/>
      </c>
      <c r="G17" s="869">
        <f t="shared" si="0"/>
        <v>1</v>
      </c>
      <c r="H17" s="883"/>
      <c r="I17" s="885"/>
    </row>
    <row r="18" spans="1:9" ht="35.1" customHeight="1">
      <c r="A18" s="1432">
        <f>SUM($G$3:G18)</f>
        <v>16</v>
      </c>
      <c r="B18" s="1433" t="str">
        <f>'NT-VT'!C21</f>
        <v>Xi bi sử dụng cho màn hình Led</v>
      </c>
      <c r="C18" s="1434" t="str">
        <f>'NT-VT'!D21</f>
        <v>cái</v>
      </c>
      <c r="D18" s="1435">
        <f>'NT-VT'!E21</f>
        <v>16</v>
      </c>
      <c r="E18" s="1432">
        <f>'NT-VT'!F22</f>
        <v>680</v>
      </c>
      <c r="F18" s="1432" t="str">
        <f>'NT-VT'!G22</f>
        <v/>
      </c>
      <c r="G18" s="869">
        <f t="shared" si="0"/>
        <v>1</v>
      </c>
      <c r="H18" s="883"/>
      <c r="I18" s="885"/>
    </row>
    <row r="19" spans="1:9" ht="35.1" customHeight="1">
      <c r="A19" s="1432">
        <f>SUM($G$3:G19)</f>
        <v>17</v>
      </c>
      <c r="B19" s="1433" t="str">
        <f>'NT-VT'!C22</f>
        <v>Led dây 50X50mm (20m một trụ) (sử dụng nguồn điện 220V.</v>
      </c>
      <c r="C19" s="1434" t="str">
        <f>'NT-VT'!D22</f>
        <v>m</v>
      </c>
      <c r="D19" s="1435">
        <f>'NT-VT'!E22</f>
        <v>680</v>
      </c>
      <c r="E19" s="1432">
        <f>'NT-VT'!F23</f>
        <v>34</v>
      </c>
      <c r="F19" s="1432" t="str">
        <f>'NT-VT'!G23</f>
        <v/>
      </c>
      <c r="G19" s="869">
        <f t="shared" si="0"/>
        <v>1</v>
      </c>
      <c r="H19" s="883"/>
      <c r="I19" s="885"/>
    </row>
    <row r="20" spans="1:9" ht="35.1" customHeight="1">
      <c r="A20" s="1432">
        <f>SUM($G$3:G20)</f>
        <v>18</v>
      </c>
      <c r="B20" s="1433" t="str">
        <f>'NT-VT'!C23</f>
        <v>Bộ chuyển đổi nguồn điện AC sang nguồn điện DC</v>
      </c>
      <c r="C20" s="1434" t="str">
        <f>'NT-VT'!D23</f>
        <v>bộ</v>
      </c>
      <c r="D20" s="1435">
        <f>'NT-VT'!E23</f>
        <v>34</v>
      </c>
      <c r="E20" s="1432">
        <f>'NT-VT'!F24</f>
        <v>34</v>
      </c>
      <c r="F20" s="1432" t="str">
        <f>'NT-VT'!G24</f>
        <v>Cty TNHHSX-TM Dây &amp; Cáp Điện Tài Trường Thành</v>
      </c>
      <c r="G20" s="869">
        <f t="shared" si="0"/>
        <v>1</v>
      </c>
      <c r="H20" s="884"/>
    </row>
    <row r="21" spans="1:9" ht="35.1" customHeight="1">
      <c r="A21" s="1432">
        <f>SUM($G$3:G21)</f>
        <v>19</v>
      </c>
      <c r="B21" s="1433" t="str">
        <f>'NT-VT'!C24</f>
        <v>Keo alu (500ml/chai)</v>
      </c>
      <c r="C21" s="1434" t="str">
        <f>'NT-VT'!D24</f>
        <v>Chai</v>
      </c>
      <c r="D21" s="1435">
        <f>'NT-VT'!E24</f>
        <v>34</v>
      </c>
      <c r="E21" s="1432">
        <f>'NT-VT'!F25</f>
        <v>0</v>
      </c>
      <c r="F21" s="1432" t="str">
        <f>'NT-VT'!G25</f>
        <v>nt</v>
      </c>
      <c r="G21" s="869">
        <f t="shared" si="0"/>
        <v>1</v>
      </c>
      <c r="H21" s="883"/>
      <c r="I21" s="859"/>
    </row>
    <row r="22" spans="1:9" ht="35.1" customHeight="1">
      <c r="A22" s="1432">
        <f>SUM($G$3:G22)</f>
        <v>19</v>
      </c>
      <c r="B22" s="1433">
        <f>'NT-VT'!C25</f>
        <v>0</v>
      </c>
      <c r="C22" s="1434">
        <f>'NT-VT'!D25</f>
        <v>0</v>
      </c>
      <c r="D22" s="1435">
        <f>'NT-VT'!E25</f>
        <v>0</v>
      </c>
      <c r="E22" s="1432" t="str">
        <f>'NT-VT'!F26</f>
        <v>nt</v>
      </c>
      <c r="F22" s="1432" t="str">
        <f>'NT-VT'!G26</f>
        <v>nt</v>
      </c>
      <c r="G22" s="869">
        <f t="shared" si="0"/>
        <v>0</v>
      </c>
      <c r="H22" s="883"/>
      <c r="I22" s="859"/>
    </row>
    <row r="23" spans="1:9" ht="35.1" customHeight="1">
      <c r="A23" s="1432">
        <f>SUM($G$3:G23)</f>
        <v>19</v>
      </c>
      <c r="B23" s="1433" t="e">
        <f>'NT-VT'!C26</f>
        <v>#N/A</v>
      </c>
      <c r="C23" s="1434">
        <f>'NT-VT'!D26</f>
        <v>0</v>
      </c>
      <c r="D23" s="1435">
        <f>'NT-VT'!E26</f>
        <v>0</v>
      </c>
      <c r="E23" s="1432" t="str">
        <f>'NT-VT'!F27</f>
        <v>nt</v>
      </c>
      <c r="F23" s="1432" t="str">
        <f>'NT-VT'!G27</f>
        <v>nt</v>
      </c>
      <c r="G23" s="869">
        <f t="shared" si="0"/>
        <v>0</v>
      </c>
      <c r="H23" s="883"/>
      <c r="I23" s="885"/>
    </row>
    <row r="24" spans="1:9" ht="35.1" customHeight="1">
      <c r="A24" s="1432">
        <f>SUM($G$3:G24)</f>
        <v>19</v>
      </c>
      <c r="B24" s="1433" t="e">
        <f>'NT-VT'!C27</f>
        <v>#N/A</v>
      </c>
      <c r="C24" s="1434">
        <f>'NT-VT'!D27</f>
        <v>0</v>
      </c>
      <c r="D24" s="1435">
        <f>'NT-VT'!E27</f>
        <v>0</v>
      </c>
      <c r="E24" s="1432" t="str">
        <f>'NT-VT'!F28</f>
        <v>nt</v>
      </c>
      <c r="F24" s="1432" t="str">
        <f>'NT-VT'!G28</f>
        <v>nt</v>
      </c>
      <c r="G24" s="869">
        <f t="shared" si="0"/>
        <v>0</v>
      </c>
      <c r="H24" s="883"/>
      <c r="I24" s="885"/>
    </row>
    <row r="25" spans="1:9" ht="35.1" customHeight="1">
      <c r="A25" s="1432">
        <f>SUM($G$3:G25)</f>
        <v>19</v>
      </c>
      <c r="B25" s="1433" t="e">
        <f>'NT-VT'!C28</f>
        <v>#N/A</v>
      </c>
      <c r="C25" s="1434">
        <f>'NT-VT'!D28</f>
        <v>0</v>
      </c>
      <c r="D25" s="1435">
        <f>'NT-VT'!E28</f>
        <v>0</v>
      </c>
      <c r="E25" s="1432" t="str">
        <f>'NT-VT'!F29</f>
        <v>nt</v>
      </c>
      <c r="F25" s="1432" t="str">
        <f>'NT-VT'!G29</f>
        <v>nt</v>
      </c>
      <c r="G25" s="869">
        <f t="shared" si="0"/>
        <v>0</v>
      </c>
      <c r="H25" s="883"/>
      <c r="I25" s="859"/>
    </row>
    <row r="26" spans="1:9" ht="35.1" customHeight="1">
      <c r="A26" s="1432">
        <f>SUM($G$3:G26)</f>
        <v>19</v>
      </c>
      <c r="B26" s="1433" t="e">
        <f>'NT-VT'!C29</f>
        <v>#N/A</v>
      </c>
      <c r="C26" s="1434">
        <f>'NT-VT'!D29</f>
        <v>0</v>
      </c>
      <c r="D26" s="1435">
        <f>'NT-VT'!E29</f>
        <v>0</v>
      </c>
      <c r="E26" s="1432" t="str">
        <f>'NT-VT'!F30</f>
        <v>nt</v>
      </c>
      <c r="F26" s="1432" t="str">
        <f>'NT-VT'!G30</f>
        <v>nt</v>
      </c>
      <c r="G26" s="869">
        <f t="shared" si="0"/>
        <v>0</v>
      </c>
      <c r="H26" s="883"/>
      <c r="I26" s="859"/>
    </row>
    <row r="27" spans="1:9" ht="35.1" customHeight="1">
      <c r="A27" s="1432">
        <f>SUM($G$3:G27)</f>
        <v>19</v>
      </c>
      <c r="B27" s="1433" t="e">
        <f>'NT-VT'!C30</f>
        <v>#N/A</v>
      </c>
      <c r="C27" s="1434">
        <f>'NT-VT'!D30</f>
        <v>0</v>
      </c>
      <c r="D27" s="1435">
        <f>'NT-VT'!E30</f>
        <v>0</v>
      </c>
      <c r="E27" s="1432" t="str">
        <f>'NT-VT'!F31</f>
        <v>nt</v>
      </c>
      <c r="F27" s="1432" t="str">
        <f>'NT-VT'!G31</f>
        <v>nt</v>
      </c>
      <c r="G27" s="869">
        <f t="shared" si="0"/>
        <v>0</v>
      </c>
      <c r="H27" s="883"/>
      <c r="I27" s="859"/>
    </row>
    <row r="28" spans="1:9" ht="35.1" customHeight="1">
      <c r="A28" s="1432">
        <f>SUM($G$3:G28)</f>
        <v>19</v>
      </c>
      <c r="B28" s="1433" t="e">
        <f>'NT-VT'!C31</f>
        <v>#N/A</v>
      </c>
      <c r="C28" s="1434">
        <f>'NT-VT'!D31</f>
        <v>0</v>
      </c>
      <c r="D28" s="1435">
        <f>'NT-VT'!E31</f>
        <v>0</v>
      </c>
      <c r="E28" s="1432" t="str">
        <f>'NT-VT'!F32</f>
        <v>nt</v>
      </c>
      <c r="F28" s="1432" t="str">
        <f>'NT-VT'!G32</f>
        <v>nt</v>
      </c>
      <c r="G28" s="869">
        <f t="shared" si="0"/>
        <v>0</v>
      </c>
      <c r="H28" s="883"/>
      <c r="I28" s="859"/>
    </row>
    <row r="29" spans="1:9" ht="35.1" customHeight="1">
      <c r="A29" s="1432">
        <f>SUM($G$3:G29)</f>
        <v>19</v>
      </c>
      <c r="B29" s="1433" t="e">
        <f>'NT-VT'!C32</f>
        <v>#N/A</v>
      </c>
      <c r="C29" s="1434">
        <f>'NT-VT'!D32</f>
        <v>0</v>
      </c>
      <c r="D29" s="1435">
        <f>'NT-VT'!E32</f>
        <v>0</v>
      </c>
      <c r="E29" s="1432" t="str">
        <f>'NT-VT'!F33</f>
        <v>nt</v>
      </c>
      <c r="F29" s="1432" t="str">
        <f>'NT-VT'!G33</f>
        <v>nt</v>
      </c>
      <c r="G29" s="869">
        <f t="shared" si="0"/>
        <v>0</v>
      </c>
      <c r="H29" s="883"/>
      <c r="I29" s="885"/>
    </row>
    <row r="30" spans="1:9" ht="35.1" customHeight="1">
      <c r="A30" s="1432">
        <f>SUM($G$3:G30)</f>
        <v>19</v>
      </c>
      <c r="B30" s="1433" t="e">
        <f>'NT-VT'!C33</f>
        <v>#N/A</v>
      </c>
      <c r="C30" s="1434">
        <f>'NT-VT'!D33</f>
        <v>0</v>
      </c>
      <c r="D30" s="1435">
        <f>'NT-VT'!E33</f>
        <v>0</v>
      </c>
      <c r="E30" s="1432" t="str">
        <f>'NT-VT'!F34</f>
        <v>nt</v>
      </c>
      <c r="F30" s="1432" t="str">
        <f>'NT-VT'!G34</f>
        <v>nt</v>
      </c>
      <c r="G30" s="869">
        <f t="shared" si="0"/>
        <v>0</v>
      </c>
      <c r="H30" s="884"/>
    </row>
    <row r="31" spans="1:9" ht="35.1" customHeight="1">
      <c r="A31" s="1432">
        <f>SUM($G$3:G31)</f>
        <v>19</v>
      </c>
      <c r="B31" s="1433" t="e">
        <f>'NT-VT'!C34</f>
        <v>#N/A</v>
      </c>
      <c r="C31" s="1434">
        <f>'NT-VT'!D34</f>
        <v>0</v>
      </c>
      <c r="D31" s="1435">
        <f>'NT-VT'!E34</f>
        <v>0</v>
      </c>
      <c r="E31" s="1432" t="str">
        <f>'NT-VT'!F35</f>
        <v>nt</v>
      </c>
      <c r="F31" s="1432" t="str">
        <f>'NT-VT'!G35</f>
        <v>nt</v>
      </c>
      <c r="G31" s="869">
        <f t="shared" si="0"/>
        <v>0</v>
      </c>
      <c r="H31" s="883"/>
      <c r="I31" s="885"/>
    </row>
    <row r="32" spans="1:9" ht="35.1" customHeight="1">
      <c r="A32" s="1432">
        <f>SUM($G$3:G32)</f>
        <v>19</v>
      </c>
      <c r="B32" s="1433" t="e">
        <f>'NT-VT'!C35</f>
        <v>#N/A</v>
      </c>
      <c r="C32" s="1434">
        <f>'NT-VT'!D35</f>
        <v>0</v>
      </c>
      <c r="D32" s="1435">
        <f>'NT-VT'!E35</f>
        <v>0</v>
      </c>
      <c r="E32" s="1432" t="str">
        <f>'NT-VT'!F36</f>
        <v>nt</v>
      </c>
      <c r="F32" s="1432" t="str">
        <f>'NT-VT'!G36</f>
        <v>nt</v>
      </c>
      <c r="G32" s="869">
        <f t="shared" si="0"/>
        <v>0</v>
      </c>
      <c r="H32" s="883"/>
      <c r="I32" s="885"/>
    </row>
    <row r="33" spans="1:9" ht="35.1" customHeight="1">
      <c r="A33" s="1432">
        <f>SUM($G$3:G33)</f>
        <v>19</v>
      </c>
      <c r="B33" s="1433" t="e">
        <f>'NT-VT'!C36</f>
        <v>#N/A</v>
      </c>
      <c r="C33" s="1434">
        <f>'NT-VT'!D36</f>
        <v>0</v>
      </c>
      <c r="D33" s="1435">
        <f>'NT-VT'!E36</f>
        <v>0</v>
      </c>
      <c r="E33" s="1432" t="str">
        <f>'NT-VT'!F37</f>
        <v>nt</v>
      </c>
      <c r="F33" s="1432" t="str">
        <f>'NT-VT'!G37</f>
        <v>nt</v>
      </c>
      <c r="G33" s="869">
        <f t="shared" si="0"/>
        <v>0</v>
      </c>
      <c r="H33" s="884"/>
    </row>
    <row r="34" spans="1:9" ht="35.1" customHeight="1">
      <c r="A34" s="1432">
        <f>SUM($G$3:G34)</f>
        <v>19</v>
      </c>
      <c r="B34" s="1433" t="e">
        <f>'NT-VT'!C37</f>
        <v>#N/A</v>
      </c>
      <c r="C34" s="1434">
        <f>'NT-VT'!D37</f>
        <v>0</v>
      </c>
      <c r="D34" s="1435">
        <f>'NT-VT'!E37</f>
        <v>0</v>
      </c>
      <c r="E34" s="1432" t="str">
        <f>'NT-VT'!F38</f>
        <v>nt</v>
      </c>
      <c r="F34" s="1432" t="str">
        <f>'NT-VT'!G38</f>
        <v>nt</v>
      </c>
      <c r="G34" s="869">
        <f t="shared" si="0"/>
        <v>0</v>
      </c>
      <c r="H34" s="883"/>
      <c r="I34" s="885"/>
    </row>
    <row r="35" spans="1:9" ht="35.1" customHeight="1">
      <c r="A35" s="1432">
        <f>SUM($G$3:G35)</f>
        <v>19</v>
      </c>
      <c r="B35" s="1433" t="e">
        <f>'NT-VT'!C38</f>
        <v>#N/A</v>
      </c>
      <c r="C35" s="1434">
        <f>'NT-VT'!D38</f>
        <v>0</v>
      </c>
      <c r="D35" s="1435">
        <f>'NT-VT'!E38</f>
        <v>0</v>
      </c>
      <c r="E35" s="1432" t="str">
        <f>'NT-VT'!F39</f>
        <v>nt</v>
      </c>
      <c r="F35" s="1432" t="str">
        <f>'NT-VT'!G39</f>
        <v>nt</v>
      </c>
      <c r="G35" s="869">
        <f t="shared" si="0"/>
        <v>0</v>
      </c>
      <c r="H35" s="883"/>
      <c r="I35" s="885"/>
    </row>
    <row r="36" spans="1:9" ht="35.1" customHeight="1">
      <c r="A36" s="1432">
        <f>SUM($G$3:G36)</f>
        <v>19</v>
      </c>
      <c r="B36" s="1433" t="e">
        <f>'NT-VT'!C39</f>
        <v>#N/A</v>
      </c>
      <c r="C36" s="1434">
        <f>'NT-VT'!D39</f>
        <v>0</v>
      </c>
      <c r="D36" s="1435">
        <f>'NT-VT'!E39</f>
        <v>0</v>
      </c>
      <c r="E36" s="1432" t="str">
        <f>'NT-VT'!F40</f>
        <v>nt</v>
      </c>
      <c r="F36" s="1432" t="str">
        <f>'NT-VT'!G40</f>
        <v>nt</v>
      </c>
      <c r="G36" s="869">
        <f t="shared" si="0"/>
        <v>0</v>
      </c>
      <c r="H36" s="883"/>
      <c r="I36" s="885"/>
    </row>
    <row r="37" spans="1:9" ht="35.1" customHeight="1">
      <c r="A37" s="1432">
        <f>SUM($G$3:G37)</f>
        <v>19</v>
      </c>
      <c r="B37" s="1433" t="e">
        <f>'NT-VT'!C40</f>
        <v>#N/A</v>
      </c>
      <c r="C37" s="1434">
        <f>'NT-VT'!D40</f>
        <v>0</v>
      </c>
      <c r="D37" s="1435">
        <f>'NT-VT'!E40</f>
        <v>0</v>
      </c>
      <c r="E37" s="1432" t="str">
        <f>'NT-VT'!F41</f>
        <v>nt</v>
      </c>
      <c r="F37" s="1432" t="str">
        <f>'NT-VT'!G41</f>
        <v>nt</v>
      </c>
      <c r="G37" s="869">
        <f t="shared" si="0"/>
        <v>0</v>
      </c>
      <c r="H37" s="883"/>
      <c r="I37" s="885"/>
    </row>
    <row r="38" spans="1:9" ht="35.1" customHeight="1">
      <c r="A38" s="1432">
        <f>SUM($G$3:G38)</f>
        <v>19</v>
      </c>
      <c r="B38" s="1433" t="e">
        <f>'NT-VT'!C41</f>
        <v>#N/A</v>
      </c>
      <c r="C38" s="1434">
        <f>'NT-VT'!D41</f>
        <v>0</v>
      </c>
      <c r="D38" s="1435">
        <f>'NT-VT'!E41</f>
        <v>0</v>
      </c>
      <c r="E38" s="1432" t="str">
        <f>'NT-VT'!F42</f>
        <v>nt</v>
      </c>
      <c r="F38" s="1432" t="str">
        <f>'NT-VT'!G42</f>
        <v>nt</v>
      </c>
      <c r="G38" s="869">
        <f t="shared" si="0"/>
        <v>0</v>
      </c>
      <c r="H38" s="883"/>
      <c r="I38" s="859"/>
    </row>
    <row r="39" spans="1:9" ht="35.1" customHeight="1">
      <c r="A39" s="1432">
        <f>SUM($G$3:G39)</f>
        <v>19</v>
      </c>
      <c r="B39" s="1433" t="e">
        <f>'NT-VT'!C42</f>
        <v>#N/A</v>
      </c>
      <c r="C39" s="1434">
        <f>'NT-VT'!D42</f>
        <v>0</v>
      </c>
      <c r="D39" s="1435">
        <f>'NT-VT'!E42</f>
        <v>0</v>
      </c>
      <c r="E39" s="1432" t="str">
        <f>'NT-VT'!F43</f>
        <v>nt</v>
      </c>
      <c r="F39" s="1432" t="str">
        <f>'NT-VT'!G43</f>
        <v>nt</v>
      </c>
      <c r="G39" s="869">
        <f t="shared" si="0"/>
        <v>0</v>
      </c>
      <c r="H39" s="884"/>
    </row>
    <row r="40" spans="1:9" ht="35.1" customHeight="1">
      <c r="A40" s="1432">
        <f>SUM($G$3:G40)</f>
        <v>19</v>
      </c>
      <c r="B40" s="1433" t="e">
        <f>'NT-VT'!C43</f>
        <v>#N/A</v>
      </c>
      <c r="C40" s="1434">
        <f>'NT-VT'!D43</f>
        <v>0</v>
      </c>
      <c r="D40" s="1435">
        <f>'NT-VT'!E43</f>
        <v>0</v>
      </c>
      <c r="E40" s="1432" t="str">
        <f>'NT-VT'!F44</f>
        <v>nt</v>
      </c>
      <c r="F40" s="1432" t="str">
        <f>'NT-VT'!G44</f>
        <v>nt</v>
      </c>
      <c r="G40" s="869">
        <f t="shared" si="0"/>
        <v>0</v>
      </c>
      <c r="H40" s="884"/>
    </row>
    <row r="41" spans="1:9" ht="35.1" customHeight="1">
      <c r="A41" s="1432">
        <f>SUM($G$3:G41)</f>
        <v>19</v>
      </c>
      <c r="B41" s="1433" t="e">
        <f>'NT-VT'!C44</f>
        <v>#N/A</v>
      </c>
      <c r="C41" s="1434">
        <f>'NT-VT'!D44</f>
        <v>0</v>
      </c>
      <c r="D41" s="1435">
        <f>'NT-VT'!E44</f>
        <v>0</v>
      </c>
      <c r="E41" s="1432" t="str">
        <f>'NT-VT'!F45</f>
        <v>nt</v>
      </c>
      <c r="F41" s="1432" t="str">
        <f>'NT-VT'!G45</f>
        <v>nt</v>
      </c>
      <c r="G41" s="869">
        <f t="shared" si="0"/>
        <v>0</v>
      </c>
      <c r="H41" s="883"/>
      <c r="I41" s="885"/>
    </row>
    <row r="42" spans="1:9" ht="35.1" customHeight="1">
      <c r="A42" s="1432">
        <f>SUM($G$3:G42)</f>
        <v>19</v>
      </c>
      <c r="B42" s="1433" t="e">
        <f>'NT-VT'!C45</f>
        <v>#N/A</v>
      </c>
      <c r="C42" s="1434">
        <f>'NT-VT'!D45</f>
        <v>0</v>
      </c>
      <c r="D42" s="1435">
        <f>'NT-VT'!E45</f>
        <v>0</v>
      </c>
      <c r="E42" s="1432" t="str">
        <f>'NT-VT'!F46</f>
        <v>nt</v>
      </c>
      <c r="F42" s="1432" t="str">
        <f>'NT-VT'!G46</f>
        <v>nt</v>
      </c>
      <c r="G42" s="869">
        <f t="shared" si="0"/>
        <v>0</v>
      </c>
      <c r="H42" s="883"/>
      <c r="I42" s="859"/>
    </row>
    <row r="43" spans="1:9" ht="35.1" customHeight="1">
      <c r="A43" s="1432">
        <f>SUM($G$3:G43)</f>
        <v>19</v>
      </c>
      <c r="B43" s="1433" t="e">
        <f>'NT-VT'!C46</f>
        <v>#N/A</v>
      </c>
      <c r="C43" s="1434">
        <f>'NT-VT'!D46</f>
        <v>0</v>
      </c>
      <c r="D43" s="1435">
        <f>'NT-VT'!E46</f>
        <v>0</v>
      </c>
      <c r="E43" s="1432" t="str">
        <f>'NT-VT'!F47</f>
        <v>nt</v>
      </c>
      <c r="F43" s="1432" t="str">
        <f>'NT-VT'!G47</f>
        <v>nt</v>
      </c>
      <c r="G43" s="869">
        <f t="shared" si="0"/>
        <v>0</v>
      </c>
      <c r="H43" s="883"/>
      <c r="I43" s="885"/>
    </row>
    <row r="44" spans="1:9" ht="35.1" customHeight="1">
      <c r="A44" s="1432">
        <f>SUM($G$3:G44)</f>
        <v>19</v>
      </c>
      <c r="B44" s="1433" t="e">
        <f>'NT-VT'!C47</f>
        <v>#N/A</v>
      </c>
      <c r="C44" s="1434">
        <f>'NT-VT'!D47</f>
        <v>0</v>
      </c>
      <c r="D44" s="1435">
        <f>'NT-VT'!E47</f>
        <v>0</v>
      </c>
      <c r="E44" s="1432" t="str">
        <f>'NT-VT'!F48</f>
        <v>nt</v>
      </c>
      <c r="F44" s="1432" t="str">
        <f>'NT-VT'!G48</f>
        <v>nt</v>
      </c>
      <c r="G44" s="869">
        <f t="shared" si="0"/>
        <v>0</v>
      </c>
      <c r="H44" s="883"/>
      <c r="I44" s="859"/>
    </row>
    <row r="45" spans="1:9" ht="35.1" customHeight="1">
      <c r="A45" s="1432">
        <f>SUM($G$3:G45)</f>
        <v>19</v>
      </c>
      <c r="B45" s="1433" t="e">
        <f>'NT-VT'!C48</f>
        <v>#N/A</v>
      </c>
      <c r="C45" s="1434">
        <f>'NT-VT'!D48</f>
        <v>0</v>
      </c>
      <c r="D45" s="1435">
        <f>'NT-VT'!E48</f>
        <v>0</v>
      </c>
      <c r="E45" s="1432" t="str">
        <f>'NT-VT'!F49</f>
        <v>nt</v>
      </c>
      <c r="F45" s="1432" t="str">
        <f>'NT-VT'!G49</f>
        <v>nt</v>
      </c>
      <c r="G45" s="869">
        <f t="shared" si="0"/>
        <v>0</v>
      </c>
      <c r="H45" s="883"/>
      <c r="I45" s="859"/>
    </row>
    <row r="46" spans="1:9" ht="35.1" customHeight="1">
      <c r="A46" s="1432">
        <f>SUM($G$3:G46)</f>
        <v>19</v>
      </c>
      <c r="B46" s="1433" t="e">
        <f>'NT-VT'!C49</f>
        <v>#N/A</v>
      </c>
      <c r="C46" s="1434">
        <f>'NT-VT'!D49</f>
        <v>0</v>
      </c>
      <c r="D46" s="1435">
        <f>'NT-VT'!E49</f>
        <v>0</v>
      </c>
      <c r="E46" s="1432" t="str">
        <f>'NT-VT'!F50</f>
        <v>nt</v>
      </c>
      <c r="F46" s="1432" t="str">
        <f>'NT-VT'!G50</f>
        <v>nt</v>
      </c>
      <c r="G46" s="869">
        <f t="shared" si="0"/>
        <v>0</v>
      </c>
      <c r="H46" s="883"/>
      <c r="I46" s="859"/>
    </row>
    <row r="47" spans="1:9" ht="35.1" customHeight="1">
      <c r="A47" s="1432">
        <f>SUM($G$3:G47)</f>
        <v>19</v>
      </c>
      <c r="B47" s="1433" t="e">
        <f>'NT-VT'!C50</f>
        <v>#N/A</v>
      </c>
      <c r="C47" s="1434">
        <f>'NT-VT'!D50</f>
        <v>0</v>
      </c>
      <c r="D47" s="1435">
        <f>'NT-VT'!E50</f>
        <v>0</v>
      </c>
      <c r="E47" s="1432" t="str">
        <f>'NT-VT'!F51</f>
        <v>nt</v>
      </c>
      <c r="F47" s="1432" t="str">
        <f>'NT-VT'!G51</f>
        <v>nt</v>
      </c>
      <c r="G47" s="869">
        <f t="shared" si="0"/>
        <v>0</v>
      </c>
      <c r="H47" s="883"/>
      <c r="I47" s="859"/>
    </row>
    <row r="48" spans="1:9" ht="35.1" customHeight="1">
      <c r="A48" s="1432">
        <f>SUM($G$3:G48)</f>
        <v>19</v>
      </c>
      <c r="B48" s="1433" t="e">
        <f>'NT-VT'!C51</f>
        <v>#N/A</v>
      </c>
      <c r="C48" s="1434">
        <f>'NT-VT'!D51</f>
        <v>0</v>
      </c>
      <c r="D48" s="1435">
        <f>'NT-VT'!E51</f>
        <v>0</v>
      </c>
      <c r="E48" s="1432" t="str">
        <f>'NT-VT'!F52</f>
        <v>nt</v>
      </c>
      <c r="F48" s="1432" t="str">
        <f>'NT-VT'!G52</f>
        <v>nt</v>
      </c>
      <c r="G48" s="869">
        <f t="shared" si="0"/>
        <v>0</v>
      </c>
      <c r="H48" s="883"/>
      <c r="I48" s="859"/>
    </row>
    <row r="49" spans="1:9" ht="35.1" customHeight="1">
      <c r="A49" s="1432">
        <f>SUM($G$3:G49)</f>
        <v>19</v>
      </c>
      <c r="B49" s="1433" t="e">
        <f>'NT-VT'!C52</f>
        <v>#N/A</v>
      </c>
      <c r="C49" s="1434">
        <f>'NT-VT'!D52</f>
        <v>0</v>
      </c>
      <c r="D49" s="1435">
        <f>'NT-VT'!E52</f>
        <v>0</v>
      </c>
      <c r="E49" s="1432" t="str">
        <f>'NT-VT'!F53</f>
        <v>nt</v>
      </c>
      <c r="F49" s="1432" t="str">
        <f>'NT-VT'!G53</f>
        <v>nt</v>
      </c>
      <c r="G49" s="869">
        <f t="shared" si="0"/>
        <v>0</v>
      </c>
      <c r="H49" s="883"/>
      <c r="I49" s="859"/>
    </row>
    <row r="50" spans="1:9" ht="35.1" customHeight="1">
      <c r="A50" s="1432">
        <f>SUM($G$3:G50)</f>
        <v>19</v>
      </c>
      <c r="B50" s="1433" t="e">
        <f>'NT-VT'!C53</f>
        <v>#N/A</v>
      </c>
      <c r="C50" s="1434">
        <f>'NT-VT'!D53</f>
        <v>0</v>
      </c>
      <c r="D50" s="1435">
        <f>'NT-VT'!E53</f>
        <v>0</v>
      </c>
      <c r="E50" s="1432" t="str">
        <f>'NT-VT'!F54</f>
        <v>nt</v>
      </c>
      <c r="F50" s="1432" t="str">
        <f>'NT-VT'!G54</f>
        <v>nt</v>
      </c>
      <c r="G50" s="869">
        <f t="shared" si="0"/>
        <v>0</v>
      </c>
      <c r="H50" s="883"/>
      <c r="I50" s="859"/>
    </row>
    <row r="51" spans="1:9" ht="35.1" customHeight="1">
      <c r="A51" s="1432">
        <f>SUM($G$3:G51)</f>
        <v>19</v>
      </c>
      <c r="B51" s="1433" t="e">
        <f>'NT-VT'!C54</f>
        <v>#N/A</v>
      </c>
      <c r="C51" s="1434">
        <f>'NT-VT'!D54</f>
        <v>0</v>
      </c>
      <c r="D51" s="1435">
        <f>'NT-VT'!E54</f>
        <v>0</v>
      </c>
      <c r="E51" s="1432" t="str">
        <f>'NT-VT'!F55</f>
        <v>nt</v>
      </c>
      <c r="F51" s="1432" t="str">
        <f>'NT-VT'!G55</f>
        <v>nt</v>
      </c>
      <c r="G51" s="869">
        <f t="shared" si="0"/>
        <v>0</v>
      </c>
      <c r="H51" s="883"/>
      <c r="I51" s="859"/>
    </row>
    <row r="52" spans="1:9" ht="35.1" customHeight="1">
      <c r="A52" s="1432">
        <f>SUM($G$3:G52)</f>
        <v>19</v>
      </c>
      <c r="B52" s="1433" t="e">
        <f>'NT-VT'!C55</f>
        <v>#N/A</v>
      </c>
      <c r="C52" s="1434">
        <f>'NT-VT'!D55</f>
        <v>0</v>
      </c>
      <c r="D52" s="1435">
        <f>'NT-VT'!E55</f>
        <v>0</v>
      </c>
      <c r="E52" s="1432" t="str">
        <f>'NT-VT'!F56</f>
        <v>nt</v>
      </c>
      <c r="F52" s="1432" t="str">
        <f>'NT-VT'!G56</f>
        <v>nt</v>
      </c>
      <c r="G52" s="869">
        <f t="shared" si="0"/>
        <v>0</v>
      </c>
      <c r="H52" s="883"/>
      <c r="I52" s="859"/>
    </row>
    <row r="53" spans="1:9" ht="35.1" customHeight="1">
      <c r="A53" s="1432">
        <f>SUM($G$3:G53)</f>
        <v>19</v>
      </c>
      <c r="B53" s="1433" t="e">
        <f>'NT-VT'!C56</f>
        <v>#N/A</v>
      </c>
      <c r="C53" s="1434">
        <f>'NT-VT'!D56</f>
        <v>0</v>
      </c>
      <c r="D53" s="1435">
        <f>'NT-VT'!E56</f>
        <v>0</v>
      </c>
      <c r="E53" s="1432" t="str">
        <f>'NT-VT'!F57</f>
        <v>nt</v>
      </c>
      <c r="F53" s="1432" t="str">
        <f>'NT-VT'!G57</f>
        <v>nt</v>
      </c>
      <c r="G53" s="869">
        <f t="shared" si="0"/>
        <v>0</v>
      </c>
      <c r="H53" s="883"/>
      <c r="I53" s="859"/>
    </row>
    <row r="54" spans="1:9" ht="35.1" customHeight="1">
      <c r="A54" s="1432">
        <f>SUM($G$3:G54)</f>
        <v>19</v>
      </c>
      <c r="B54" s="1433" t="e">
        <f>'NT-VT'!C57</f>
        <v>#N/A</v>
      </c>
      <c r="C54" s="1434">
        <f>'NT-VT'!D57</f>
        <v>0</v>
      </c>
      <c r="D54" s="1435">
        <f>'NT-VT'!E57</f>
        <v>0</v>
      </c>
      <c r="E54" s="1432" t="str">
        <f>'NT-VT'!F58</f>
        <v>nt</v>
      </c>
      <c r="F54" s="1432" t="str">
        <f>'NT-VT'!G58</f>
        <v>nt</v>
      </c>
      <c r="G54" s="869">
        <f t="shared" si="0"/>
        <v>0</v>
      </c>
      <c r="H54" s="883"/>
      <c r="I54" s="859"/>
    </row>
    <row r="55" spans="1:9" ht="35.1" customHeight="1">
      <c r="A55" s="1432">
        <f>SUM($G$3:G55)</f>
        <v>19</v>
      </c>
      <c r="B55" s="1433" t="e">
        <f>'NT-VT'!C58</f>
        <v>#N/A</v>
      </c>
      <c r="C55" s="1434">
        <f>'NT-VT'!D58</f>
        <v>0</v>
      </c>
      <c r="D55" s="1435">
        <f>'NT-VT'!E58</f>
        <v>0</v>
      </c>
      <c r="E55" s="1432" t="str">
        <f>'NT-VT'!F59</f>
        <v>nt</v>
      </c>
      <c r="F55" s="1432" t="str">
        <f>'NT-VT'!G59</f>
        <v>nt</v>
      </c>
      <c r="G55" s="869">
        <f t="shared" si="0"/>
        <v>0</v>
      </c>
      <c r="H55" s="883"/>
      <c r="I55" s="859"/>
    </row>
    <row r="56" spans="1:9" ht="35.1" customHeight="1">
      <c r="A56" s="1432">
        <f>SUM($G$3:G56)</f>
        <v>19</v>
      </c>
      <c r="B56" s="1433" t="e">
        <f>'NT-VT'!C59</f>
        <v>#N/A</v>
      </c>
      <c r="C56" s="1434">
        <f>'NT-VT'!D59</f>
        <v>0</v>
      </c>
      <c r="D56" s="1435">
        <f>'NT-VT'!E59</f>
        <v>0</v>
      </c>
      <c r="E56" s="1432" t="str">
        <f>'NT-VT'!F60</f>
        <v>nt</v>
      </c>
      <c r="F56" s="1432" t="str">
        <f>'NT-VT'!G60</f>
        <v>nt</v>
      </c>
      <c r="G56" s="869">
        <f t="shared" si="0"/>
        <v>0</v>
      </c>
      <c r="H56" s="883"/>
      <c r="I56" s="859"/>
    </row>
    <row r="57" spans="1:9" ht="35.1" customHeight="1">
      <c r="A57" s="1432">
        <f>SUM($G$3:G57)</f>
        <v>19</v>
      </c>
      <c r="B57" s="1433" t="e">
        <f>'NT-VT'!C60</f>
        <v>#N/A</v>
      </c>
      <c r="C57" s="1434">
        <f>'NT-VT'!D60</f>
        <v>0</v>
      </c>
      <c r="D57" s="1435">
        <f>'NT-VT'!E60</f>
        <v>0</v>
      </c>
      <c r="E57" s="1432" t="str">
        <f>'NT-VT'!F61</f>
        <v>nt</v>
      </c>
      <c r="F57" s="1432" t="str">
        <f>'NT-VT'!G61</f>
        <v>nt</v>
      </c>
      <c r="G57" s="869">
        <f t="shared" si="0"/>
        <v>0</v>
      </c>
      <c r="H57" s="883"/>
      <c r="I57" s="859"/>
    </row>
    <row r="58" spans="1:9" ht="35.1" customHeight="1">
      <c r="A58" s="1432">
        <f>SUM($G$3:G58)</f>
        <v>19</v>
      </c>
      <c r="B58" s="1433" t="e">
        <f>'NT-VT'!C61</f>
        <v>#N/A</v>
      </c>
      <c r="C58" s="1434">
        <f>'NT-VT'!D61</f>
        <v>0</v>
      </c>
      <c r="D58" s="1435">
        <f>'NT-VT'!E61</f>
        <v>0</v>
      </c>
      <c r="E58" s="1432" t="str">
        <f>'NT-VT'!F62</f>
        <v>nt</v>
      </c>
      <c r="F58" s="1432" t="str">
        <f>'NT-VT'!G62</f>
        <v>nt</v>
      </c>
      <c r="G58" s="869">
        <f t="shared" si="0"/>
        <v>0</v>
      </c>
      <c r="H58" s="883"/>
      <c r="I58" s="859"/>
    </row>
    <row r="59" spans="1:9" ht="35.1" customHeight="1">
      <c r="A59" s="1432">
        <f>SUM($G$3:G59)</f>
        <v>19</v>
      </c>
      <c r="B59" s="1433" t="e">
        <f>'NT-VT'!C62</f>
        <v>#N/A</v>
      </c>
      <c r="C59" s="1434">
        <f>'NT-VT'!D62</f>
        <v>0</v>
      </c>
      <c r="D59" s="1435">
        <f>'NT-VT'!E62</f>
        <v>0</v>
      </c>
      <c r="E59" s="1432" t="str">
        <f>'NT-VT'!F63</f>
        <v>nt</v>
      </c>
      <c r="F59" s="1432" t="str">
        <f>'NT-VT'!G63</f>
        <v>nt</v>
      </c>
      <c r="G59" s="869">
        <f t="shared" si="0"/>
        <v>0</v>
      </c>
      <c r="H59" s="883"/>
      <c r="I59" s="859"/>
    </row>
    <row r="60" spans="1:9" ht="35.1" customHeight="1">
      <c r="A60" s="1432">
        <f>SUM($G$3:G60)</f>
        <v>19</v>
      </c>
      <c r="B60" s="1433" t="e">
        <f>'NT-VT'!C63</f>
        <v>#N/A</v>
      </c>
      <c r="C60" s="1434">
        <f>'NT-VT'!D63</f>
        <v>0</v>
      </c>
      <c r="D60" s="1435">
        <f>'NT-VT'!E63</f>
        <v>0</v>
      </c>
      <c r="E60" s="1432" t="str">
        <f>'NT-VT'!F64</f>
        <v>nt</v>
      </c>
      <c r="F60" s="1432" t="str">
        <f>'NT-VT'!G64</f>
        <v>nt</v>
      </c>
      <c r="G60" s="869">
        <f t="shared" si="0"/>
        <v>0</v>
      </c>
      <c r="H60" s="883"/>
      <c r="I60" s="859"/>
    </row>
    <row r="61" spans="1:9" ht="35.1" customHeight="1">
      <c r="A61" s="1432">
        <f>SUM($G$3:G61)</f>
        <v>19</v>
      </c>
      <c r="B61" s="1433" t="e">
        <f>'NT-VT'!C64</f>
        <v>#N/A</v>
      </c>
      <c r="C61" s="1434">
        <f>'NT-VT'!D64</f>
        <v>0</v>
      </c>
      <c r="D61" s="1435">
        <f>'NT-VT'!E64</f>
        <v>0</v>
      </c>
      <c r="E61" s="1432" t="str">
        <f>'NT-VT'!F65</f>
        <v>nt</v>
      </c>
      <c r="F61" s="1432" t="str">
        <f>'NT-VT'!G65</f>
        <v>nt</v>
      </c>
      <c r="G61" s="869">
        <f t="shared" si="0"/>
        <v>0</v>
      </c>
      <c r="H61" s="883"/>
      <c r="I61" s="859"/>
    </row>
    <row r="62" spans="1:9" ht="35.1" customHeight="1">
      <c r="A62" s="1432">
        <f>SUM($G$3:G62)</f>
        <v>19</v>
      </c>
      <c r="B62" s="1433" t="e">
        <f>'NT-VT'!C65</f>
        <v>#N/A</v>
      </c>
      <c r="C62" s="1434">
        <f>'NT-VT'!D65</f>
        <v>0</v>
      </c>
      <c r="D62" s="1435">
        <f>'NT-VT'!E65</f>
        <v>0</v>
      </c>
      <c r="E62" s="1432" t="str">
        <f>'NT-VT'!F66</f>
        <v>nt</v>
      </c>
      <c r="F62" s="1432" t="str">
        <f>'NT-VT'!G66</f>
        <v>nt</v>
      </c>
      <c r="G62" s="869">
        <f t="shared" si="0"/>
        <v>0</v>
      </c>
      <c r="H62" s="883"/>
      <c r="I62" s="859"/>
    </row>
    <row r="63" spans="1:9" ht="35.1" customHeight="1">
      <c r="A63" s="1432">
        <f>SUM($G$3:G63)</f>
        <v>19</v>
      </c>
      <c r="B63" s="1433" t="e">
        <f>'NT-VT'!C66</f>
        <v>#N/A</v>
      </c>
      <c r="C63" s="1434">
        <f>'NT-VT'!D66</f>
        <v>0</v>
      </c>
      <c r="D63" s="1435">
        <f>'NT-VT'!E66</f>
        <v>0</v>
      </c>
      <c r="E63" s="1432" t="str">
        <f>'NT-VT'!F67</f>
        <v>nt</v>
      </c>
      <c r="F63" s="1432" t="str">
        <f>'NT-VT'!G67</f>
        <v>nt</v>
      </c>
      <c r="G63" s="869">
        <f t="shared" si="0"/>
        <v>0</v>
      </c>
      <c r="H63" s="883"/>
      <c r="I63" s="859"/>
    </row>
    <row r="64" spans="1:9" ht="35.1" customHeight="1">
      <c r="A64" s="1432">
        <f>SUM($G$3:G64)</f>
        <v>19</v>
      </c>
      <c r="B64" s="1433" t="e">
        <f>'NT-VT'!C67</f>
        <v>#N/A</v>
      </c>
      <c r="C64" s="1434">
        <f>'NT-VT'!D67</f>
        <v>0</v>
      </c>
      <c r="D64" s="1435">
        <f>'NT-VT'!E67</f>
        <v>0</v>
      </c>
      <c r="E64" s="1432" t="str">
        <f>'NT-VT'!F68</f>
        <v>nt</v>
      </c>
      <c r="F64" s="1432" t="str">
        <f>'NT-VT'!G68</f>
        <v>nt</v>
      </c>
      <c r="G64" s="869">
        <f t="shared" si="0"/>
        <v>0</v>
      </c>
      <c r="H64" s="883"/>
      <c r="I64" s="859"/>
    </row>
    <row r="65" spans="1:9" ht="35.1" customHeight="1">
      <c r="A65" s="1432">
        <f>SUM($G$3:G65)</f>
        <v>19</v>
      </c>
      <c r="B65" s="1433" t="e">
        <f>'NT-VT'!C68</f>
        <v>#N/A</v>
      </c>
      <c r="C65" s="1434">
        <f>'NT-VT'!D68</f>
        <v>0</v>
      </c>
      <c r="D65" s="1435">
        <f>'NT-VT'!E68</f>
        <v>0</v>
      </c>
      <c r="E65" s="1432" t="e">
        <f>'NT-VT'!#REF!</f>
        <v>#REF!</v>
      </c>
      <c r="F65" s="1432" t="e">
        <f>'NT-VT'!#REF!</f>
        <v>#REF!</v>
      </c>
      <c r="G65" s="869">
        <f t="shared" si="0"/>
        <v>0</v>
      </c>
      <c r="H65" s="883"/>
      <c r="I65" s="859"/>
    </row>
    <row r="66" spans="1:9" ht="35.1" customHeight="1">
      <c r="A66" s="1432" t="e">
        <f>SUM($G$3:G66)</f>
        <v>#REF!</v>
      </c>
      <c r="B66" s="1433" t="e">
        <f>'NT-VT'!#REF!</f>
        <v>#REF!</v>
      </c>
      <c r="C66" s="1434" t="e">
        <f>'NT-VT'!#REF!</f>
        <v>#REF!</v>
      </c>
      <c r="D66" s="1435" t="e">
        <f>'NT-VT'!#REF!</f>
        <v>#REF!</v>
      </c>
      <c r="E66" s="1432" t="str">
        <f>'NT-VT'!F69</f>
        <v>nt</v>
      </c>
      <c r="F66" s="1432" t="str">
        <f>'NT-VT'!G69</f>
        <v>nt</v>
      </c>
      <c r="G66" s="869" t="e">
        <f t="shared" si="0"/>
        <v>#REF!</v>
      </c>
      <c r="H66" s="883"/>
      <c r="I66" s="859"/>
    </row>
    <row r="67" spans="1:9" ht="35.1" customHeight="1">
      <c r="A67" s="1432" t="e">
        <f>SUM($G$3:G67)</f>
        <v>#REF!</v>
      </c>
      <c r="B67" s="1433" t="e">
        <f>'NT-VT'!C69</f>
        <v>#N/A</v>
      </c>
      <c r="C67" s="1434">
        <f>'NT-VT'!D69</f>
        <v>0</v>
      </c>
      <c r="D67" s="1435">
        <f>'NT-VT'!E69</f>
        <v>0</v>
      </c>
      <c r="E67" s="1432" t="str">
        <f>'NT-VT'!F70</f>
        <v>nt</v>
      </c>
      <c r="F67" s="1432" t="str">
        <f>'NT-VT'!G70</f>
        <v>nt</v>
      </c>
      <c r="G67" s="869">
        <f t="shared" si="0"/>
        <v>0</v>
      </c>
      <c r="H67" s="883"/>
      <c r="I67" s="859"/>
    </row>
    <row r="68" spans="1:9" ht="35.1" customHeight="1">
      <c r="A68" s="1432" t="e">
        <f>SUM($G$3:G68)</f>
        <v>#REF!</v>
      </c>
      <c r="B68" s="1433" t="e">
        <f>'NT-VT'!C70</f>
        <v>#N/A</v>
      </c>
      <c r="C68" s="1434">
        <f>'NT-VT'!D70</f>
        <v>0</v>
      </c>
      <c r="D68" s="1435">
        <f>'NT-VT'!E70</f>
        <v>0</v>
      </c>
      <c r="E68" s="1432" t="str">
        <f>'NT-VT'!F71</f>
        <v>nt</v>
      </c>
      <c r="F68" s="1432" t="str">
        <f>'NT-VT'!G71</f>
        <v>nt</v>
      </c>
      <c r="G68" s="869">
        <f t="shared" ref="G68:G93" si="1">IF(D68&gt;0,1,0)</f>
        <v>0</v>
      </c>
      <c r="H68" s="883"/>
      <c r="I68" s="859"/>
    </row>
    <row r="69" spans="1:9" ht="35.1" customHeight="1">
      <c r="A69" s="1432" t="e">
        <f>SUM($G$3:G69)</f>
        <v>#REF!</v>
      </c>
      <c r="B69" s="1433" t="e">
        <f>'NT-VT'!C71</f>
        <v>#N/A</v>
      </c>
      <c r="C69" s="1434">
        <f>'NT-VT'!D71</f>
        <v>0</v>
      </c>
      <c r="D69" s="1435">
        <f>'NT-VT'!E71</f>
        <v>0</v>
      </c>
      <c r="E69" s="1432" t="str">
        <f>'NT-VT'!F72</f>
        <v>nt</v>
      </c>
      <c r="F69" s="1432" t="str">
        <f>'NT-VT'!G72</f>
        <v>nt</v>
      </c>
      <c r="G69" s="869">
        <f t="shared" si="1"/>
        <v>0</v>
      </c>
      <c r="H69" s="883"/>
      <c r="I69" s="859"/>
    </row>
    <row r="70" spans="1:9" ht="35.1" customHeight="1">
      <c r="A70" s="1432" t="e">
        <f>SUM($G$3:G70)</f>
        <v>#REF!</v>
      </c>
      <c r="B70" s="1433" t="e">
        <f>'NT-VT'!C72</f>
        <v>#N/A</v>
      </c>
      <c r="C70" s="1434">
        <f>'NT-VT'!D72</f>
        <v>0</v>
      </c>
      <c r="D70" s="1435">
        <f>'NT-VT'!E72</f>
        <v>0</v>
      </c>
      <c r="E70" s="1432" t="str">
        <f>'NT-VT'!F73</f>
        <v>nt</v>
      </c>
      <c r="F70" s="1432" t="str">
        <f>'NT-VT'!G73</f>
        <v>nt</v>
      </c>
      <c r="G70" s="869">
        <f t="shared" si="1"/>
        <v>0</v>
      </c>
      <c r="H70" s="883"/>
      <c r="I70" s="859"/>
    </row>
    <row r="71" spans="1:9" ht="35.1" customHeight="1">
      <c r="A71" s="1432" t="e">
        <f>SUM($G$3:G71)</f>
        <v>#REF!</v>
      </c>
      <c r="B71" s="1433" t="e">
        <f>'NT-VT'!C73</f>
        <v>#N/A</v>
      </c>
      <c r="C71" s="1434">
        <f>'NT-VT'!D73</f>
        <v>0</v>
      </c>
      <c r="D71" s="1435">
        <f>'NT-VT'!E73</f>
        <v>0</v>
      </c>
      <c r="E71" s="1432" t="str">
        <f>'NT-VT'!F74</f>
        <v>nt</v>
      </c>
      <c r="F71" s="1432" t="str">
        <f>'NT-VT'!G74</f>
        <v>nt</v>
      </c>
      <c r="G71" s="869">
        <f t="shared" si="1"/>
        <v>0</v>
      </c>
      <c r="H71" s="883"/>
      <c r="I71" s="859"/>
    </row>
    <row r="72" spans="1:9" ht="35.1" customHeight="1">
      <c r="A72" s="1432" t="e">
        <f>SUM($G$3:G72)</f>
        <v>#REF!</v>
      </c>
      <c r="B72" s="1433" t="e">
        <f>'NT-VT'!C74</f>
        <v>#N/A</v>
      </c>
      <c r="C72" s="1434">
        <f>'NT-VT'!D74</f>
        <v>0</v>
      </c>
      <c r="D72" s="1435">
        <f>'NT-VT'!E74</f>
        <v>0</v>
      </c>
      <c r="E72" s="1432" t="str">
        <f>'NT-VT'!F75</f>
        <v>nt</v>
      </c>
      <c r="F72" s="1432" t="str">
        <f>'NT-VT'!G75</f>
        <v>nt</v>
      </c>
      <c r="G72" s="869">
        <f t="shared" si="1"/>
        <v>0</v>
      </c>
      <c r="H72" s="883"/>
      <c r="I72" s="859"/>
    </row>
    <row r="73" spans="1:9" ht="35.1" hidden="1" customHeight="1">
      <c r="A73" s="1432" t="e">
        <f>SUM($G$3:G73)</f>
        <v>#REF!</v>
      </c>
      <c r="B73" s="1433" t="e">
        <f>'NT-VT'!C75</f>
        <v>#N/A</v>
      </c>
      <c r="C73" s="1434">
        <f>'NT-VT'!D75</f>
        <v>0</v>
      </c>
      <c r="D73" s="1435">
        <f>'NT-VT'!E75</f>
        <v>0</v>
      </c>
      <c r="E73" s="1432" t="str">
        <f>'NT-VT'!F76</f>
        <v>nt</v>
      </c>
      <c r="F73" s="1432" t="str">
        <f>'NT-VT'!G76</f>
        <v>nt</v>
      </c>
      <c r="G73" s="869">
        <f t="shared" si="1"/>
        <v>0</v>
      </c>
      <c r="H73" s="883"/>
      <c r="I73" s="859"/>
    </row>
    <row r="74" spans="1:9" ht="35.1" hidden="1" customHeight="1">
      <c r="A74" s="1432" t="e">
        <f>SUM($G$3:G74)</f>
        <v>#REF!</v>
      </c>
      <c r="B74" s="1433" t="e">
        <f>'NT-VT'!C76</f>
        <v>#N/A</v>
      </c>
      <c r="C74" s="1434">
        <f>'NT-VT'!D76</f>
        <v>0</v>
      </c>
      <c r="D74" s="1435">
        <f>'NT-VT'!E76</f>
        <v>0</v>
      </c>
      <c r="E74" s="1432" t="str">
        <f>'NT-VT'!F77</f>
        <v>nt</v>
      </c>
      <c r="F74" s="1432" t="str">
        <f>'NT-VT'!G77</f>
        <v>nt</v>
      </c>
      <c r="G74" s="869">
        <f t="shared" si="1"/>
        <v>0</v>
      </c>
      <c r="H74" s="883"/>
      <c r="I74" s="859"/>
    </row>
    <row r="75" spans="1:9" ht="35.1" hidden="1" customHeight="1">
      <c r="A75" s="1432" t="e">
        <f>SUM($G$3:G75)</f>
        <v>#REF!</v>
      </c>
      <c r="B75" s="1433" t="e">
        <f>'NT-VT'!C77</f>
        <v>#N/A</v>
      </c>
      <c r="C75" s="1434">
        <f>'NT-VT'!D77</f>
        <v>0</v>
      </c>
      <c r="D75" s="1435">
        <f>'NT-VT'!E77</f>
        <v>0</v>
      </c>
      <c r="E75" s="1432" t="str">
        <f>'NT-VT'!F78</f>
        <v>nt</v>
      </c>
      <c r="F75" s="1432" t="str">
        <f>'NT-VT'!G78</f>
        <v>nt</v>
      </c>
      <c r="G75" s="869">
        <f t="shared" si="1"/>
        <v>0</v>
      </c>
      <c r="H75" s="883"/>
      <c r="I75" s="859"/>
    </row>
    <row r="76" spans="1:9" ht="35.1" hidden="1" customHeight="1">
      <c r="A76" s="1432" t="e">
        <f>SUM($G$3:G76)</f>
        <v>#REF!</v>
      </c>
      <c r="B76" s="1433" t="e">
        <f>'NT-VT'!C78</f>
        <v>#N/A</v>
      </c>
      <c r="C76" s="1434">
        <f>'NT-VT'!D78</f>
        <v>0</v>
      </c>
      <c r="D76" s="1435">
        <f>'NT-VT'!E78</f>
        <v>0</v>
      </c>
      <c r="E76" s="1432" t="str">
        <f>'NT-VT'!F79</f>
        <v>nt</v>
      </c>
      <c r="F76" s="1432" t="str">
        <f>'NT-VT'!G79</f>
        <v>nt</v>
      </c>
      <c r="G76" s="869">
        <f t="shared" si="1"/>
        <v>0</v>
      </c>
      <c r="H76" s="883"/>
      <c r="I76" s="859"/>
    </row>
    <row r="77" spans="1:9" ht="35.1" hidden="1" customHeight="1">
      <c r="A77" s="1432" t="e">
        <f>SUM($G$3:G77)</f>
        <v>#REF!</v>
      </c>
      <c r="B77" s="1433" t="e">
        <f>'NT-VT'!C79</f>
        <v>#N/A</v>
      </c>
      <c r="C77" s="1434">
        <f>'NT-VT'!D79</f>
        <v>0</v>
      </c>
      <c r="D77" s="1435">
        <f>'NT-VT'!E79</f>
        <v>0</v>
      </c>
      <c r="E77" s="1432" t="str">
        <f>'NT-VT'!F80</f>
        <v>nt</v>
      </c>
      <c r="F77" s="1432" t="str">
        <f>'NT-VT'!G80</f>
        <v>nt</v>
      </c>
      <c r="G77" s="869">
        <f t="shared" si="1"/>
        <v>0</v>
      </c>
      <c r="H77" s="883"/>
      <c r="I77" s="859"/>
    </row>
    <row r="78" spans="1:9" ht="35.1" hidden="1" customHeight="1">
      <c r="A78" s="1432" t="e">
        <f>SUM($G$3:G78)</f>
        <v>#REF!</v>
      </c>
      <c r="B78" s="1433" t="e">
        <f>'NT-VT'!C80</f>
        <v>#N/A</v>
      </c>
      <c r="C78" s="1434">
        <f>'NT-VT'!D80</f>
        <v>0</v>
      </c>
      <c r="D78" s="1435">
        <f>'NT-VT'!E80</f>
        <v>0</v>
      </c>
      <c r="E78" s="1432" t="str">
        <f>'NT-VT'!F81</f>
        <v>nt</v>
      </c>
      <c r="F78" s="1432" t="str">
        <f>'NT-VT'!G81</f>
        <v>nt</v>
      </c>
      <c r="G78" s="869">
        <f t="shared" si="1"/>
        <v>0</v>
      </c>
      <c r="H78" s="883"/>
      <c r="I78" s="859"/>
    </row>
    <row r="79" spans="1:9" ht="35.1" hidden="1" customHeight="1">
      <c r="A79" s="1432" t="e">
        <f>SUM($G$3:G79)</f>
        <v>#REF!</v>
      </c>
      <c r="B79" s="1433" t="e">
        <f>'NT-VT'!C81</f>
        <v>#N/A</v>
      </c>
      <c r="C79" s="1434">
        <f>'NT-VT'!D81</f>
        <v>0</v>
      </c>
      <c r="D79" s="1435">
        <f>'NT-VT'!E81</f>
        <v>0</v>
      </c>
      <c r="E79" s="1432" t="str">
        <f>'NT-VT'!F82</f>
        <v>nt</v>
      </c>
      <c r="F79" s="1432" t="str">
        <f>'NT-VT'!G82</f>
        <v>nt</v>
      </c>
      <c r="G79" s="869">
        <f t="shared" si="1"/>
        <v>0</v>
      </c>
      <c r="H79" s="883"/>
      <c r="I79" s="859"/>
    </row>
    <row r="80" spans="1:9" ht="35.1" hidden="1" customHeight="1">
      <c r="A80" s="1432" t="e">
        <f>SUM($G$3:G80)</f>
        <v>#REF!</v>
      </c>
      <c r="B80" s="1433" t="e">
        <f>'NT-VT'!C82</f>
        <v>#N/A</v>
      </c>
      <c r="C80" s="1434">
        <f>'NT-VT'!D82</f>
        <v>0</v>
      </c>
      <c r="D80" s="1435">
        <f>'NT-VT'!E82</f>
        <v>0</v>
      </c>
      <c r="E80" s="1432" t="str">
        <f>'NT-VT'!F83</f>
        <v>nt</v>
      </c>
      <c r="F80" s="1432" t="str">
        <f>'NT-VT'!G83</f>
        <v>nt</v>
      </c>
      <c r="G80" s="869">
        <f t="shared" si="1"/>
        <v>0</v>
      </c>
      <c r="H80" s="883"/>
      <c r="I80" s="859"/>
    </row>
    <row r="81" spans="1:9" ht="35.1" hidden="1" customHeight="1">
      <c r="A81" s="1432" t="e">
        <f>SUM($G$3:G81)</f>
        <v>#REF!</v>
      </c>
      <c r="B81" s="1433" t="e">
        <f>'NT-VT'!C83</f>
        <v>#N/A</v>
      </c>
      <c r="C81" s="1434">
        <f>'NT-VT'!D83</f>
        <v>0</v>
      </c>
      <c r="D81" s="1435">
        <f>'NT-VT'!E83</f>
        <v>0</v>
      </c>
      <c r="E81" s="1432" t="str">
        <f>'NT-VT'!F84</f>
        <v>nt</v>
      </c>
      <c r="F81" s="1432" t="str">
        <f>'NT-VT'!G84</f>
        <v>nt</v>
      </c>
      <c r="G81" s="869">
        <f t="shared" si="1"/>
        <v>0</v>
      </c>
      <c r="H81" s="883"/>
      <c r="I81" s="859"/>
    </row>
    <row r="82" spans="1:9" ht="35.1" hidden="1" customHeight="1">
      <c r="A82" s="1432" t="e">
        <f>SUM($G$3:G82)</f>
        <v>#REF!</v>
      </c>
      <c r="B82" s="1433" t="e">
        <f>'NT-VT'!C84</f>
        <v>#N/A</v>
      </c>
      <c r="C82" s="1434">
        <f>'NT-VT'!D84</f>
        <v>0</v>
      </c>
      <c r="D82" s="1435">
        <f>'NT-VT'!E84</f>
        <v>0</v>
      </c>
      <c r="E82" s="1432" t="str">
        <f>'NT-VT'!F85</f>
        <v>nt</v>
      </c>
      <c r="F82" s="1432" t="str">
        <f>'NT-VT'!G85</f>
        <v>nt</v>
      </c>
      <c r="G82" s="869">
        <f t="shared" si="1"/>
        <v>0</v>
      </c>
      <c r="H82" s="883"/>
      <c r="I82" s="859"/>
    </row>
    <row r="83" spans="1:9" ht="35.1" hidden="1" customHeight="1">
      <c r="A83" s="1432" t="e">
        <f>SUM($G$3:G83)</f>
        <v>#REF!</v>
      </c>
      <c r="B83" s="1433" t="e">
        <f>'NT-VT'!C85</f>
        <v>#N/A</v>
      </c>
      <c r="C83" s="1434">
        <f>'NT-VT'!D85</f>
        <v>0</v>
      </c>
      <c r="D83" s="1435">
        <f>'NT-VT'!E85</f>
        <v>0</v>
      </c>
      <c r="E83" s="1432" t="str">
        <f>'NT-VT'!F86</f>
        <v>nt</v>
      </c>
      <c r="F83" s="1432" t="str">
        <f>'NT-VT'!G86</f>
        <v>nt</v>
      </c>
      <c r="G83" s="869">
        <f t="shared" si="1"/>
        <v>0</v>
      </c>
      <c r="H83" s="883"/>
      <c r="I83" s="859"/>
    </row>
    <row r="84" spans="1:9" ht="35.1" hidden="1" customHeight="1">
      <c r="A84" s="1432" t="e">
        <f>SUM($G$3:G84)</f>
        <v>#REF!</v>
      </c>
      <c r="B84" s="1433" t="e">
        <f>'NT-VT'!C86</f>
        <v>#N/A</v>
      </c>
      <c r="C84" s="1434">
        <f>'NT-VT'!D86</f>
        <v>0</v>
      </c>
      <c r="D84" s="1435">
        <f>'NT-VT'!E86</f>
        <v>0</v>
      </c>
      <c r="E84" s="1432" t="str">
        <f>'NT-VT'!F87</f>
        <v>nt</v>
      </c>
      <c r="F84" s="1432" t="str">
        <f>'NT-VT'!G87</f>
        <v>nt</v>
      </c>
      <c r="G84" s="869">
        <f t="shared" si="1"/>
        <v>0</v>
      </c>
      <c r="H84" s="883"/>
      <c r="I84" s="859"/>
    </row>
    <row r="85" spans="1:9" ht="35.1" hidden="1" customHeight="1">
      <c r="A85" s="1432" t="e">
        <f>SUM($G$3:G85)</f>
        <v>#REF!</v>
      </c>
      <c r="B85" s="1433" t="e">
        <f>'NT-VT'!C87</f>
        <v>#N/A</v>
      </c>
      <c r="C85" s="1434">
        <f>'NT-VT'!D87</f>
        <v>0</v>
      </c>
      <c r="D85" s="1435">
        <f>'NT-VT'!E87</f>
        <v>0</v>
      </c>
      <c r="E85" s="1432" t="str">
        <f>'NT-VT'!F88</f>
        <v>nt</v>
      </c>
      <c r="F85" s="1432" t="str">
        <f>'NT-VT'!G88</f>
        <v>nt</v>
      </c>
      <c r="G85" s="869">
        <f t="shared" si="1"/>
        <v>0</v>
      </c>
      <c r="H85" s="883"/>
      <c r="I85" s="859"/>
    </row>
    <row r="86" spans="1:9" ht="35.1" hidden="1" customHeight="1">
      <c r="A86" s="1432" t="e">
        <f>SUM($G$3:G86)</f>
        <v>#REF!</v>
      </c>
      <c r="B86" s="1433" t="e">
        <f>'NT-VT'!C88</f>
        <v>#N/A</v>
      </c>
      <c r="C86" s="1434">
        <f>'NT-VT'!D88</f>
        <v>0</v>
      </c>
      <c r="D86" s="1435">
        <f>'NT-VT'!E88</f>
        <v>0</v>
      </c>
      <c r="E86" s="1432" t="str">
        <f>'NT-VT'!F89</f>
        <v/>
      </c>
      <c r="F86" s="1432" t="str">
        <f>'NT-VT'!G89</f>
        <v/>
      </c>
      <c r="G86" s="869">
        <f t="shared" si="1"/>
        <v>0</v>
      </c>
      <c r="H86" s="883"/>
      <c r="I86" s="859"/>
    </row>
    <row r="87" spans="1:9" ht="35.1" hidden="1" customHeight="1">
      <c r="A87" s="1432" t="e">
        <f>SUM($G$3:G87)</f>
        <v>#REF!</v>
      </c>
      <c r="B87" s="1433" t="e">
        <f>'NT-VT'!C89</f>
        <v>#N/A</v>
      </c>
      <c r="C87" s="1434">
        <f>'NT-VT'!D89</f>
        <v>0</v>
      </c>
      <c r="D87" s="1435">
        <f>'NT-VT'!E89</f>
        <v>0</v>
      </c>
      <c r="E87" s="1432" t="str">
        <f>'NT-VT'!F90</f>
        <v>nt</v>
      </c>
      <c r="F87" s="1432" t="str">
        <f>'NT-VT'!G90</f>
        <v>nt</v>
      </c>
      <c r="G87" s="869">
        <f t="shared" si="1"/>
        <v>0</v>
      </c>
      <c r="H87" s="883"/>
      <c r="I87" s="859"/>
    </row>
    <row r="88" spans="1:9" ht="35.1" hidden="1" customHeight="1">
      <c r="A88" s="1432" t="e">
        <f>SUM($G$3:G88)</f>
        <v>#REF!</v>
      </c>
      <c r="B88" s="1433" t="e">
        <f>'NT-VT'!C90</f>
        <v>#N/A</v>
      </c>
      <c r="C88" s="1434">
        <f>'NT-VT'!D90</f>
        <v>0</v>
      </c>
      <c r="D88" s="1435">
        <f>'NT-VT'!E90</f>
        <v>0</v>
      </c>
      <c r="E88" s="1432" t="str">
        <f>'NT-VT'!F91</f>
        <v>nt</v>
      </c>
      <c r="F88" s="1432" t="str">
        <f>'NT-VT'!G91</f>
        <v>nt</v>
      </c>
      <c r="G88" s="869">
        <f t="shared" si="1"/>
        <v>0</v>
      </c>
      <c r="H88" s="883"/>
      <c r="I88" s="859"/>
    </row>
    <row r="89" spans="1:9" ht="35.1" hidden="1" customHeight="1">
      <c r="A89" s="1432" t="e">
        <f>SUM($G$3:G89)</f>
        <v>#REF!</v>
      </c>
      <c r="B89" s="1433" t="e">
        <f>'NT-VT'!C91</f>
        <v>#N/A</v>
      </c>
      <c r="C89" s="1434">
        <f>'NT-VT'!D91</f>
        <v>0</v>
      </c>
      <c r="D89" s="1435">
        <f>'NT-VT'!E91</f>
        <v>0</v>
      </c>
      <c r="E89" s="1432" t="str">
        <f>'NT-VT'!F92</f>
        <v>nt</v>
      </c>
      <c r="F89" s="1432" t="str">
        <f>'NT-VT'!G92</f>
        <v>nt</v>
      </c>
      <c r="G89" s="869">
        <f t="shared" si="1"/>
        <v>0</v>
      </c>
      <c r="H89" s="883"/>
      <c r="I89" s="859"/>
    </row>
    <row r="90" spans="1:9" ht="35.1" hidden="1" customHeight="1">
      <c r="A90" s="1432" t="e">
        <f>SUM($G$3:G90)</f>
        <v>#REF!</v>
      </c>
      <c r="B90" s="1433"/>
      <c r="C90" s="1434">
        <f>'NT-VT'!D93</f>
        <v>0</v>
      </c>
      <c r="D90" s="1435">
        <f>'NT-VT'!E93</f>
        <v>0</v>
      </c>
      <c r="E90" s="1432" t="str">
        <f>'NT-VT'!F93</f>
        <v>nt</v>
      </c>
      <c r="F90" s="1432" t="str">
        <f>'NT-VT'!G93</f>
        <v>nt</v>
      </c>
      <c r="G90" s="869">
        <f t="shared" si="1"/>
        <v>0</v>
      </c>
      <c r="H90" s="883"/>
      <c r="I90" s="859"/>
    </row>
    <row r="91" spans="1:9" ht="35.1" hidden="1" customHeight="1">
      <c r="A91" s="1432" t="e">
        <f>SUM($G$3:G91)</f>
        <v>#REF!</v>
      </c>
      <c r="B91" s="1433"/>
      <c r="C91" s="1434">
        <f>'NT-VT'!D94</f>
        <v>0</v>
      </c>
      <c r="D91" s="1435">
        <f>'NT-VT'!E94</f>
        <v>0</v>
      </c>
      <c r="E91" s="1432" t="str">
        <f>'NT-VT'!F94</f>
        <v>nt</v>
      </c>
      <c r="F91" s="1432" t="str">
        <f>'NT-VT'!G94</f>
        <v>nt</v>
      </c>
      <c r="G91" s="869">
        <f t="shared" si="1"/>
        <v>0</v>
      </c>
      <c r="H91" s="883"/>
      <c r="I91" s="859"/>
    </row>
    <row r="92" spans="1:9" ht="35.1" hidden="1" customHeight="1">
      <c r="A92" s="1432" t="e">
        <f>SUM($G$3:G92)</f>
        <v>#REF!</v>
      </c>
      <c r="B92" s="1433"/>
      <c r="C92" s="1434">
        <f>'NT-VT'!D95</f>
        <v>0</v>
      </c>
      <c r="D92" s="1435">
        <f>'NT-VT'!E95</f>
        <v>0</v>
      </c>
      <c r="E92" s="1432" t="str">
        <f>'NT-VT'!F95</f>
        <v>nt</v>
      </c>
      <c r="F92" s="1432" t="str">
        <f>'NT-VT'!G95</f>
        <v>nt</v>
      </c>
      <c r="G92" s="869">
        <f t="shared" si="1"/>
        <v>0</v>
      </c>
      <c r="H92" s="883"/>
      <c r="I92" s="859"/>
    </row>
    <row r="93" spans="1:9" ht="35.1" hidden="1" customHeight="1">
      <c r="A93" s="1432" t="e">
        <f>SUM($G$3:G93)</f>
        <v>#REF!</v>
      </c>
      <c r="B93" s="1433"/>
      <c r="C93" s="1434">
        <f>'NT-VT'!D96</f>
        <v>0</v>
      </c>
      <c r="D93" s="1435">
        <f>'NT-VT'!E96</f>
        <v>0</v>
      </c>
      <c r="E93" s="1432" t="str">
        <f>'NT-VT'!F96</f>
        <v>nt</v>
      </c>
      <c r="F93" s="1432" t="str">
        <f>'NT-VT'!G96</f>
        <v>nt</v>
      </c>
      <c r="G93" s="869">
        <f t="shared" si="1"/>
        <v>0</v>
      </c>
      <c r="H93" s="883"/>
      <c r="I93" s="859"/>
    </row>
    <row r="94" spans="1:9" ht="35.1" customHeight="1">
      <c r="A94" s="1432" t="e">
        <f>SUM($G$3:G94)</f>
        <v>#REF!</v>
      </c>
      <c r="B94" s="1433" t="s">
        <v>4527</v>
      </c>
      <c r="C94" s="1434"/>
      <c r="D94" s="1435"/>
      <c r="E94" s="1432" t="str">
        <f>'NT-VT'!F97</f>
        <v>nt</v>
      </c>
      <c r="F94" s="1432" t="str">
        <f>'NT-VT'!G97</f>
        <v>nt</v>
      </c>
      <c r="G94" s="869">
        <v>1</v>
      </c>
      <c r="H94" s="883"/>
      <c r="I94" s="859"/>
    </row>
  </sheetData>
  <autoFilter ref="A2:I94" xr:uid="{00000000-0009-0000-0000-000024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J297"/>
  <sheetViews>
    <sheetView zoomScaleNormal="100" workbookViewId="0">
      <pane xSplit="2" ySplit="8" topLeftCell="C9" activePane="bottomRight" state="frozen"/>
      <selection pane="topRight" activeCell="C1" sqref="C1"/>
      <selection pane="bottomLeft" activeCell="A8" sqref="A8"/>
      <selection pane="bottomRight" activeCell="A3" sqref="A3:H3"/>
    </sheetView>
  </sheetViews>
  <sheetFormatPr defaultColWidth="7.453125" defaultRowHeight="15.6"/>
  <cols>
    <col min="1" max="1" width="3.6328125" style="2392" customWidth="1"/>
    <col min="2" max="2" width="41.36328125" style="2392" customWidth="1"/>
    <col min="3" max="3" width="7.36328125" style="2443" customWidth="1"/>
    <col min="4" max="4" width="9.90625" style="2392" customWidth="1"/>
    <col min="5" max="5" width="8.453125" style="2392" customWidth="1"/>
    <col min="6" max="6" width="7.90625" style="2392" customWidth="1"/>
    <col min="7" max="7" width="10.81640625" style="2444" customWidth="1"/>
    <col min="8" max="8" width="14.1796875" style="2445" customWidth="1"/>
    <col min="9" max="9" width="15.6328125" style="2410" customWidth="1"/>
    <col min="10" max="10" width="7.453125" style="2410"/>
    <col min="11" max="256" width="7.453125" style="2392"/>
    <col min="257" max="257" width="3.6328125" style="2392" customWidth="1"/>
    <col min="258" max="258" width="41.36328125" style="2392" customWidth="1"/>
    <col min="259" max="259" width="7.36328125" style="2392" customWidth="1"/>
    <col min="260" max="260" width="9.90625" style="2392" customWidth="1"/>
    <col min="261" max="261" width="8.453125" style="2392" customWidth="1"/>
    <col min="262" max="262" width="7.90625" style="2392" customWidth="1"/>
    <col min="263" max="263" width="10.81640625" style="2392" customWidth="1"/>
    <col min="264" max="264" width="14.1796875" style="2392" customWidth="1"/>
    <col min="265" max="265" width="15.6328125" style="2392" customWidth="1"/>
    <col min="266" max="512" width="7.453125" style="2392"/>
    <col min="513" max="513" width="3.6328125" style="2392" customWidth="1"/>
    <col min="514" max="514" width="41.36328125" style="2392" customWidth="1"/>
    <col min="515" max="515" width="7.36328125" style="2392" customWidth="1"/>
    <col min="516" max="516" width="9.90625" style="2392" customWidth="1"/>
    <col min="517" max="517" width="8.453125" style="2392" customWidth="1"/>
    <col min="518" max="518" width="7.90625" style="2392" customWidth="1"/>
    <col min="519" max="519" width="10.81640625" style="2392" customWidth="1"/>
    <col min="520" max="520" width="14.1796875" style="2392" customWidth="1"/>
    <col min="521" max="521" width="15.6328125" style="2392" customWidth="1"/>
    <col min="522" max="768" width="7.453125" style="2392"/>
    <col min="769" max="769" width="3.6328125" style="2392" customWidth="1"/>
    <col min="770" max="770" width="41.36328125" style="2392" customWidth="1"/>
    <col min="771" max="771" width="7.36328125" style="2392" customWidth="1"/>
    <col min="772" max="772" width="9.90625" style="2392" customWidth="1"/>
    <col min="773" max="773" width="8.453125" style="2392" customWidth="1"/>
    <col min="774" max="774" width="7.90625" style="2392" customWidth="1"/>
    <col min="775" max="775" width="10.81640625" style="2392" customWidth="1"/>
    <col min="776" max="776" width="14.1796875" style="2392" customWidth="1"/>
    <col min="777" max="777" width="15.6328125" style="2392" customWidth="1"/>
    <col min="778" max="1024" width="7.453125" style="2392"/>
    <col min="1025" max="1025" width="3.6328125" style="2392" customWidth="1"/>
    <col min="1026" max="1026" width="41.36328125" style="2392" customWidth="1"/>
    <col min="1027" max="1027" width="7.36328125" style="2392" customWidth="1"/>
    <col min="1028" max="1028" width="9.90625" style="2392" customWidth="1"/>
    <col min="1029" max="1029" width="8.453125" style="2392" customWidth="1"/>
    <col min="1030" max="1030" width="7.90625" style="2392" customWidth="1"/>
    <col min="1031" max="1031" width="10.81640625" style="2392" customWidth="1"/>
    <col min="1032" max="1032" width="14.1796875" style="2392" customWidth="1"/>
    <col min="1033" max="1033" width="15.6328125" style="2392" customWidth="1"/>
    <col min="1034" max="1280" width="7.453125" style="2392"/>
    <col min="1281" max="1281" width="3.6328125" style="2392" customWidth="1"/>
    <col min="1282" max="1282" width="41.36328125" style="2392" customWidth="1"/>
    <col min="1283" max="1283" width="7.36328125" style="2392" customWidth="1"/>
    <col min="1284" max="1284" width="9.90625" style="2392" customWidth="1"/>
    <col min="1285" max="1285" width="8.453125" style="2392" customWidth="1"/>
    <col min="1286" max="1286" width="7.90625" style="2392" customWidth="1"/>
    <col min="1287" max="1287" width="10.81640625" style="2392" customWidth="1"/>
    <col min="1288" max="1288" width="14.1796875" style="2392" customWidth="1"/>
    <col min="1289" max="1289" width="15.6328125" style="2392" customWidth="1"/>
    <col min="1290" max="1536" width="7.453125" style="2392"/>
    <col min="1537" max="1537" width="3.6328125" style="2392" customWidth="1"/>
    <col min="1538" max="1538" width="41.36328125" style="2392" customWidth="1"/>
    <col min="1539" max="1539" width="7.36328125" style="2392" customWidth="1"/>
    <col min="1540" max="1540" width="9.90625" style="2392" customWidth="1"/>
    <col min="1541" max="1541" width="8.453125" style="2392" customWidth="1"/>
    <col min="1542" max="1542" width="7.90625" style="2392" customWidth="1"/>
    <col min="1543" max="1543" width="10.81640625" style="2392" customWidth="1"/>
    <col min="1544" max="1544" width="14.1796875" style="2392" customWidth="1"/>
    <col min="1545" max="1545" width="15.6328125" style="2392" customWidth="1"/>
    <col min="1546" max="1792" width="7.453125" style="2392"/>
    <col min="1793" max="1793" width="3.6328125" style="2392" customWidth="1"/>
    <col min="1794" max="1794" width="41.36328125" style="2392" customWidth="1"/>
    <col min="1795" max="1795" width="7.36328125" style="2392" customWidth="1"/>
    <col min="1796" max="1796" width="9.90625" style="2392" customWidth="1"/>
    <col min="1797" max="1797" width="8.453125" style="2392" customWidth="1"/>
    <col min="1798" max="1798" width="7.90625" style="2392" customWidth="1"/>
    <col min="1799" max="1799" width="10.81640625" style="2392" customWidth="1"/>
    <col min="1800" max="1800" width="14.1796875" style="2392" customWidth="1"/>
    <col min="1801" max="1801" width="15.6328125" style="2392" customWidth="1"/>
    <col min="1802" max="2048" width="7.453125" style="2392"/>
    <col min="2049" max="2049" width="3.6328125" style="2392" customWidth="1"/>
    <col min="2050" max="2050" width="41.36328125" style="2392" customWidth="1"/>
    <col min="2051" max="2051" width="7.36328125" style="2392" customWidth="1"/>
    <col min="2052" max="2052" width="9.90625" style="2392" customWidth="1"/>
    <col min="2053" max="2053" width="8.453125" style="2392" customWidth="1"/>
    <col min="2054" max="2054" width="7.90625" style="2392" customWidth="1"/>
    <col min="2055" max="2055" width="10.81640625" style="2392" customWidth="1"/>
    <col min="2056" max="2056" width="14.1796875" style="2392" customWidth="1"/>
    <col min="2057" max="2057" width="15.6328125" style="2392" customWidth="1"/>
    <col min="2058" max="2304" width="7.453125" style="2392"/>
    <col min="2305" max="2305" width="3.6328125" style="2392" customWidth="1"/>
    <col min="2306" max="2306" width="41.36328125" style="2392" customWidth="1"/>
    <col min="2307" max="2307" width="7.36328125" style="2392" customWidth="1"/>
    <col min="2308" max="2308" width="9.90625" style="2392" customWidth="1"/>
    <col min="2309" max="2309" width="8.453125" style="2392" customWidth="1"/>
    <col min="2310" max="2310" width="7.90625" style="2392" customWidth="1"/>
    <col min="2311" max="2311" width="10.81640625" style="2392" customWidth="1"/>
    <col min="2312" max="2312" width="14.1796875" style="2392" customWidth="1"/>
    <col min="2313" max="2313" width="15.6328125" style="2392" customWidth="1"/>
    <col min="2314" max="2560" width="7.453125" style="2392"/>
    <col min="2561" max="2561" width="3.6328125" style="2392" customWidth="1"/>
    <col min="2562" max="2562" width="41.36328125" style="2392" customWidth="1"/>
    <col min="2563" max="2563" width="7.36328125" style="2392" customWidth="1"/>
    <col min="2564" max="2564" width="9.90625" style="2392" customWidth="1"/>
    <col min="2565" max="2565" width="8.453125" style="2392" customWidth="1"/>
    <col min="2566" max="2566" width="7.90625" style="2392" customWidth="1"/>
    <col min="2567" max="2567" width="10.81640625" style="2392" customWidth="1"/>
    <col min="2568" max="2568" width="14.1796875" style="2392" customWidth="1"/>
    <col min="2569" max="2569" width="15.6328125" style="2392" customWidth="1"/>
    <col min="2570" max="2816" width="7.453125" style="2392"/>
    <col min="2817" max="2817" width="3.6328125" style="2392" customWidth="1"/>
    <col min="2818" max="2818" width="41.36328125" style="2392" customWidth="1"/>
    <col min="2819" max="2819" width="7.36328125" style="2392" customWidth="1"/>
    <col min="2820" max="2820" width="9.90625" style="2392" customWidth="1"/>
    <col min="2821" max="2821" width="8.453125" style="2392" customWidth="1"/>
    <col min="2822" max="2822" width="7.90625" style="2392" customWidth="1"/>
    <col min="2823" max="2823" width="10.81640625" style="2392" customWidth="1"/>
    <col min="2824" max="2824" width="14.1796875" style="2392" customWidth="1"/>
    <col min="2825" max="2825" width="15.6328125" style="2392" customWidth="1"/>
    <col min="2826" max="3072" width="7.453125" style="2392"/>
    <col min="3073" max="3073" width="3.6328125" style="2392" customWidth="1"/>
    <col min="3074" max="3074" width="41.36328125" style="2392" customWidth="1"/>
    <col min="3075" max="3075" width="7.36328125" style="2392" customWidth="1"/>
    <col min="3076" max="3076" width="9.90625" style="2392" customWidth="1"/>
    <col min="3077" max="3077" width="8.453125" style="2392" customWidth="1"/>
    <col min="3078" max="3078" width="7.90625" style="2392" customWidth="1"/>
    <col min="3079" max="3079" width="10.81640625" style="2392" customWidth="1"/>
    <col min="3080" max="3080" width="14.1796875" style="2392" customWidth="1"/>
    <col min="3081" max="3081" width="15.6328125" style="2392" customWidth="1"/>
    <col min="3082" max="3328" width="7.453125" style="2392"/>
    <col min="3329" max="3329" width="3.6328125" style="2392" customWidth="1"/>
    <col min="3330" max="3330" width="41.36328125" style="2392" customWidth="1"/>
    <col min="3331" max="3331" width="7.36328125" style="2392" customWidth="1"/>
    <col min="3332" max="3332" width="9.90625" style="2392" customWidth="1"/>
    <col min="3333" max="3333" width="8.453125" style="2392" customWidth="1"/>
    <col min="3334" max="3334" width="7.90625" style="2392" customWidth="1"/>
    <col min="3335" max="3335" width="10.81640625" style="2392" customWidth="1"/>
    <col min="3336" max="3336" width="14.1796875" style="2392" customWidth="1"/>
    <col min="3337" max="3337" width="15.6328125" style="2392" customWidth="1"/>
    <col min="3338" max="3584" width="7.453125" style="2392"/>
    <col min="3585" max="3585" width="3.6328125" style="2392" customWidth="1"/>
    <col min="3586" max="3586" width="41.36328125" style="2392" customWidth="1"/>
    <col min="3587" max="3587" width="7.36328125" style="2392" customWidth="1"/>
    <col min="3588" max="3588" width="9.90625" style="2392" customWidth="1"/>
    <col min="3589" max="3589" width="8.453125" style="2392" customWidth="1"/>
    <col min="3590" max="3590" width="7.90625" style="2392" customWidth="1"/>
    <col min="3591" max="3591" width="10.81640625" style="2392" customWidth="1"/>
    <col min="3592" max="3592" width="14.1796875" style="2392" customWidth="1"/>
    <col min="3593" max="3593" width="15.6328125" style="2392" customWidth="1"/>
    <col min="3594" max="3840" width="7.453125" style="2392"/>
    <col min="3841" max="3841" width="3.6328125" style="2392" customWidth="1"/>
    <col min="3842" max="3842" width="41.36328125" style="2392" customWidth="1"/>
    <col min="3843" max="3843" width="7.36328125" style="2392" customWidth="1"/>
    <col min="3844" max="3844" width="9.90625" style="2392" customWidth="1"/>
    <col min="3845" max="3845" width="8.453125" style="2392" customWidth="1"/>
    <col min="3846" max="3846" width="7.90625" style="2392" customWidth="1"/>
    <col min="3847" max="3847" width="10.81640625" style="2392" customWidth="1"/>
    <col min="3848" max="3848" width="14.1796875" style="2392" customWidth="1"/>
    <col min="3849" max="3849" width="15.6328125" style="2392" customWidth="1"/>
    <col min="3850" max="4096" width="7.453125" style="2392"/>
    <col min="4097" max="4097" width="3.6328125" style="2392" customWidth="1"/>
    <col min="4098" max="4098" width="41.36328125" style="2392" customWidth="1"/>
    <col min="4099" max="4099" width="7.36328125" style="2392" customWidth="1"/>
    <col min="4100" max="4100" width="9.90625" style="2392" customWidth="1"/>
    <col min="4101" max="4101" width="8.453125" style="2392" customWidth="1"/>
    <col min="4102" max="4102" width="7.90625" style="2392" customWidth="1"/>
    <col min="4103" max="4103" width="10.81640625" style="2392" customWidth="1"/>
    <col min="4104" max="4104" width="14.1796875" style="2392" customWidth="1"/>
    <col min="4105" max="4105" width="15.6328125" style="2392" customWidth="1"/>
    <col min="4106" max="4352" width="7.453125" style="2392"/>
    <col min="4353" max="4353" width="3.6328125" style="2392" customWidth="1"/>
    <col min="4354" max="4354" width="41.36328125" style="2392" customWidth="1"/>
    <col min="4355" max="4355" width="7.36328125" style="2392" customWidth="1"/>
    <col min="4356" max="4356" width="9.90625" style="2392" customWidth="1"/>
    <col min="4357" max="4357" width="8.453125" style="2392" customWidth="1"/>
    <col min="4358" max="4358" width="7.90625" style="2392" customWidth="1"/>
    <col min="4359" max="4359" width="10.81640625" style="2392" customWidth="1"/>
    <col min="4360" max="4360" width="14.1796875" style="2392" customWidth="1"/>
    <col min="4361" max="4361" width="15.6328125" style="2392" customWidth="1"/>
    <col min="4362" max="4608" width="7.453125" style="2392"/>
    <col min="4609" max="4609" width="3.6328125" style="2392" customWidth="1"/>
    <col min="4610" max="4610" width="41.36328125" style="2392" customWidth="1"/>
    <col min="4611" max="4611" width="7.36328125" style="2392" customWidth="1"/>
    <col min="4612" max="4612" width="9.90625" style="2392" customWidth="1"/>
    <col min="4613" max="4613" width="8.453125" style="2392" customWidth="1"/>
    <col min="4614" max="4614" width="7.90625" style="2392" customWidth="1"/>
    <col min="4615" max="4615" width="10.81640625" style="2392" customWidth="1"/>
    <col min="4616" max="4616" width="14.1796875" style="2392" customWidth="1"/>
    <col min="4617" max="4617" width="15.6328125" style="2392" customWidth="1"/>
    <col min="4618" max="4864" width="7.453125" style="2392"/>
    <col min="4865" max="4865" width="3.6328125" style="2392" customWidth="1"/>
    <col min="4866" max="4866" width="41.36328125" style="2392" customWidth="1"/>
    <col min="4867" max="4867" width="7.36328125" style="2392" customWidth="1"/>
    <col min="4868" max="4868" width="9.90625" style="2392" customWidth="1"/>
    <col min="4869" max="4869" width="8.453125" style="2392" customWidth="1"/>
    <col min="4870" max="4870" width="7.90625" style="2392" customWidth="1"/>
    <col min="4871" max="4871" width="10.81640625" style="2392" customWidth="1"/>
    <col min="4872" max="4872" width="14.1796875" style="2392" customWidth="1"/>
    <col min="4873" max="4873" width="15.6328125" style="2392" customWidth="1"/>
    <col min="4874" max="5120" width="7.453125" style="2392"/>
    <col min="5121" max="5121" width="3.6328125" style="2392" customWidth="1"/>
    <col min="5122" max="5122" width="41.36328125" style="2392" customWidth="1"/>
    <col min="5123" max="5123" width="7.36328125" style="2392" customWidth="1"/>
    <col min="5124" max="5124" width="9.90625" style="2392" customWidth="1"/>
    <col min="5125" max="5125" width="8.453125" style="2392" customWidth="1"/>
    <col min="5126" max="5126" width="7.90625" style="2392" customWidth="1"/>
    <col min="5127" max="5127" width="10.81640625" style="2392" customWidth="1"/>
    <col min="5128" max="5128" width="14.1796875" style="2392" customWidth="1"/>
    <col min="5129" max="5129" width="15.6328125" style="2392" customWidth="1"/>
    <col min="5130" max="5376" width="7.453125" style="2392"/>
    <col min="5377" max="5377" width="3.6328125" style="2392" customWidth="1"/>
    <col min="5378" max="5378" width="41.36328125" style="2392" customWidth="1"/>
    <col min="5379" max="5379" width="7.36328125" style="2392" customWidth="1"/>
    <col min="5380" max="5380" width="9.90625" style="2392" customWidth="1"/>
    <col min="5381" max="5381" width="8.453125" style="2392" customWidth="1"/>
    <col min="5382" max="5382" width="7.90625" style="2392" customWidth="1"/>
    <col min="5383" max="5383" width="10.81640625" style="2392" customWidth="1"/>
    <col min="5384" max="5384" width="14.1796875" style="2392" customWidth="1"/>
    <col min="5385" max="5385" width="15.6328125" style="2392" customWidth="1"/>
    <col min="5386" max="5632" width="7.453125" style="2392"/>
    <col min="5633" max="5633" width="3.6328125" style="2392" customWidth="1"/>
    <col min="5634" max="5634" width="41.36328125" style="2392" customWidth="1"/>
    <col min="5635" max="5635" width="7.36328125" style="2392" customWidth="1"/>
    <col min="5636" max="5636" width="9.90625" style="2392" customWidth="1"/>
    <col min="5637" max="5637" width="8.453125" style="2392" customWidth="1"/>
    <col min="5638" max="5638" width="7.90625" style="2392" customWidth="1"/>
    <col min="5639" max="5639" width="10.81640625" style="2392" customWidth="1"/>
    <col min="5640" max="5640" width="14.1796875" style="2392" customWidth="1"/>
    <col min="5641" max="5641" width="15.6328125" style="2392" customWidth="1"/>
    <col min="5642" max="5888" width="7.453125" style="2392"/>
    <col min="5889" max="5889" width="3.6328125" style="2392" customWidth="1"/>
    <col min="5890" max="5890" width="41.36328125" style="2392" customWidth="1"/>
    <col min="5891" max="5891" width="7.36328125" style="2392" customWidth="1"/>
    <col min="5892" max="5892" width="9.90625" style="2392" customWidth="1"/>
    <col min="5893" max="5893" width="8.453125" style="2392" customWidth="1"/>
    <col min="5894" max="5894" width="7.90625" style="2392" customWidth="1"/>
    <col min="5895" max="5895" width="10.81640625" style="2392" customWidth="1"/>
    <col min="5896" max="5896" width="14.1796875" style="2392" customWidth="1"/>
    <col min="5897" max="5897" width="15.6328125" style="2392" customWidth="1"/>
    <col min="5898" max="6144" width="7.453125" style="2392"/>
    <col min="6145" max="6145" width="3.6328125" style="2392" customWidth="1"/>
    <col min="6146" max="6146" width="41.36328125" style="2392" customWidth="1"/>
    <col min="6147" max="6147" width="7.36328125" style="2392" customWidth="1"/>
    <col min="6148" max="6148" width="9.90625" style="2392" customWidth="1"/>
    <col min="6149" max="6149" width="8.453125" style="2392" customWidth="1"/>
    <col min="6150" max="6150" width="7.90625" style="2392" customWidth="1"/>
    <col min="6151" max="6151" width="10.81640625" style="2392" customWidth="1"/>
    <col min="6152" max="6152" width="14.1796875" style="2392" customWidth="1"/>
    <col min="6153" max="6153" width="15.6328125" style="2392" customWidth="1"/>
    <col min="6154" max="6400" width="7.453125" style="2392"/>
    <col min="6401" max="6401" width="3.6328125" style="2392" customWidth="1"/>
    <col min="6402" max="6402" width="41.36328125" style="2392" customWidth="1"/>
    <col min="6403" max="6403" width="7.36328125" style="2392" customWidth="1"/>
    <col min="6404" max="6404" width="9.90625" style="2392" customWidth="1"/>
    <col min="6405" max="6405" width="8.453125" style="2392" customWidth="1"/>
    <col min="6406" max="6406" width="7.90625" style="2392" customWidth="1"/>
    <col min="6407" max="6407" width="10.81640625" style="2392" customWidth="1"/>
    <col min="6408" max="6408" width="14.1796875" style="2392" customWidth="1"/>
    <col min="6409" max="6409" width="15.6328125" style="2392" customWidth="1"/>
    <col min="6410" max="6656" width="7.453125" style="2392"/>
    <col min="6657" max="6657" width="3.6328125" style="2392" customWidth="1"/>
    <col min="6658" max="6658" width="41.36328125" style="2392" customWidth="1"/>
    <col min="6659" max="6659" width="7.36328125" style="2392" customWidth="1"/>
    <col min="6660" max="6660" width="9.90625" style="2392" customWidth="1"/>
    <col min="6661" max="6661" width="8.453125" style="2392" customWidth="1"/>
    <col min="6662" max="6662" width="7.90625" style="2392" customWidth="1"/>
    <col min="6663" max="6663" width="10.81640625" style="2392" customWidth="1"/>
    <col min="6664" max="6664" width="14.1796875" style="2392" customWidth="1"/>
    <col min="6665" max="6665" width="15.6328125" style="2392" customWidth="1"/>
    <col min="6666" max="6912" width="7.453125" style="2392"/>
    <col min="6913" max="6913" width="3.6328125" style="2392" customWidth="1"/>
    <col min="6914" max="6914" width="41.36328125" style="2392" customWidth="1"/>
    <col min="6915" max="6915" width="7.36328125" style="2392" customWidth="1"/>
    <col min="6916" max="6916" width="9.90625" style="2392" customWidth="1"/>
    <col min="6917" max="6917" width="8.453125" style="2392" customWidth="1"/>
    <col min="6918" max="6918" width="7.90625" style="2392" customWidth="1"/>
    <col min="6919" max="6919" width="10.81640625" style="2392" customWidth="1"/>
    <col min="6920" max="6920" width="14.1796875" style="2392" customWidth="1"/>
    <col min="6921" max="6921" width="15.6328125" style="2392" customWidth="1"/>
    <col min="6922" max="7168" width="7.453125" style="2392"/>
    <col min="7169" max="7169" width="3.6328125" style="2392" customWidth="1"/>
    <col min="7170" max="7170" width="41.36328125" style="2392" customWidth="1"/>
    <col min="7171" max="7171" width="7.36328125" style="2392" customWidth="1"/>
    <col min="7172" max="7172" width="9.90625" style="2392" customWidth="1"/>
    <col min="7173" max="7173" width="8.453125" style="2392" customWidth="1"/>
    <col min="7174" max="7174" width="7.90625" style="2392" customWidth="1"/>
    <col min="7175" max="7175" width="10.81640625" style="2392" customWidth="1"/>
    <col min="7176" max="7176" width="14.1796875" style="2392" customWidth="1"/>
    <col min="7177" max="7177" width="15.6328125" style="2392" customWidth="1"/>
    <col min="7178" max="7424" width="7.453125" style="2392"/>
    <col min="7425" max="7425" width="3.6328125" style="2392" customWidth="1"/>
    <col min="7426" max="7426" width="41.36328125" style="2392" customWidth="1"/>
    <col min="7427" max="7427" width="7.36328125" style="2392" customWidth="1"/>
    <col min="7428" max="7428" width="9.90625" style="2392" customWidth="1"/>
    <col min="7429" max="7429" width="8.453125" style="2392" customWidth="1"/>
    <col min="7430" max="7430" width="7.90625" style="2392" customWidth="1"/>
    <col min="7431" max="7431" width="10.81640625" style="2392" customWidth="1"/>
    <col min="7432" max="7432" width="14.1796875" style="2392" customWidth="1"/>
    <col min="7433" max="7433" width="15.6328125" style="2392" customWidth="1"/>
    <col min="7434" max="7680" width="7.453125" style="2392"/>
    <col min="7681" max="7681" width="3.6328125" style="2392" customWidth="1"/>
    <col min="7682" max="7682" width="41.36328125" style="2392" customWidth="1"/>
    <col min="7683" max="7683" width="7.36328125" style="2392" customWidth="1"/>
    <col min="7684" max="7684" width="9.90625" style="2392" customWidth="1"/>
    <col min="7685" max="7685" width="8.453125" style="2392" customWidth="1"/>
    <col min="7686" max="7686" width="7.90625" style="2392" customWidth="1"/>
    <col min="7687" max="7687" width="10.81640625" style="2392" customWidth="1"/>
    <col min="7688" max="7688" width="14.1796875" style="2392" customWidth="1"/>
    <col min="7689" max="7689" width="15.6328125" style="2392" customWidth="1"/>
    <col min="7690" max="7936" width="7.453125" style="2392"/>
    <col min="7937" max="7937" width="3.6328125" style="2392" customWidth="1"/>
    <col min="7938" max="7938" width="41.36328125" style="2392" customWidth="1"/>
    <col min="7939" max="7939" width="7.36328125" style="2392" customWidth="1"/>
    <col min="7940" max="7940" width="9.90625" style="2392" customWidth="1"/>
    <col min="7941" max="7941" width="8.453125" style="2392" customWidth="1"/>
    <col min="7942" max="7942" width="7.90625" style="2392" customWidth="1"/>
    <col min="7943" max="7943" width="10.81640625" style="2392" customWidth="1"/>
    <col min="7944" max="7944" width="14.1796875" style="2392" customWidth="1"/>
    <col min="7945" max="7945" width="15.6328125" style="2392" customWidth="1"/>
    <col min="7946" max="8192" width="7.453125" style="2392"/>
    <col min="8193" max="8193" width="3.6328125" style="2392" customWidth="1"/>
    <col min="8194" max="8194" width="41.36328125" style="2392" customWidth="1"/>
    <col min="8195" max="8195" width="7.36328125" style="2392" customWidth="1"/>
    <col min="8196" max="8196" width="9.90625" style="2392" customWidth="1"/>
    <col min="8197" max="8197" width="8.453125" style="2392" customWidth="1"/>
    <col min="8198" max="8198" width="7.90625" style="2392" customWidth="1"/>
    <col min="8199" max="8199" width="10.81640625" style="2392" customWidth="1"/>
    <col min="8200" max="8200" width="14.1796875" style="2392" customWidth="1"/>
    <col min="8201" max="8201" width="15.6328125" style="2392" customWidth="1"/>
    <col min="8202" max="8448" width="7.453125" style="2392"/>
    <col min="8449" max="8449" width="3.6328125" style="2392" customWidth="1"/>
    <col min="8450" max="8450" width="41.36328125" style="2392" customWidth="1"/>
    <col min="8451" max="8451" width="7.36328125" style="2392" customWidth="1"/>
    <col min="8452" max="8452" width="9.90625" style="2392" customWidth="1"/>
    <col min="8453" max="8453" width="8.453125" style="2392" customWidth="1"/>
    <col min="8454" max="8454" width="7.90625" style="2392" customWidth="1"/>
    <col min="8455" max="8455" width="10.81640625" style="2392" customWidth="1"/>
    <col min="8456" max="8456" width="14.1796875" style="2392" customWidth="1"/>
    <col min="8457" max="8457" width="15.6328125" style="2392" customWidth="1"/>
    <col min="8458" max="8704" width="7.453125" style="2392"/>
    <col min="8705" max="8705" width="3.6328125" style="2392" customWidth="1"/>
    <col min="8706" max="8706" width="41.36328125" style="2392" customWidth="1"/>
    <col min="8707" max="8707" width="7.36328125" style="2392" customWidth="1"/>
    <col min="8708" max="8708" width="9.90625" style="2392" customWidth="1"/>
    <col min="8709" max="8709" width="8.453125" style="2392" customWidth="1"/>
    <col min="8710" max="8710" width="7.90625" style="2392" customWidth="1"/>
    <col min="8711" max="8711" width="10.81640625" style="2392" customWidth="1"/>
    <col min="8712" max="8712" width="14.1796875" style="2392" customWidth="1"/>
    <col min="8713" max="8713" width="15.6328125" style="2392" customWidth="1"/>
    <col min="8714" max="8960" width="7.453125" style="2392"/>
    <col min="8961" max="8961" width="3.6328125" style="2392" customWidth="1"/>
    <col min="8962" max="8962" width="41.36328125" style="2392" customWidth="1"/>
    <col min="8963" max="8963" width="7.36328125" style="2392" customWidth="1"/>
    <col min="8964" max="8964" width="9.90625" style="2392" customWidth="1"/>
    <col min="8965" max="8965" width="8.453125" style="2392" customWidth="1"/>
    <col min="8966" max="8966" width="7.90625" style="2392" customWidth="1"/>
    <col min="8967" max="8967" width="10.81640625" style="2392" customWidth="1"/>
    <col min="8968" max="8968" width="14.1796875" style="2392" customWidth="1"/>
    <col min="8969" max="8969" width="15.6328125" style="2392" customWidth="1"/>
    <col min="8970" max="9216" width="7.453125" style="2392"/>
    <col min="9217" max="9217" width="3.6328125" style="2392" customWidth="1"/>
    <col min="9218" max="9218" width="41.36328125" style="2392" customWidth="1"/>
    <col min="9219" max="9219" width="7.36328125" style="2392" customWidth="1"/>
    <col min="9220" max="9220" width="9.90625" style="2392" customWidth="1"/>
    <col min="9221" max="9221" width="8.453125" style="2392" customWidth="1"/>
    <col min="9222" max="9222" width="7.90625" style="2392" customWidth="1"/>
    <col min="9223" max="9223" width="10.81640625" style="2392" customWidth="1"/>
    <col min="9224" max="9224" width="14.1796875" style="2392" customWidth="1"/>
    <col min="9225" max="9225" width="15.6328125" style="2392" customWidth="1"/>
    <col min="9226" max="9472" width="7.453125" style="2392"/>
    <col min="9473" max="9473" width="3.6328125" style="2392" customWidth="1"/>
    <col min="9474" max="9474" width="41.36328125" style="2392" customWidth="1"/>
    <col min="9475" max="9475" width="7.36328125" style="2392" customWidth="1"/>
    <col min="9476" max="9476" width="9.90625" style="2392" customWidth="1"/>
    <col min="9477" max="9477" width="8.453125" style="2392" customWidth="1"/>
    <col min="9478" max="9478" width="7.90625" style="2392" customWidth="1"/>
    <col min="9479" max="9479" width="10.81640625" style="2392" customWidth="1"/>
    <col min="9480" max="9480" width="14.1796875" style="2392" customWidth="1"/>
    <col min="9481" max="9481" width="15.6328125" style="2392" customWidth="1"/>
    <col min="9482" max="9728" width="7.453125" style="2392"/>
    <col min="9729" max="9729" width="3.6328125" style="2392" customWidth="1"/>
    <col min="9730" max="9730" width="41.36328125" style="2392" customWidth="1"/>
    <col min="9731" max="9731" width="7.36328125" style="2392" customWidth="1"/>
    <col min="9732" max="9732" width="9.90625" style="2392" customWidth="1"/>
    <col min="9733" max="9733" width="8.453125" style="2392" customWidth="1"/>
    <col min="9734" max="9734" width="7.90625" style="2392" customWidth="1"/>
    <col min="9735" max="9735" width="10.81640625" style="2392" customWidth="1"/>
    <col min="9736" max="9736" width="14.1796875" style="2392" customWidth="1"/>
    <col min="9737" max="9737" width="15.6328125" style="2392" customWidth="1"/>
    <col min="9738" max="9984" width="7.453125" style="2392"/>
    <col min="9985" max="9985" width="3.6328125" style="2392" customWidth="1"/>
    <col min="9986" max="9986" width="41.36328125" style="2392" customWidth="1"/>
    <col min="9987" max="9987" width="7.36328125" style="2392" customWidth="1"/>
    <col min="9988" max="9988" width="9.90625" style="2392" customWidth="1"/>
    <col min="9989" max="9989" width="8.453125" style="2392" customWidth="1"/>
    <col min="9990" max="9990" width="7.90625" style="2392" customWidth="1"/>
    <col min="9991" max="9991" width="10.81640625" style="2392" customWidth="1"/>
    <col min="9992" max="9992" width="14.1796875" style="2392" customWidth="1"/>
    <col min="9993" max="9993" width="15.6328125" style="2392" customWidth="1"/>
    <col min="9994" max="10240" width="7.453125" style="2392"/>
    <col min="10241" max="10241" width="3.6328125" style="2392" customWidth="1"/>
    <col min="10242" max="10242" width="41.36328125" style="2392" customWidth="1"/>
    <col min="10243" max="10243" width="7.36328125" style="2392" customWidth="1"/>
    <col min="10244" max="10244" width="9.90625" style="2392" customWidth="1"/>
    <col min="10245" max="10245" width="8.453125" style="2392" customWidth="1"/>
    <col min="10246" max="10246" width="7.90625" style="2392" customWidth="1"/>
    <col min="10247" max="10247" width="10.81640625" style="2392" customWidth="1"/>
    <col min="10248" max="10248" width="14.1796875" style="2392" customWidth="1"/>
    <col min="10249" max="10249" width="15.6328125" style="2392" customWidth="1"/>
    <col min="10250" max="10496" width="7.453125" style="2392"/>
    <col min="10497" max="10497" width="3.6328125" style="2392" customWidth="1"/>
    <col min="10498" max="10498" width="41.36328125" style="2392" customWidth="1"/>
    <col min="10499" max="10499" width="7.36328125" style="2392" customWidth="1"/>
    <col min="10500" max="10500" width="9.90625" style="2392" customWidth="1"/>
    <col min="10501" max="10501" width="8.453125" style="2392" customWidth="1"/>
    <col min="10502" max="10502" width="7.90625" style="2392" customWidth="1"/>
    <col min="10503" max="10503" width="10.81640625" style="2392" customWidth="1"/>
    <col min="10504" max="10504" width="14.1796875" style="2392" customWidth="1"/>
    <col min="10505" max="10505" width="15.6328125" style="2392" customWidth="1"/>
    <col min="10506" max="10752" width="7.453125" style="2392"/>
    <col min="10753" max="10753" width="3.6328125" style="2392" customWidth="1"/>
    <col min="10754" max="10754" width="41.36328125" style="2392" customWidth="1"/>
    <col min="10755" max="10755" width="7.36328125" style="2392" customWidth="1"/>
    <col min="10756" max="10756" width="9.90625" style="2392" customWidth="1"/>
    <col min="10757" max="10757" width="8.453125" style="2392" customWidth="1"/>
    <col min="10758" max="10758" width="7.90625" style="2392" customWidth="1"/>
    <col min="10759" max="10759" width="10.81640625" style="2392" customWidth="1"/>
    <col min="10760" max="10760" width="14.1796875" style="2392" customWidth="1"/>
    <col min="10761" max="10761" width="15.6328125" style="2392" customWidth="1"/>
    <col min="10762" max="11008" width="7.453125" style="2392"/>
    <col min="11009" max="11009" width="3.6328125" style="2392" customWidth="1"/>
    <col min="11010" max="11010" width="41.36328125" style="2392" customWidth="1"/>
    <col min="11011" max="11011" width="7.36328125" style="2392" customWidth="1"/>
    <col min="11012" max="11012" width="9.90625" style="2392" customWidth="1"/>
    <col min="11013" max="11013" width="8.453125" style="2392" customWidth="1"/>
    <col min="11014" max="11014" width="7.90625" style="2392" customWidth="1"/>
    <col min="11015" max="11015" width="10.81640625" style="2392" customWidth="1"/>
    <col min="11016" max="11016" width="14.1796875" style="2392" customWidth="1"/>
    <col min="11017" max="11017" width="15.6328125" style="2392" customWidth="1"/>
    <col min="11018" max="11264" width="7.453125" style="2392"/>
    <col min="11265" max="11265" width="3.6328125" style="2392" customWidth="1"/>
    <col min="11266" max="11266" width="41.36328125" style="2392" customWidth="1"/>
    <col min="11267" max="11267" width="7.36328125" style="2392" customWidth="1"/>
    <col min="11268" max="11268" width="9.90625" style="2392" customWidth="1"/>
    <col min="11269" max="11269" width="8.453125" style="2392" customWidth="1"/>
    <col min="11270" max="11270" width="7.90625" style="2392" customWidth="1"/>
    <col min="11271" max="11271" width="10.81640625" style="2392" customWidth="1"/>
    <col min="11272" max="11272" width="14.1796875" style="2392" customWidth="1"/>
    <col min="11273" max="11273" width="15.6328125" style="2392" customWidth="1"/>
    <col min="11274" max="11520" width="7.453125" style="2392"/>
    <col min="11521" max="11521" width="3.6328125" style="2392" customWidth="1"/>
    <col min="11522" max="11522" width="41.36328125" style="2392" customWidth="1"/>
    <col min="11523" max="11523" width="7.36328125" style="2392" customWidth="1"/>
    <col min="11524" max="11524" width="9.90625" style="2392" customWidth="1"/>
    <col min="11525" max="11525" width="8.453125" style="2392" customWidth="1"/>
    <col min="11526" max="11526" width="7.90625" style="2392" customWidth="1"/>
    <col min="11527" max="11527" width="10.81640625" style="2392" customWidth="1"/>
    <col min="11528" max="11528" width="14.1796875" style="2392" customWidth="1"/>
    <col min="11529" max="11529" width="15.6328125" style="2392" customWidth="1"/>
    <col min="11530" max="11776" width="7.453125" style="2392"/>
    <col min="11777" max="11777" width="3.6328125" style="2392" customWidth="1"/>
    <col min="11778" max="11778" width="41.36328125" style="2392" customWidth="1"/>
    <col min="11779" max="11779" width="7.36328125" style="2392" customWidth="1"/>
    <col min="11780" max="11780" width="9.90625" style="2392" customWidth="1"/>
    <col min="11781" max="11781" width="8.453125" style="2392" customWidth="1"/>
    <col min="11782" max="11782" width="7.90625" style="2392" customWidth="1"/>
    <col min="11783" max="11783" width="10.81640625" style="2392" customWidth="1"/>
    <col min="11784" max="11784" width="14.1796875" style="2392" customWidth="1"/>
    <col min="11785" max="11785" width="15.6328125" style="2392" customWidth="1"/>
    <col min="11786" max="12032" width="7.453125" style="2392"/>
    <col min="12033" max="12033" width="3.6328125" style="2392" customWidth="1"/>
    <col min="12034" max="12034" width="41.36328125" style="2392" customWidth="1"/>
    <col min="12035" max="12035" width="7.36328125" style="2392" customWidth="1"/>
    <col min="12036" max="12036" width="9.90625" style="2392" customWidth="1"/>
    <col min="12037" max="12037" width="8.453125" style="2392" customWidth="1"/>
    <col min="12038" max="12038" width="7.90625" style="2392" customWidth="1"/>
    <col min="12039" max="12039" width="10.81640625" style="2392" customWidth="1"/>
    <col min="12040" max="12040" width="14.1796875" style="2392" customWidth="1"/>
    <col min="12041" max="12041" width="15.6328125" style="2392" customWidth="1"/>
    <col min="12042" max="12288" width="7.453125" style="2392"/>
    <col min="12289" max="12289" width="3.6328125" style="2392" customWidth="1"/>
    <col min="12290" max="12290" width="41.36328125" style="2392" customWidth="1"/>
    <col min="12291" max="12291" width="7.36328125" style="2392" customWidth="1"/>
    <col min="12292" max="12292" width="9.90625" style="2392" customWidth="1"/>
    <col min="12293" max="12293" width="8.453125" style="2392" customWidth="1"/>
    <col min="12294" max="12294" width="7.90625" style="2392" customWidth="1"/>
    <col min="12295" max="12295" width="10.81640625" style="2392" customWidth="1"/>
    <col min="12296" max="12296" width="14.1796875" style="2392" customWidth="1"/>
    <col min="12297" max="12297" width="15.6328125" style="2392" customWidth="1"/>
    <col min="12298" max="12544" width="7.453125" style="2392"/>
    <col min="12545" max="12545" width="3.6328125" style="2392" customWidth="1"/>
    <col min="12546" max="12546" width="41.36328125" style="2392" customWidth="1"/>
    <col min="12547" max="12547" width="7.36328125" style="2392" customWidth="1"/>
    <col min="12548" max="12548" width="9.90625" style="2392" customWidth="1"/>
    <col min="12549" max="12549" width="8.453125" style="2392" customWidth="1"/>
    <col min="12550" max="12550" width="7.90625" style="2392" customWidth="1"/>
    <col min="12551" max="12551" width="10.81640625" style="2392" customWidth="1"/>
    <col min="12552" max="12552" width="14.1796875" style="2392" customWidth="1"/>
    <col min="12553" max="12553" width="15.6328125" style="2392" customWidth="1"/>
    <col min="12554" max="12800" width="7.453125" style="2392"/>
    <col min="12801" max="12801" width="3.6328125" style="2392" customWidth="1"/>
    <col min="12802" max="12802" width="41.36328125" style="2392" customWidth="1"/>
    <col min="12803" max="12803" width="7.36328125" style="2392" customWidth="1"/>
    <col min="12804" max="12804" width="9.90625" style="2392" customWidth="1"/>
    <col min="12805" max="12805" width="8.453125" style="2392" customWidth="1"/>
    <col min="12806" max="12806" width="7.90625" style="2392" customWidth="1"/>
    <col min="12807" max="12807" width="10.81640625" style="2392" customWidth="1"/>
    <col min="12808" max="12808" width="14.1796875" style="2392" customWidth="1"/>
    <col min="12809" max="12809" width="15.6328125" style="2392" customWidth="1"/>
    <col min="12810" max="13056" width="7.453125" style="2392"/>
    <col min="13057" max="13057" width="3.6328125" style="2392" customWidth="1"/>
    <col min="13058" max="13058" width="41.36328125" style="2392" customWidth="1"/>
    <col min="13059" max="13059" width="7.36328125" style="2392" customWidth="1"/>
    <col min="13060" max="13060" width="9.90625" style="2392" customWidth="1"/>
    <col min="13061" max="13061" width="8.453125" style="2392" customWidth="1"/>
    <col min="13062" max="13062" width="7.90625" style="2392" customWidth="1"/>
    <col min="13063" max="13063" width="10.81640625" style="2392" customWidth="1"/>
    <col min="13064" max="13064" width="14.1796875" style="2392" customWidth="1"/>
    <col min="13065" max="13065" width="15.6328125" style="2392" customWidth="1"/>
    <col min="13066" max="13312" width="7.453125" style="2392"/>
    <col min="13313" max="13313" width="3.6328125" style="2392" customWidth="1"/>
    <col min="13314" max="13314" width="41.36328125" style="2392" customWidth="1"/>
    <col min="13315" max="13315" width="7.36328125" style="2392" customWidth="1"/>
    <col min="13316" max="13316" width="9.90625" style="2392" customWidth="1"/>
    <col min="13317" max="13317" width="8.453125" style="2392" customWidth="1"/>
    <col min="13318" max="13318" width="7.90625" style="2392" customWidth="1"/>
    <col min="13319" max="13319" width="10.81640625" style="2392" customWidth="1"/>
    <col min="13320" max="13320" width="14.1796875" style="2392" customWidth="1"/>
    <col min="13321" max="13321" width="15.6328125" style="2392" customWidth="1"/>
    <col min="13322" max="13568" width="7.453125" style="2392"/>
    <col min="13569" max="13569" width="3.6328125" style="2392" customWidth="1"/>
    <col min="13570" max="13570" width="41.36328125" style="2392" customWidth="1"/>
    <col min="13571" max="13571" width="7.36328125" style="2392" customWidth="1"/>
    <col min="13572" max="13572" width="9.90625" style="2392" customWidth="1"/>
    <col min="13573" max="13573" width="8.453125" style="2392" customWidth="1"/>
    <col min="13574" max="13574" width="7.90625" style="2392" customWidth="1"/>
    <col min="13575" max="13575" width="10.81640625" style="2392" customWidth="1"/>
    <col min="13576" max="13576" width="14.1796875" style="2392" customWidth="1"/>
    <col min="13577" max="13577" width="15.6328125" style="2392" customWidth="1"/>
    <col min="13578" max="13824" width="7.453125" style="2392"/>
    <col min="13825" max="13825" width="3.6328125" style="2392" customWidth="1"/>
    <col min="13826" max="13826" width="41.36328125" style="2392" customWidth="1"/>
    <col min="13827" max="13827" width="7.36328125" style="2392" customWidth="1"/>
    <col min="13828" max="13828" width="9.90625" style="2392" customWidth="1"/>
    <col min="13829" max="13829" width="8.453125" style="2392" customWidth="1"/>
    <col min="13830" max="13830" width="7.90625" style="2392" customWidth="1"/>
    <col min="13831" max="13831" width="10.81640625" style="2392" customWidth="1"/>
    <col min="13832" max="13832" width="14.1796875" style="2392" customWidth="1"/>
    <col min="13833" max="13833" width="15.6328125" style="2392" customWidth="1"/>
    <col min="13834" max="14080" width="7.453125" style="2392"/>
    <col min="14081" max="14081" width="3.6328125" style="2392" customWidth="1"/>
    <col min="14082" max="14082" width="41.36328125" style="2392" customWidth="1"/>
    <col min="14083" max="14083" width="7.36328125" style="2392" customWidth="1"/>
    <col min="14084" max="14084" width="9.90625" style="2392" customWidth="1"/>
    <col min="14085" max="14085" width="8.453125" style="2392" customWidth="1"/>
    <col min="14086" max="14086" width="7.90625" style="2392" customWidth="1"/>
    <col min="14087" max="14087" width="10.81640625" style="2392" customWidth="1"/>
    <col min="14088" max="14088" width="14.1796875" style="2392" customWidth="1"/>
    <col min="14089" max="14089" width="15.6328125" style="2392" customWidth="1"/>
    <col min="14090" max="14336" width="7.453125" style="2392"/>
    <col min="14337" max="14337" width="3.6328125" style="2392" customWidth="1"/>
    <col min="14338" max="14338" width="41.36328125" style="2392" customWidth="1"/>
    <col min="14339" max="14339" width="7.36328125" style="2392" customWidth="1"/>
    <col min="14340" max="14340" width="9.90625" style="2392" customWidth="1"/>
    <col min="14341" max="14341" width="8.453125" style="2392" customWidth="1"/>
    <col min="14342" max="14342" width="7.90625" style="2392" customWidth="1"/>
    <col min="14343" max="14343" width="10.81640625" style="2392" customWidth="1"/>
    <col min="14344" max="14344" width="14.1796875" style="2392" customWidth="1"/>
    <col min="14345" max="14345" width="15.6328125" style="2392" customWidth="1"/>
    <col min="14346" max="14592" width="7.453125" style="2392"/>
    <col min="14593" max="14593" width="3.6328125" style="2392" customWidth="1"/>
    <col min="14594" max="14594" width="41.36328125" style="2392" customWidth="1"/>
    <col min="14595" max="14595" width="7.36328125" style="2392" customWidth="1"/>
    <col min="14596" max="14596" width="9.90625" style="2392" customWidth="1"/>
    <col min="14597" max="14597" width="8.453125" style="2392" customWidth="1"/>
    <col min="14598" max="14598" width="7.90625" style="2392" customWidth="1"/>
    <col min="14599" max="14599" width="10.81640625" style="2392" customWidth="1"/>
    <col min="14600" max="14600" width="14.1796875" style="2392" customWidth="1"/>
    <col min="14601" max="14601" width="15.6328125" style="2392" customWidth="1"/>
    <col min="14602" max="14848" width="7.453125" style="2392"/>
    <col min="14849" max="14849" width="3.6328125" style="2392" customWidth="1"/>
    <col min="14850" max="14850" width="41.36328125" style="2392" customWidth="1"/>
    <col min="14851" max="14851" width="7.36328125" style="2392" customWidth="1"/>
    <col min="14852" max="14852" width="9.90625" style="2392" customWidth="1"/>
    <col min="14853" max="14853" width="8.453125" style="2392" customWidth="1"/>
    <col min="14854" max="14854" width="7.90625" style="2392" customWidth="1"/>
    <col min="14855" max="14855" width="10.81640625" style="2392" customWidth="1"/>
    <col min="14856" max="14856" width="14.1796875" style="2392" customWidth="1"/>
    <col min="14857" max="14857" width="15.6328125" style="2392" customWidth="1"/>
    <col min="14858" max="15104" width="7.453125" style="2392"/>
    <col min="15105" max="15105" width="3.6328125" style="2392" customWidth="1"/>
    <col min="15106" max="15106" width="41.36328125" style="2392" customWidth="1"/>
    <col min="15107" max="15107" width="7.36328125" style="2392" customWidth="1"/>
    <col min="15108" max="15108" width="9.90625" style="2392" customWidth="1"/>
    <col min="15109" max="15109" width="8.453125" style="2392" customWidth="1"/>
    <col min="15110" max="15110" width="7.90625" style="2392" customWidth="1"/>
    <col min="15111" max="15111" width="10.81640625" style="2392" customWidth="1"/>
    <col min="15112" max="15112" width="14.1796875" style="2392" customWidth="1"/>
    <col min="15113" max="15113" width="15.6328125" style="2392" customWidth="1"/>
    <col min="15114" max="15360" width="7.453125" style="2392"/>
    <col min="15361" max="15361" width="3.6328125" style="2392" customWidth="1"/>
    <col min="15362" max="15362" width="41.36328125" style="2392" customWidth="1"/>
    <col min="15363" max="15363" width="7.36328125" style="2392" customWidth="1"/>
    <col min="15364" max="15364" width="9.90625" style="2392" customWidth="1"/>
    <col min="15365" max="15365" width="8.453125" style="2392" customWidth="1"/>
    <col min="15366" max="15366" width="7.90625" style="2392" customWidth="1"/>
    <col min="15367" max="15367" width="10.81640625" style="2392" customWidth="1"/>
    <col min="15368" max="15368" width="14.1796875" style="2392" customWidth="1"/>
    <col min="15369" max="15369" width="15.6328125" style="2392" customWidth="1"/>
    <col min="15370" max="15616" width="7.453125" style="2392"/>
    <col min="15617" max="15617" width="3.6328125" style="2392" customWidth="1"/>
    <col min="15618" max="15618" width="41.36328125" style="2392" customWidth="1"/>
    <col min="15619" max="15619" width="7.36328125" style="2392" customWidth="1"/>
    <col min="15620" max="15620" width="9.90625" style="2392" customWidth="1"/>
    <col min="15621" max="15621" width="8.453125" style="2392" customWidth="1"/>
    <col min="15622" max="15622" width="7.90625" style="2392" customWidth="1"/>
    <col min="15623" max="15623" width="10.81640625" style="2392" customWidth="1"/>
    <col min="15624" max="15624" width="14.1796875" style="2392" customWidth="1"/>
    <col min="15625" max="15625" width="15.6328125" style="2392" customWidth="1"/>
    <col min="15626" max="15872" width="7.453125" style="2392"/>
    <col min="15873" max="15873" width="3.6328125" style="2392" customWidth="1"/>
    <col min="15874" max="15874" width="41.36328125" style="2392" customWidth="1"/>
    <col min="15875" max="15875" width="7.36328125" style="2392" customWidth="1"/>
    <col min="15876" max="15876" width="9.90625" style="2392" customWidth="1"/>
    <col min="15877" max="15877" width="8.453125" style="2392" customWidth="1"/>
    <col min="15878" max="15878" width="7.90625" style="2392" customWidth="1"/>
    <col min="15879" max="15879" width="10.81640625" style="2392" customWidth="1"/>
    <col min="15880" max="15880" width="14.1796875" style="2392" customWidth="1"/>
    <col min="15881" max="15881" width="15.6328125" style="2392" customWidth="1"/>
    <col min="15882" max="16128" width="7.453125" style="2392"/>
    <col min="16129" max="16129" width="3.6328125" style="2392" customWidth="1"/>
    <col min="16130" max="16130" width="41.36328125" style="2392" customWidth="1"/>
    <col min="16131" max="16131" width="7.36328125" style="2392" customWidth="1"/>
    <col min="16132" max="16132" width="9.90625" style="2392" customWidth="1"/>
    <col min="16133" max="16133" width="8.453125" style="2392" customWidth="1"/>
    <col min="16134" max="16134" width="7.90625" style="2392" customWidth="1"/>
    <col min="16135" max="16135" width="10.81640625" style="2392" customWidth="1"/>
    <col min="16136" max="16136" width="14.1796875" style="2392" customWidth="1"/>
    <col min="16137" max="16137" width="15.6328125" style="2392" customWidth="1"/>
    <col min="16138" max="16384" width="7.453125" style="2392"/>
  </cols>
  <sheetData>
    <row r="1" spans="1:10" ht="27" customHeight="1">
      <c r="A1" s="2765" t="s">
        <v>5132</v>
      </c>
      <c r="B1" s="2765"/>
      <c r="C1" s="2765"/>
      <c r="D1" s="2765"/>
      <c r="E1" s="2765"/>
      <c r="F1" s="2765"/>
      <c r="G1" s="2765"/>
      <c r="H1" s="2765"/>
    </row>
    <row r="2" spans="1:10" ht="15" customHeight="1">
      <c r="A2" s="2765" t="s">
        <v>5133</v>
      </c>
      <c r="B2" s="2765"/>
      <c r="C2" s="2765"/>
      <c r="D2" s="2765"/>
      <c r="E2" s="2765"/>
      <c r="F2" s="2765"/>
      <c r="G2" s="2765"/>
      <c r="H2" s="2765"/>
    </row>
    <row r="3" spans="1:10">
      <c r="A3" s="2765" t="s">
        <v>4914</v>
      </c>
      <c r="B3" s="2765"/>
      <c r="C3" s="2765"/>
      <c r="D3" s="2765"/>
      <c r="E3" s="2765"/>
      <c r="F3" s="2765"/>
      <c r="G3" s="2765"/>
      <c r="H3" s="2765"/>
    </row>
    <row r="4" spans="1:10">
      <c r="A4" s="2765" t="s">
        <v>4915</v>
      </c>
      <c r="B4" s="2765"/>
      <c r="C4" s="2765"/>
      <c r="D4" s="2765"/>
      <c r="E4" s="2765"/>
      <c r="F4" s="2765"/>
      <c r="G4" s="2765"/>
      <c r="H4" s="2765"/>
    </row>
    <row r="5" spans="1:10">
      <c r="A5" s="2765" t="s">
        <v>5134</v>
      </c>
      <c r="B5" s="2765"/>
      <c r="C5" s="2765"/>
      <c r="D5" s="2765"/>
      <c r="E5" s="2765"/>
      <c r="F5" s="2765"/>
      <c r="G5" s="2765"/>
      <c r="H5" s="2765"/>
    </row>
    <row r="6" spans="1:10" ht="3" customHeight="1">
      <c r="A6" s="2411"/>
      <c r="B6" s="2411"/>
      <c r="C6" s="2411"/>
      <c r="D6" s="2411"/>
      <c r="E6" s="2411"/>
      <c r="F6" s="2411"/>
      <c r="G6" s="2412"/>
      <c r="H6" s="2413"/>
    </row>
    <row r="7" spans="1:10" s="2415" customFormat="1" ht="34.5" customHeight="1">
      <c r="A7" s="2804" t="s">
        <v>1714</v>
      </c>
      <c r="B7" s="2804" t="s">
        <v>5135</v>
      </c>
      <c r="C7" s="2796" t="s">
        <v>5136</v>
      </c>
      <c r="D7" s="2796" t="s">
        <v>5137</v>
      </c>
      <c r="E7" s="2796" t="s">
        <v>5138</v>
      </c>
      <c r="F7" s="2796" t="s">
        <v>5139</v>
      </c>
      <c r="G7" s="2796" t="s">
        <v>5140</v>
      </c>
      <c r="H7" s="2796" t="s">
        <v>5141</v>
      </c>
      <c r="I7" s="2798" t="s">
        <v>4201</v>
      </c>
      <c r="J7" s="2414"/>
    </row>
    <row r="8" spans="1:10" s="2415" customFormat="1" ht="33" customHeight="1">
      <c r="A8" s="2805"/>
      <c r="B8" s="2805"/>
      <c r="C8" s="2797"/>
      <c r="D8" s="2797"/>
      <c r="E8" s="2797"/>
      <c r="F8" s="2797"/>
      <c r="G8" s="2797"/>
      <c r="H8" s="2797"/>
      <c r="I8" s="2799"/>
      <c r="J8" s="2414"/>
    </row>
    <row r="9" spans="1:10" s="2323" customFormat="1" ht="20.25" customHeight="1">
      <c r="A9" s="2327" t="s">
        <v>501</v>
      </c>
      <c r="B9" s="2328" t="s">
        <v>4925</v>
      </c>
      <c r="C9" s="2327"/>
      <c r="D9" s="2416"/>
      <c r="E9" s="2416"/>
      <c r="F9" s="2416"/>
      <c r="G9" s="2365"/>
      <c r="H9" s="2365"/>
      <c r="I9" s="2417"/>
      <c r="J9" s="2418"/>
    </row>
    <row r="10" spans="1:10" s="2422" customFormat="1" ht="27.6">
      <c r="A10" s="2332"/>
      <c r="B10" s="2333" t="s">
        <v>4926</v>
      </c>
      <c r="C10" s="2334" t="s">
        <v>4927</v>
      </c>
      <c r="D10" s="2334">
        <v>1</v>
      </c>
      <c r="E10" s="2334"/>
      <c r="F10" s="2334">
        <f>D10+E10</f>
        <v>1</v>
      </c>
      <c r="G10" s="2419">
        <v>10444500</v>
      </c>
      <c r="H10" s="2419">
        <f>ROUND((F10*G10),0)</f>
        <v>10444500</v>
      </c>
      <c r="I10" s="2420"/>
      <c r="J10" s="2421"/>
    </row>
    <row r="11" spans="1:10" s="2425" customFormat="1" ht="23.25" customHeight="1">
      <c r="A11" s="2327" t="s">
        <v>941</v>
      </c>
      <c r="B11" s="2339" t="s">
        <v>4928</v>
      </c>
      <c r="C11" s="2328"/>
      <c r="D11" s="2327"/>
      <c r="E11" s="2327"/>
      <c r="F11" s="2327"/>
      <c r="G11" s="2419"/>
      <c r="H11" s="2419"/>
      <c r="I11" s="2423"/>
      <c r="J11" s="2424"/>
    </row>
    <row r="12" spans="1:10" s="2425" customFormat="1">
      <c r="A12" s="2327"/>
      <c r="B12" s="2339" t="s">
        <v>2296</v>
      </c>
      <c r="C12" s="2327"/>
      <c r="D12" s="2347"/>
      <c r="E12" s="2347"/>
      <c r="F12" s="2347"/>
      <c r="G12" s="2419"/>
      <c r="H12" s="2419"/>
      <c r="I12" s="2423"/>
      <c r="J12" s="2424"/>
    </row>
    <row r="13" spans="1:10" s="2425" customFormat="1">
      <c r="A13" s="2327">
        <v>1</v>
      </c>
      <c r="B13" s="2339" t="s">
        <v>2342</v>
      </c>
      <c r="C13" s="2327" t="s">
        <v>2336</v>
      </c>
      <c r="D13" s="2347">
        <v>9</v>
      </c>
      <c r="E13" s="2347"/>
      <c r="F13" s="2347"/>
      <c r="G13" s="2419"/>
      <c r="H13" s="2419"/>
      <c r="I13" s="2423"/>
      <c r="J13" s="2424"/>
    </row>
    <row r="14" spans="1:10" s="2425" customFormat="1">
      <c r="A14" s="2327"/>
      <c r="B14" s="2346" t="s">
        <v>4929</v>
      </c>
      <c r="C14" s="2347" t="s">
        <v>858</v>
      </c>
      <c r="D14" s="2347">
        <v>0.23</v>
      </c>
      <c r="E14" s="2347"/>
      <c r="F14" s="2347">
        <f>D14+E14</f>
        <v>0.23</v>
      </c>
      <c r="G14" s="2419">
        <v>1209039</v>
      </c>
      <c r="H14" s="2419">
        <f>ROUND((G14*F14),0)</f>
        <v>278079</v>
      </c>
      <c r="I14" s="2426"/>
      <c r="J14" s="2424"/>
    </row>
    <row r="15" spans="1:10" s="2425" customFormat="1">
      <c r="A15" s="2327"/>
      <c r="B15" s="2346" t="s">
        <v>4930</v>
      </c>
      <c r="C15" s="2347" t="s">
        <v>858</v>
      </c>
      <c r="D15" s="2347">
        <v>0.24</v>
      </c>
      <c r="E15" s="2347"/>
      <c r="F15" s="2347">
        <f>D15+E15</f>
        <v>0.24</v>
      </c>
      <c r="G15" s="2419">
        <v>289343</v>
      </c>
      <c r="H15" s="2419">
        <f>ROUND((G15*F15),0)</f>
        <v>69442</v>
      </c>
      <c r="I15" s="2426"/>
      <c r="J15" s="2424"/>
    </row>
    <row r="16" spans="1:10" s="2425" customFormat="1">
      <c r="A16" s="2327">
        <v>2</v>
      </c>
      <c r="B16" s="2339" t="s">
        <v>4931</v>
      </c>
      <c r="C16" s="2327" t="s">
        <v>2336</v>
      </c>
      <c r="D16" s="2327">
        <v>2</v>
      </c>
      <c r="E16" s="2327"/>
      <c r="F16" s="2347">
        <f t="shared" ref="F16:F79" si="0">D16+E16</f>
        <v>2</v>
      </c>
      <c r="G16" s="2419"/>
      <c r="H16" s="2419">
        <f t="shared" ref="H16:H79" si="1">ROUND((G16*F16),0)</f>
        <v>0</v>
      </c>
      <c r="I16" s="2423"/>
      <c r="J16" s="2424"/>
    </row>
    <row r="17" spans="1:10" s="2425" customFormat="1">
      <c r="A17" s="2327"/>
      <c r="B17" s="2346" t="s">
        <v>4932</v>
      </c>
      <c r="C17" s="2347" t="s">
        <v>2256</v>
      </c>
      <c r="D17" s="2347">
        <v>162</v>
      </c>
      <c r="E17" s="2347"/>
      <c r="F17" s="2347">
        <f t="shared" si="0"/>
        <v>162</v>
      </c>
      <c r="G17" s="2419">
        <v>1997</v>
      </c>
      <c r="H17" s="2419">
        <f t="shared" si="1"/>
        <v>323514</v>
      </c>
      <c r="I17" s="2423"/>
      <c r="J17" s="2424"/>
    </row>
    <row r="18" spans="1:10" s="2425" customFormat="1">
      <c r="A18" s="2327"/>
      <c r="B18" s="2346" t="s">
        <v>3025</v>
      </c>
      <c r="C18" s="2347" t="s">
        <v>858</v>
      </c>
      <c r="D18" s="2347">
        <v>0.26</v>
      </c>
      <c r="E18" s="2347"/>
      <c r="F18" s="2347">
        <f t="shared" si="0"/>
        <v>0.26</v>
      </c>
      <c r="G18" s="2419">
        <v>594176</v>
      </c>
      <c r="H18" s="2419">
        <f t="shared" si="1"/>
        <v>154486</v>
      </c>
      <c r="I18" s="2423"/>
      <c r="J18" s="2424"/>
    </row>
    <row r="19" spans="1:10" s="2425" customFormat="1">
      <c r="A19" s="2327"/>
      <c r="B19" s="2346" t="s">
        <v>3021</v>
      </c>
      <c r="C19" s="2347" t="s">
        <v>858</v>
      </c>
      <c r="D19" s="2347">
        <v>0.48299999999999998</v>
      </c>
      <c r="E19" s="2347"/>
      <c r="F19" s="2347">
        <f t="shared" si="0"/>
        <v>0.48299999999999998</v>
      </c>
      <c r="G19" s="2419">
        <v>388768</v>
      </c>
      <c r="H19" s="2419">
        <f t="shared" si="1"/>
        <v>187775</v>
      </c>
      <c r="I19" s="2423"/>
      <c r="J19" s="2424"/>
    </row>
    <row r="20" spans="1:10" s="2425" customFormat="1">
      <c r="A20" s="2327"/>
      <c r="B20" s="2346" t="s">
        <v>4929</v>
      </c>
      <c r="C20" s="2347" t="s">
        <v>858</v>
      </c>
      <c r="D20" s="2347">
        <v>0.69</v>
      </c>
      <c r="E20" s="2347"/>
      <c r="F20" s="2347">
        <f t="shared" si="0"/>
        <v>0.69</v>
      </c>
      <c r="G20" s="2419">
        <v>1209039</v>
      </c>
      <c r="H20" s="2419">
        <f t="shared" si="1"/>
        <v>834237</v>
      </c>
      <c r="I20" s="2423"/>
      <c r="J20" s="2424"/>
    </row>
    <row r="21" spans="1:10" s="2425" customFormat="1">
      <c r="A21" s="2327"/>
      <c r="B21" s="2346" t="s">
        <v>3221</v>
      </c>
      <c r="C21" s="2347" t="s">
        <v>858</v>
      </c>
      <c r="D21" s="2347">
        <v>0.55000000000000004</v>
      </c>
      <c r="E21" s="2347"/>
      <c r="F21" s="2347">
        <f t="shared" si="0"/>
        <v>0.55000000000000004</v>
      </c>
      <c r="G21" s="2419">
        <v>1017865</v>
      </c>
      <c r="H21" s="2419">
        <f t="shared" si="1"/>
        <v>559826</v>
      </c>
      <c r="I21" s="2423"/>
      <c r="J21" s="2424"/>
    </row>
    <row r="22" spans="1:10" s="2425" customFormat="1">
      <c r="A22" s="2327">
        <v>3</v>
      </c>
      <c r="B22" s="2339" t="s">
        <v>2360</v>
      </c>
      <c r="C22" s="2327" t="s">
        <v>2336</v>
      </c>
      <c r="D22" s="2327">
        <v>24</v>
      </c>
      <c r="E22" s="2327"/>
      <c r="F22" s="2347">
        <f t="shared" si="0"/>
        <v>24</v>
      </c>
      <c r="G22" s="2419"/>
      <c r="H22" s="2419"/>
      <c r="I22" s="2423"/>
      <c r="J22" s="2424"/>
    </row>
    <row r="23" spans="1:10" s="2425" customFormat="1">
      <c r="A23" s="2327"/>
      <c r="B23" s="2346" t="s">
        <v>4929</v>
      </c>
      <c r="C23" s="2347" t="s">
        <v>858</v>
      </c>
      <c r="D23" s="2347">
        <v>8</v>
      </c>
      <c r="E23" s="2347"/>
      <c r="F23" s="2347">
        <f t="shared" si="0"/>
        <v>8</v>
      </c>
      <c r="G23" s="2419">
        <v>1209039</v>
      </c>
      <c r="H23" s="2419">
        <f t="shared" si="1"/>
        <v>9672312</v>
      </c>
      <c r="I23" s="2423"/>
      <c r="J23" s="2424"/>
    </row>
    <row r="24" spans="1:10" s="2425" customFormat="1">
      <c r="A24" s="2327"/>
      <c r="B24" s="2346" t="s">
        <v>4930</v>
      </c>
      <c r="C24" s="2347" t="s">
        <v>858</v>
      </c>
      <c r="D24" s="2347">
        <v>0.18</v>
      </c>
      <c r="E24" s="2347"/>
      <c r="F24" s="2347">
        <f t="shared" si="0"/>
        <v>0.18</v>
      </c>
      <c r="G24" s="2419">
        <v>289343</v>
      </c>
      <c r="H24" s="2419">
        <f t="shared" si="1"/>
        <v>52082</v>
      </c>
      <c r="I24" s="2423"/>
      <c r="J24" s="2424"/>
    </row>
    <row r="25" spans="1:10" s="2425" customFormat="1">
      <c r="A25" s="2327">
        <v>4</v>
      </c>
      <c r="B25" s="2339" t="s">
        <v>2372</v>
      </c>
      <c r="C25" s="2327" t="s">
        <v>2336</v>
      </c>
      <c r="D25" s="2327">
        <v>1</v>
      </c>
      <c r="E25" s="2327"/>
      <c r="F25" s="2347">
        <f t="shared" si="0"/>
        <v>1</v>
      </c>
      <c r="G25" s="2419"/>
      <c r="H25" s="2419"/>
      <c r="I25" s="2423"/>
      <c r="J25" s="2424"/>
    </row>
    <row r="26" spans="1:10" s="2425" customFormat="1">
      <c r="A26" s="2327"/>
      <c r="B26" s="2346" t="s">
        <v>4932</v>
      </c>
      <c r="C26" s="2347" t="s">
        <v>2256</v>
      </c>
      <c r="D26" s="2347">
        <v>180</v>
      </c>
      <c r="E26" s="2347"/>
      <c r="F26" s="2347">
        <f t="shared" si="0"/>
        <v>180</v>
      </c>
      <c r="G26" s="2419">
        <v>1997</v>
      </c>
      <c r="H26" s="2419">
        <f t="shared" si="1"/>
        <v>359460</v>
      </c>
      <c r="I26" s="2423"/>
      <c r="J26" s="2424"/>
    </row>
    <row r="27" spans="1:10" s="2425" customFormat="1">
      <c r="A27" s="2327"/>
      <c r="B27" s="2346" t="s">
        <v>3025</v>
      </c>
      <c r="C27" s="2347" t="s">
        <v>858</v>
      </c>
      <c r="D27" s="2347">
        <v>0.33</v>
      </c>
      <c r="E27" s="2347"/>
      <c r="F27" s="2347">
        <f t="shared" si="0"/>
        <v>0.33</v>
      </c>
      <c r="G27" s="2419">
        <v>594176</v>
      </c>
      <c r="H27" s="2419">
        <f t="shared" si="1"/>
        <v>196078</v>
      </c>
      <c r="I27" s="2423"/>
      <c r="J27" s="2424"/>
    </row>
    <row r="28" spans="1:10" s="2425" customFormat="1">
      <c r="A28" s="2327"/>
      <c r="B28" s="2346" t="s">
        <v>3021</v>
      </c>
      <c r="C28" s="2347" t="s">
        <v>858</v>
      </c>
      <c r="D28" s="2347">
        <v>0.52</v>
      </c>
      <c r="E28" s="2347"/>
      <c r="F28" s="2347">
        <f t="shared" si="0"/>
        <v>0.52</v>
      </c>
      <c r="G28" s="2419">
        <v>388768</v>
      </c>
      <c r="H28" s="2419">
        <f t="shared" si="1"/>
        <v>202159</v>
      </c>
      <c r="I28" s="2423"/>
      <c r="J28" s="2424"/>
    </row>
    <row r="29" spans="1:10" s="2425" customFormat="1">
      <c r="A29" s="2327"/>
      <c r="B29" s="2346" t="s">
        <v>4929</v>
      </c>
      <c r="C29" s="2347" t="s">
        <v>858</v>
      </c>
      <c r="D29" s="2347">
        <v>0.99</v>
      </c>
      <c r="E29" s="2347"/>
      <c r="F29" s="2347">
        <f t="shared" si="0"/>
        <v>0.99</v>
      </c>
      <c r="G29" s="2419">
        <v>1209039</v>
      </c>
      <c r="H29" s="2419">
        <f t="shared" si="1"/>
        <v>1196949</v>
      </c>
      <c r="I29" s="2423"/>
      <c r="J29" s="2424"/>
    </row>
    <row r="30" spans="1:10" s="2425" customFormat="1">
      <c r="A30" s="2327"/>
      <c r="B30" s="2346" t="s">
        <v>4933</v>
      </c>
      <c r="C30" s="2347" t="s">
        <v>858</v>
      </c>
      <c r="D30" s="2347">
        <v>0.82</v>
      </c>
      <c r="E30" s="2347"/>
      <c r="F30" s="2347">
        <f t="shared" si="0"/>
        <v>0.82</v>
      </c>
      <c r="G30" s="2419">
        <v>1017865</v>
      </c>
      <c r="H30" s="2419">
        <f t="shared" si="1"/>
        <v>834649</v>
      </c>
      <c r="I30" s="2423"/>
      <c r="J30" s="2424"/>
    </row>
    <row r="31" spans="1:10" s="2425" customFormat="1">
      <c r="A31" s="2327">
        <v>5</v>
      </c>
      <c r="B31" s="2339" t="s">
        <v>2373</v>
      </c>
      <c r="C31" s="2327" t="s">
        <v>2336</v>
      </c>
      <c r="D31" s="2327">
        <v>7</v>
      </c>
      <c r="E31" s="2327"/>
      <c r="F31" s="2347">
        <f t="shared" si="0"/>
        <v>7</v>
      </c>
      <c r="G31" s="2419"/>
      <c r="H31" s="2419">
        <f t="shared" si="1"/>
        <v>0</v>
      </c>
      <c r="I31" s="2423"/>
      <c r="J31" s="2424"/>
    </row>
    <row r="32" spans="1:10" s="2425" customFormat="1">
      <c r="A32" s="2327"/>
      <c r="B32" s="2346" t="s">
        <v>4932</v>
      </c>
      <c r="C32" s="2347" t="s">
        <v>2256</v>
      </c>
      <c r="D32" s="2427">
        <v>1701</v>
      </c>
      <c r="E32" s="2427"/>
      <c r="F32" s="2347">
        <f t="shared" si="0"/>
        <v>1701</v>
      </c>
      <c r="G32" s="2419">
        <v>1997</v>
      </c>
      <c r="H32" s="2419">
        <f t="shared" si="1"/>
        <v>3396897</v>
      </c>
      <c r="I32" s="2423"/>
      <c r="J32" s="2424"/>
    </row>
    <row r="33" spans="1:10" s="2425" customFormat="1">
      <c r="A33" s="2327"/>
      <c r="B33" s="2346" t="s">
        <v>3025</v>
      </c>
      <c r="C33" s="2347" t="s">
        <v>858</v>
      </c>
      <c r="D33" s="2347">
        <v>2.9750000000000001</v>
      </c>
      <c r="E33" s="2347"/>
      <c r="F33" s="2347">
        <f t="shared" si="0"/>
        <v>2.9750000000000001</v>
      </c>
      <c r="G33" s="2419">
        <v>594176</v>
      </c>
      <c r="H33" s="2419">
        <f t="shared" si="1"/>
        <v>1767674</v>
      </c>
      <c r="I33" s="2423"/>
      <c r="J33" s="2424"/>
    </row>
    <row r="34" spans="1:10" s="2425" customFormat="1">
      <c r="A34" s="2327"/>
      <c r="B34" s="2346" t="s">
        <v>3021</v>
      </c>
      <c r="C34" s="2347" t="s">
        <v>858</v>
      </c>
      <c r="D34" s="2347">
        <v>5.39</v>
      </c>
      <c r="E34" s="2347"/>
      <c r="F34" s="2347">
        <f t="shared" si="0"/>
        <v>5.39</v>
      </c>
      <c r="G34" s="2419">
        <v>388768</v>
      </c>
      <c r="H34" s="2419">
        <f t="shared" si="1"/>
        <v>2095460</v>
      </c>
      <c r="I34" s="2423"/>
      <c r="J34" s="2424"/>
    </row>
    <row r="35" spans="1:10" s="2425" customFormat="1">
      <c r="A35" s="2353"/>
      <c r="B35" s="2354" t="s">
        <v>4929</v>
      </c>
      <c r="C35" s="2355" t="s">
        <v>858</v>
      </c>
      <c r="D35" s="2355">
        <v>1.93</v>
      </c>
      <c r="E35" s="2355">
        <v>9.65</v>
      </c>
      <c r="F35" s="2355">
        <f t="shared" si="0"/>
        <v>11.58</v>
      </c>
      <c r="G35" s="2428">
        <v>1209039</v>
      </c>
      <c r="H35" s="2428">
        <f t="shared" si="1"/>
        <v>14000672</v>
      </c>
      <c r="I35" s="2800" t="s">
        <v>5142</v>
      </c>
      <c r="J35" s="2424"/>
    </row>
    <row r="36" spans="1:10" s="2425" customFormat="1" ht="24" customHeight="1">
      <c r="A36" s="2353"/>
      <c r="B36" s="2354" t="s">
        <v>4933</v>
      </c>
      <c r="C36" s="2355" t="s">
        <v>858</v>
      </c>
      <c r="D36" s="2355">
        <v>0.84399999999999997</v>
      </c>
      <c r="E36" s="2355">
        <v>5.96</v>
      </c>
      <c r="F36" s="2355">
        <f>D36+E36</f>
        <v>6.8040000000000003</v>
      </c>
      <c r="G36" s="2428">
        <v>1017865</v>
      </c>
      <c r="H36" s="2428">
        <f t="shared" si="1"/>
        <v>6925553</v>
      </c>
      <c r="I36" s="2801"/>
      <c r="J36" s="2424"/>
    </row>
    <row r="37" spans="1:10" s="2425" customFormat="1">
      <c r="A37" s="2327">
        <v>6</v>
      </c>
      <c r="B37" s="2339" t="s">
        <v>4934</v>
      </c>
      <c r="C37" s="2327" t="s">
        <v>2394</v>
      </c>
      <c r="D37" s="2327">
        <v>1</v>
      </c>
      <c r="E37" s="2327"/>
      <c r="F37" s="2347">
        <f t="shared" si="0"/>
        <v>1</v>
      </c>
      <c r="G37" s="2419"/>
      <c r="H37" s="2419"/>
      <c r="I37" s="2423"/>
      <c r="J37" s="2424"/>
    </row>
    <row r="38" spans="1:10" s="2425" customFormat="1">
      <c r="A38" s="2327"/>
      <c r="B38" s="2346" t="s">
        <v>4935</v>
      </c>
      <c r="C38" s="2347" t="s">
        <v>2256</v>
      </c>
      <c r="D38" s="2347">
        <v>2.2400000000000002</v>
      </c>
      <c r="E38" s="2347"/>
      <c r="F38" s="2347">
        <f t="shared" si="0"/>
        <v>2.2400000000000002</v>
      </c>
      <c r="G38" s="2419">
        <v>296508</v>
      </c>
      <c r="H38" s="2419">
        <f t="shared" si="1"/>
        <v>664178</v>
      </c>
      <c r="I38" s="2423"/>
      <c r="J38" s="2424"/>
    </row>
    <row r="39" spans="1:10" s="2425" customFormat="1">
      <c r="A39" s="2327"/>
      <c r="B39" s="2346" t="s">
        <v>4936</v>
      </c>
      <c r="C39" s="2347" t="s">
        <v>2448</v>
      </c>
      <c r="D39" s="2347">
        <v>1</v>
      </c>
      <c r="E39" s="2347"/>
      <c r="F39" s="2347">
        <f t="shared" si="0"/>
        <v>1</v>
      </c>
      <c r="G39" s="2419">
        <v>179878</v>
      </c>
      <c r="H39" s="2419">
        <f t="shared" si="1"/>
        <v>179878</v>
      </c>
      <c r="I39" s="2423"/>
      <c r="J39" s="2424"/>
    </row>
    <row r="40" spans="1:10" s="2425" customFormat="1">
      <c r="A40" s="2327"/>
      <c r="B40" s="2346" t="s">
        <v>2899</v>
      </c>
      <c r="C40" s="2347" t="s">
        <v>2566</v>
      </c>
      <c r="D40" s="2347">
        <v>2</v>
      </c>
      <c r="E40" s="2347"/>
      <c r="F40" s="2347">
        <f t="shared" si="0"/>
        <v>2</v>
      </c>
      <c r="G40" s="2419">
        <v>5338</v>
      </c>
      <c r="H40" s="2419">
        <f t="shared" si="1"/>
        <v>10676</v>
      </c>
      <c r="I40" s="2423"/>
      <c r="J40" s="2424"/>
    </row>
    <row r="41" spans="1:10" s="2425" customFormat="1">
      <c r="A41" s="2327"/>
      <c r="B41" s="2346" t="s">
        <v>3174</v>
      </c>
      <c r="C41" s="2347" t="s">
        <v>2256</v>
      </c>
      <c r="D41" s="2347">
        <v>2.2400000000000002</v>
      </c>
      <c r="E41" s="2347"/>
      <c r="F41" s="2347">
        <f t="shared" si="0"/>
        <v>2.2400000000000002</v>
      </c>
      <c r="G41" s="2419">
        <v>6338</v>
      </c>
      <c r="H41" s="2419">
        <f t="shared" si="1"/>
        <v>14197</v>
      </c>
      <c r="I41" s="2423"/>
      <c r="J41" s="2424"/>
    </row>
    <row r="42" spans="1:10" s="2425" customFormat="1">
      <c r="A42" s="2327"/>
      <c r="B42" s="2346" t="s">
        <v>4937</v>
      </c>
      <c r="C42" s="2347" t="s">
        <v>2286</v>
      </c>
      <c r="D42" s="2347">
        <v>1</v>
      </c>
      <c r="E42" s="2347"/>
      <c r="F42" s="2347">
        <f t="shared" si="0"/>
        <v>1</v>
      </c>
      <c r="G42" s="2419">
        <v>222118</v>
      </c>
      <c r="H42" s="2419">
        <f t="shared" si="1"/>
        <v>222118</v>
      </c>
      <c r="I42" s="2423"/>
      <c r="J42" s="2424"/>
    </row>
    <row r="43" spans="1:10" s="2425" customFormat="1">
      <c r="A43" s="2327">
        <v>7</v>
      </c>
      <c r="B43" s="2339" t="s">
        <v>2400</v>
      </c>
      <c r="C43" s="2327" t="s">
        <v>2394</v>
      </c>
      <c r="D43" s="2327">
        <v>11</v>
      </c>
      <c r="E43" s="2327"/>
      <c r="F43" s="2347">
        <f t="shared" si="0"/>
        <v>11</v>
      </c>
      <c r="G43" s="2419"/>
      <c r="H43" s="2419">
        <f t="shared" si="1"/>
        <v>0</v>
      </c>
      <c r="I43" s="2423"/>
      <c r="J43" s="2424"/>
    </row>
    <row r="44" spans="1:10" s="2425" customFormat="1">
      <c r="A44" s="2327"/>
      <c r="B44" s="2346" t="s">
        <v>4935</v>
      </c>
      <c r="C44" s="2347" t="s">
        <v>2256</v>
      </c>
      <c r="D44" s="2347">
        <v>24.64</v>
      </c>
      <c r="E44" s="2347"/>
      <c r="F44" s="2347">
        <f t="shared" si="0"/>
        <v>24.64</v>
      </c>
      <c r="G44" s="2419">
        <v>296508</v>
      </c>
      <c r="H44" s="2419">
        <f t="shared" si="1"/>
        <v>7305957</v>
      </c>
      <c r="I44" s="2423"/>
      <c r="J44" s="2424"/>
    </row>
    <row r="45" spans="1:10" s="2425" customFormat="1">
      <c r="A45" s="2327"/>
      <c r="B45" s="2346" t="s">
        <v>4936</v>
      </c>
      <c r="C45" s="2347" t="s">
        <v>2448</v>
      </c>
      <c r="D45" s="2347">
        <v>11</v>
      </c>
      <c r="E45" s="2347"/>
      <c r="F45" s="2347">
        <f t="shared" si="0"/>
        <v>11</v>
      </c>
      <c r="G45" s="2419">
        <v>179878</v>
      </c>
      <c r="H45" s="2419">
        <f t="shared" si="1"/>
        <v>1978658</v>
      </c>
      <c r="I45" s="2423"/>
      <c r="J45" s="2424"/>
    </row>
    <row r="46" spans="1:10" s="2425" customFormat="1">
      <c r="A46" s="2327"/>
      <c r="B46" s="2346" t="s">
        <v>2892</v>
      </c>
      <c r="C46" s="2347" t="s">
        <v>2566</v>
      </c>
      <c r="D46" s="2347">
        <v>22</v>
      </c>
      <c r="E46" s="2347"/>
      <c r="F46" s="2347">
        <f t="shared" si="0"/>
        <v>22</v>
      </c>
      <c r="G46" s="2419">
        <v>9865</v>
      </c>
      <c r="H46" s="2419">
        <f t="shared" si="1"/>
        <v>217030</v>
      </c>
      <c r="I46" s="2423"/>
      <c r="J46" s="2424"/>
    </row>
    <row r="47" spans="1:10" s="2425" customFormat="1">
      <c r="A47" s="2327"/>
      <c r="B47" s="2346" t="s">
        <v>3174</v>
      </c>
      <c r="C47" s="2347" t="s">
        <v>2256</v>
      </c>
      <c r="D47" s="2347">
        <v>2.2400000000000002</v>
      </c>
      <c r="E47" s="2347"/>
      <c r="F47" s="2347">
        <f t="shared" si="0"/>
        <v>2.2400000000000002</v>
      </c>
      <c r="G47" s="2419">
        <v>6338</v>
      </c>
      <c r="H47" s="2419">
        <f t="shared" si="1"/>
        <v>14197</v>
      </c>
      <c r="I47" s="2423"/>
      <c r="J47" s="2424"/>
    </row>
    <row r="48" spans="1:10" s="2425" customFormat="1">
      <c r="A48" s="2327"/>
      <c r="B48" s="2346" t="s">
        <v>4937</v>
      </c>
      <c r="C48" s="2347" t="s">
        <v>2286</v>
      </c>
      <c r="D48" s="2347">
        <v>1</v>
      </c>
      <c r="E48" s="2347"/>
      <c r="F48" s="2347">
        <f t="shared" si="0"/>
        <v>1</v>
      </c>
      <c r="G48" s="2419">
        <v>222118</v>
      </c>
      <c r="H48" s="2419">
        <f t="shared" si="1"/>
        <v>222118</v>
      </c>
      <c r="I48" s="2423"/>
      <c r="J48" s="2424"/>
    </row>
    <row r="49" spans="1:10" s="2425" customFormat="1">
      <c r="A49" s="2327">
        <v>8</v>
      </c>
      <c r="B49" s="2339" t="s">
        <v>4938</v>
      </c>
      <c r="C49" s="2347" t="s">
        <v>2394</v>
      </c>
      <c r="D49" s="2358"/>
      <c r="E49" s="2358"/>
      <c r="F49" s="2347">
        <f t="shared" si="0"/>
        <v>0</v>
      </c>
      <c r="G49" s="2419"/>
      <c r="H49" s="2419">
        <f t="shared" si="1"/>
        <v>0</v>
      </c>
      <c r="I49" s="2423"/>
      <c r="J49" s="2424"/>
    </row>
    <row r="50" spans="1:10" s="2425" customFormat="1">
      <c r="A50" s="2327"/>
      <c r="B50" s="2346" t="s">
        <v>3090</v>
      </c>
      <c r="C50" s="2347" t="s">
        <v>858</v>
      </c>
      <c r="D50" s="2347">
        <v>0.33</v>
      </c>
      <c r="E50" s="2347"/>
      <c r="F50" s="2347">
        <f t="shared" si="0"/>
        <v>0.33</v>
      </c>
      <c r="G50" s="2419">
        <v>697523</v>
      </c>
      <c r="H50" s="2419">
        <f t="shared" si="1"/>
        <v>230183</v>
      </c>
      <c r="I50" s="2423"/>
      <c r="J50" s="2424"/>
    </row>
    <row r="51" spans="1:10" s="2425" customFormat="1">
      <c r="A51" s="2327"/>
      <c r="B51" s="2346" t="s">
        <v>4939</v>
      </c>
      <c r="C51" s="2347" t="s">
        <v>858</v>
      </c>
      <c r="D51" s="2347">
        <v>0.3</v>
      </c>
      <c r="E51" s="2347"/>
      <c r="F51" s="2347">
        <f t="shared" si="0"/>
        <v>0.3</v>
      </c>
      <c r="G51" s="2419">
        <v>310010</v>
      </c>
      <c r="H51" s="2419">
        <f t="shared" si="1"/>
        <v>93003</v>
      </c>
      <c r="I51" s="2423"/>
      <c r="J51" s="2424"/>
    </row>
    <row r="52" spans="1:10" s="2425" customFormat="1">
      <c r="A52" s="2327" t="s">
        <v>1620</v>
      </c>
      <c r="B52" s="2339" t="s">
        <v>4940</v>
      </c>
      <c r="C52" s="2347"/>
      <c r="D52" s="2358"/>
      <c r="E52" s="2358"/>
      <c r="F52" s="2347"/>
      <c r="G52" s="2419"/>
      <c r="H52" s="2419"/>
      <c r="I52" s="2423"/>
      <c r="J52" s="2424"/>
    </row>
    <row r="53" spans="1:10" s="2425" customFormat="1">
      <c r="A53" s="2327">
        <v>9</v>
      </c>
      <c r="B53" s="2339" t="s">
        <v>4941</v>
      </c>
      <c r="C53" s="2327" t="s">
        <v>2285</v>
      </c>
      <c r="D53" s="2347">
        <v>13</v>
      </c>
      <c r="E53" s="2347"/>
      <c r="F53" s="2347">
        <f t="shared" si="0"/>
        <v>13</v>
      </c>
      <c r="G53" s="2419"/>
      <c r="H53" s="2419"/>
      <c r="I53" s="2423"/>
      <c r="J53" s="2424"/>
    </row>
    <row r="54" spans="1:10" s="2425" customFormat="1">
      <c r="A54" s="2327"/>
      <c r="B54" s="2346" t="s">
        <v>3007</v>
      </c>
      <c r="C54" s="2347" t="s">
        <v>2842</v>
      </c>
      <c r="D54" s="2347">
        <v>13</v>
      </c>
      <c r="E54" s="2347"/>
      <c r="F54" s="2347">
        <f t="shared" si="0"/>
        <v>13</v>
      </c>
      <c r="G54" s="2419">
        <v>3075325</v>
      </c>
      <c r="H54" s="2419">
        <f t="shared" si="1"/>
        <v>39979225</v>
      </c>
      <c r="I54" s="2423"/>
      <c r="J54" s="2424"/>
    </row>
    <row r="55" spans="1:10" s="2425" customFormat="1">
      <c r="A55" s="2327"/>
      <c r="B55" s="2346" t="s">
        <v>2841</v>
      </c>
      <c r="C55" s="2347" t="s">
        <v>2842</v>
      </c>
      <c r="D55" s="2347">
        <v>13</v>
      </c>
      <c r="E55" s="2347"/>
      <c r="F55" s="2347">
        <f t="shared" si="0"/>
        <v>13</v>
      </c>
      <c r="G55" s="2419">
        <v>20193</v>
      </c>
      <c r="H55" s="2419">
        <f t="shared" si="1"/>
        <v>262509</v>
      </c>
      <c r="I55" s="2423"/>
      <c r="J55" s="2424"/>
    </row>
    <row r="56" spans="1:10" s="2425" customFormat="1">
      <c r="A56" s="2327"/>
      <c r="B56" s="2356" t="s">
        <v>3184</v>
      </c>
      <c r="C56" s="2357" t="s">
        <v>2842</v>
      </c>
      <c r="D56" s="2357">
        <v>13</v>
      </c>
      <c r="E56" s="2357"/>
      <c r="F56" s="2347">
        <f t="shared" si="0"/>
        <v>13</v>
      </c>
      <c r="G56" s="2429">
        <v>0</v>
      </c>
      <c r="H56" s="2419">
        <f t="shared" si="1"/>
        <v>0</v>
      </c>
      <c r="I56" s="2423"/>
      <c r="J56" s="2424"/>
    </row>
    <row r="57" spans="1:10" s="2425" customFormat="1">
      <c r="A57" s="2327">
        <v>10</v>
      </c>
      <c r="B57" s="2339" t="s">
        <v>4942</v>
      </c>
      <c r="C57" s="2327" t="s">
        <v>2285</v>
      </c>
      <c r="D57" s="2347">
        <v>29</v>
      </c>
      <c r="E57" s="2347">
        <v>-6</v>
      </c>
      <c r="F57" s="2347">
        <f t="shared" si="0"/>
        <v>23</v>
      </c>
      <c r="G57" s="2419"/>
      <c r="H57" s="2419"/>
      <c r="I57" s="2423"/>
      <c r="J57" s="2424"/>
    </row>
    <row r="58" spans="1:10" s="2425" customFormat="1">
      <c r="A58" s="2327"/>
      <c r="B58" s="2354" t="s">
        <v>4689</v>
      </c>
      <c r="C58" s="2355" t="s">
        <v>2842</v>
      </c>
      <c r="D58" s="2355">
        <v>29</v>
      </c>
      <c r="E58" s="2355">
        <v>-6</v>
      </c>
      <c r="F58" s="2355">
        <f t="shared" si="0"/>
        <v>23</v>
      </c>
      <c r="G58" s="2428">
        <v>6863197</v>
      </c>
      <c r="H58" s="2428">
        <f t="shared" si="1"/>
        <v>157853531</v>
      </c>
      <c r="I58" s="2802" t="s">
        <v>5143</v>
      </c>
      <c r="J58" s="2424"/>
    </row>
    <row r="59" spans="1:10" s="2425" customFormat="1">
      <c r="A59" s="2327"/>
      <c r="B59" s="2354" t="s">
        <v>2841</v>
      </c>
      <c r="C59" s="2355" t="s">
        <v>2842</v>
      </c>
      <c r="D59" s="2355">
        <v>29</v>
      </c>
      <c r="E59" s="2355">
        <v>-6</v>
      </c>
      <c r="F59" s="2355">
        <f t="shared" si="0"/>
        <v>23</v>
      </c>
      <c r="G59" s="2428">
        <v>20193</v>
      </c>
      <c r="H59" s="2428">
        <f t="shared" si="1"/>
        <v>464439</v>
      </c>
      <c r="I59" s="2803"/>
      <c r="J59" s="2424"/>
    </row>
    <row r="60" spans="1:10" s="2425" customFormat="1" ht="40.5" customHeight="1">
      <c r="A60" s="2327"/>
      <c r="B60" s="2354" t="s">
        <v>3187</v>
      </c>
      <c r="C60" s="2355" t="s">
        <v>2842</v>
      </c>
      <c r="D60" s="2355">
        <v>1</v>
      </c>
      <c r="E60" s="2355">
        <v>22</v>
      </c>
      <c r="F60" s="2355">
        <f t="shared" si="0"/>
        <v>23</v>
      </c>
      <c r="G60" s="2428">
        <v>1730343</v>
      </c>
      <c r="H60" s="2428">
        <f t="shared" si="1"/>
        <v>39797889</v>
      </c>
      <c r="I60" s="2430" t="s">
        <v>5142</v>
      </c>
      <c r="J60" s="2424"/>
    </row>
    <row r="61" spans="1:10" s="2425" customFormat="1">
      <c r="A61" s="2327" t="s">
        <v>1914</v>
      </c>
      <c r="B61" s="2339" t="s">
        <v>4943</v>
      </c>
      <c r="C61" s="2347"/>
      <c r="D61" s="2358"/>
      <c r="E61" s="2358"/>
      <c r="F61" s="2347"/>
      <c r="G61" s="2419"/>
      <c r="H61" s="2419"/>
      <c r="I61" s="2423"/>
      <c r="J61" s="2424"/>
    </row>
    <row r="62" spans="1:10" s="2425" customFormat="1" ht="27.6">
      <c r="A62" s="2327">
        <v>11</v>
      </c>
      <c r="B62" s="2339" t="s">
        <v>4356</v>
      </c>
      <c r="C62" s="2358"/>
      <c r="D62" s="2327"/>
      <c r="E62" s="2327"/>
      <c r="F62" s="2347"/>
      <c r="G62" s="2419"/>
      <c r="H62" s="2419"/>
      <c r="I62" s="2423"/>
      <c r="J62" s="2424"/>
    </row>
    <row r="63" spans="1:10" s="2425" customFormat="1">
      <c r="A63" s="2327"/>
      <c r="B63" s="2346" t="s">
        <v>4944</v>
      </c>
      <c r="C63" s="2347" t="s">
        <v>2566</v>
      </c>
      <c r="D63" s="2347">
        <v>2</v>
      </c>
      <c r="E63" s="2347"/>
      <c r="F63" s="2347">
        <f t="shared" si="0"/>
        <v>2</v>
      </c>
      <c r="G63" s="2419">
        <v>684695</v>
      </c>
      <c r="H63" s="2419">
        <f t="shared" si="1"/>
        <v>1369390</v>
      </c>
      <c r="I63" s="2423"/>
      <c r="J63" s="2424"/>
    </row>
    <row r="64" spans="1:10" s="2425" customFormat="1">
      <c r="A64" s="2327"/>
      <c r="B64" s="2346" t="s">
        <v>4945</v>
      </c>
      <c r="C64" s="2347" t="s">
        <v>2566</v>
      </c>
      <c r="D64" s="2347">
        <v>4</v>
      </c>
      <c r="E64" s="2347"/>
      <c r="F64" s="2347">
        <f t="shared" si="0"/>
        <v>4</v>
      </c>
      <c r="G64" s="2419">
        <v>103285</v>
      </c>
      <c r="H64" s="2419">
        <f t="shared" si="1"/>
        <v>413140</v>
      </c>
      <c r="I64" s="2423"/>
      <c r="J64" s="2424"/>
    </row>
    <row r="65" spans="1:10" s="2425" customFormat="1">
      <c r="A65" s="2327"/>
      <c r="B65" s="2346" t="s">
        <v>2660</v>
      </c>
      <c r="C65" s="2347" t="s">
        <v>2448</v>
      </c>
      <c r="D65" s="2347">
        <v>2</v>
      </c>
      <c r="E65" s="2347"/>
      <c r="F65" s="2347">
        <f t="shared" si="0"/>
        <v>2</v>
      </c>
      <c r="G65" s="2419">
        <v>33655</v>
      </c>
      <c r="H65" s="2419">
        <f t="shared" si="1"/>
        <v>67310</v>
      </c>
      <c r="I65" s="2423"/>
      <c r="J65" s="2424"/>
    </row>
    <row r="66" spans="1:10" s="2425" customFormat="1">
      <c r="A66" s="2327"/>
      <c r="B66" s="2346" t="s">
        <v>2671</v>
      </c>
      <c r="C66" s="2347" t="s">
        <v>2448</v>
      </c>
      <c r="D66" s="2347">
        <v>4</v>
      </c>
      <c r="E66" s="2347"/>
      <c r="F66" s="2347">
        <f t="shared" si="0"/>
        <v>4</v>
      </c>
      <c r="G66" s="2419">
        <v>31798</v>
      </c>
      <c r="H66" s="2419">
        <f t="shared" si="1"/>
        <v>127192</v>
      </c>
      <c r="I66" s="2423"/>
      <c r="J66" s="2424"/>
    </row>
    <row r="67" spans="1:10" s="2425" customFormat="1">
      <c r="A67" s="2327"/>
      <c r="B67" s="2346" t="s">
        <v>2648</v>
      </c>
      <c r="C67" s="2347" t="s">
        <v>2448</v>
      </c>
      <c r="D67" s="2347">
        <v>4</v>
      </c>
      <c r="E67" s="2347"/>
      <c r="F67" s="2347">
        <f t="shared" si="0"/>
        <v>4</v>
      </c>
      <c r="G67" s="2419">
        <v>12882</v>
      </c>
      <c r="H67" s="2419">
        <f t="shared" si="1"/>
        <v>51528</v>
      </c>
      <c r="I67" s="2423"/>
      <c r="J67" s="2424"/>
    </row>
    <row r="68" spans="1:10" s="2425" customFormat="1">
      <c r="A68" s="2359"/>
      <c r="B68" s="2346" t="s">
        <v>4946</v>
      </c>
      <c r="C68" s="2347" t="s">
        <v>2448</v>
      </c>
      <c r="D68" s="2347">
        <v>1</v>
      </c>
      <c r="E68" s="2347"/>
      <c r="F68" s="2347">
        <f t="shared" si="0"/>
        <v>1</v>
      </c>
      <c r="G68" s="2419">
        <v>1542080</v>
      </c>
      <c r="H68" s="2419">
        <f t="shared" si="1"/>
        <v>1542080</v>
      </c>
      <c r="I68" s="2423"/>
      <c r="J68" s="2424"/>
    </row>
    <row r="69" spans="1:10" s="2425" customFormat="1" ht="27.6">
      <c r="A69" s="2327">
        <v>12</v>
      </c>
      <c r="B69" s="2339" t="s">
        <v>4947</v>
      </c>
      <c r="C69" s="2327" t="s">
        <v>2394</v>
      </c>
      <c r="D69" s="2327">
        <v>1</v>
      </c>
      <c r="E69" s="2327"/>
      <c r="F69" s="2347">
        <f t="shared" si="0"/>
        <v>1</v>
      </c>
      <c r="G69" s="2419"/>
      <c r="H69" s="2419"/>
      <c r="I69" s="2423"/>
      <c r="J69" s="2424"/>
    </row>
    <row r="70" spans="1:10" s="2425" customFormat="1">
      <c r="A70" s="2327"/>
      <c r="B70" s="2346" t="s">
        <v>4944</v>
      </c>
      <c r="C70" s="2347" t="s">
        <v>2566</v>
      </c>
      <c r="D70" s="2347">
        <v>2</v>
      </c>
      <c r="E70" s="2347"/>
      <c r="F70" s="2347">
        <f t="shared" si="0"/>
        <v>2</v>
      </c>
      <c r="G70" s="2419">
        <v>684695</v>
      </c>
      <c r="H70" s="2419">
        <f t="shared" si="1"/>
        <v>1369390</v>
      </c>
      <c r="I70" s="2423"/>
      <c r="J70" s="2424"/>
    </row>
    <row r="71" spans="1:10" s="2425" customFormat="1">
      <c r="A71" s="2327"/>
      <c r="B71" s="2346" t="s">
        <v>4945</v>
      </c>
      <c r="C71" s="2347" t="s">
        <v>2566</v>
      </c>
      <c r="D71" s="2347">
        <v>4</v>
      </c>
      <c r="E71" s="2347"/>
      <c r="F71" s="2347">
        <f t="shared" si="0"/>
        <v>4</v>
      </c>
      <c r="G71" s="2419">
        <v>103285</v>
      </c>
      <c r="H71" s="2419">
        <f t="shared" si="1"/>
        <v>413140</v>
      </c>
      <c r="I71" s="2423"/>
      <c r="J71" s="2424"/>
    </row>
    <row r="72" spans="1:10" s="2425" customFormat="1">
      <c r="A72" s="2327"/>
      <c r="B72" s="2346" t="s">
        <v>2665</v>
      </c>
      <c r="C72" s="2347" t="s">
        <v>2448</v>
      </c>
      <c r="D72" s="2347">
        <v>2</v>
      </c>
      <c r="E72" s="2347"/>
      <c r="F72" s="2347">
        <f t="shared" si="0"/>
        <v>2</v>
      </c>
      <c r="G72" s="2419">
        <v>38877</v>
      </c>
      <c r="H72" s="2419">
        <f t="shared" si="1"/>
        <v>77754</v>
      </c>
      <c r="I72" s="2423"/>
      <c r="J72" s="2424"/>
    </row>
    <row r="73" spans="1:10" s="2425" customFormat="1">
      <c r="A73" s="2327"/>
      <c r="B73" s="2346" t="s">
        <v>2675</v>
      </c>
      <c r="C73" s="2347" t="s">
        <v>2448</v>
      </c>
      <c r="D73" s="2347">
        <v>4</v>
      </c>
      <c r="E73" s="2347"/>
      <c r="F73" s="2347">
        <f t="shared" si="0"/>
        <v>4</v>
      </c>
      <c r="G73" s="2419">
        <v>55704</v>
      </c>
      <c r="H73" s="2419">
        <f t="shared" si="1"/>
        <v>222816</v>
      </c>
      <c r="I73" s="2423"/>
      <c r="J73" s="2424"/>
    </row>
    <row r="74" spans="1:10" s="2425" customFormat="1">
      <c r="A74" s="2327"/>
      <c r="B74" s="2346" t="s">
        <v>2648</v>
      </c>
      <c r="C74" s="2347" t="s">
        <v>2448</v>
      </c>
      <c r="D74" s="2347">
        <v>4</v>
      </c>
      <c r="E74" s="2347"/>
      <c r="F74" s="2347">
        <f t="shared" si="0"/>
        <v>4</v>
      </c>
      <c r="G74" s="2419">
        <v>12882</v>
      </c>
      <c r="H74" s="2419">
        <f t="shared" si="1"/>
        <v>51528</v>
      </c>
      <c r="I74" s="2423"/>
      <c r="J74" s="2424"/>
    </row>
    <row r="75" spans="1:10" s="2425" customFormat="1">
      <c r="A75" s="2359"/>
      <c r="B75" s="2346" t="s">
        <v>4946</v>
      </c>
      <c r="C75" s="2347" t="s">
        <v>2448</v>
      </c>
      <c r="D75" s="2347">
        <v>1</v>
      </c>
      <c r="E75" s="2347"/>
      <c r="F75" s="2347">
        <f t="shared" si="0"/>
        <v>1</v>
      </c>
      <c r="G75" s="2419">
        <v>1542080</v>
      </c>
      <c r="H75" s="2419">
        <f t="shared" si="1"/>
        <v>1542080</v>
      </c>
      <c r="I75" s="2423"/>
      <c r="J75" s="2424"/>
    </row>
    <row r="76" spans="1:10" s="2425" customFormat="1">
      <c r="A76" s="2327">
        <v>13</v>
      </c>
      <c r="B76" s="2339" t="s">
        <v>2439</v>
      </c>
      <c r="C76" s="2327" t="s">
        <v>2394</v>
      </c>
      <c r="D76" s="2347">
        <v>28</v>
      </c>
      <c r="E76" s="2347"/>
      <c r="F76" s="2347">
        <f t="shared" si="0"/>
        <v>28</v>
      </c>
      <c r="G76" s="2419"/>
      <c r="H76" s="2419"/>
      <c r="I76" s="2423"/>
      <c r="J76" s="2424"/>
    </row>
    <row r="77" spans="1:10" s="2425" customFormat="1">
      <c r="A77" s="2327"/>
      <c r="B77" s="2346" t="s">
        <v>4948</v>
      </c>
      <c r="C77" s="2347" t="s">
        <v>2566</v>
      </c>
      <c r="D77" s="2347">
        <v>28</v>
      </c>
      <c r="E77" s="2347"/>
      <c r="F77" s="2347">
        <f t="shared" si="0"/>
        <v>28</v>
      </c>
      <c r="G77" s="2419">
        <v>628991</v>
      </c>
      <c r="H77" s="2419">
        <f t="shared" si="1"/>
        <v>17611748</v>
      </c>
      <c r="I77" s="2423"/>
      <c r="J77" s="2424"/>
    </row>
    <row r="78" spans="1:10" s="2425" customFormat="1">
      <c r="A78" s="2327"/>
      <c r="B78" s="2346" t="s">
        <v>4949</v>
      </c>
      <c r="C78" s="2347" t="s">
        <v>2566</v>
      </c>
      <c r="D78" s="2347">
        <v>28</v>
      </c>
      <c r="E78" s="2347"/>
      <c r="F78" s="2347">
        <f t="shared" si="0"/>
        <v>28</v>
      </c>
      <c r="G78" s="2419">
        <v>265755</v>
      </c>
      <c r="H78" s="2419">
        <f t="shared" si="1"/>
        <v>7441140</v>
      </c>
      <c r="I78" s="2423"/>
      <c r="J78" s="2424"/>
    </row>
    <row r="79" spans="1:10" s="2425" customFormat="1">
      <c r="A79" s="2353"/>
      <c r="B79" s="2356" t="s">
        <v>4950</v>
      </c>
      <c r="C79" s="2357" t="s">
        <v>2256</v>
      </c>
      <c r="D79" s="2357">
        <v>1</v>
      </c>
      <c r="E79" s="2357"/>
      <c r="F79" s="2347">
        <f t="shared" si="0"/>
        <v>1</v>
      </c>
      <c r="G79" s="2429">
        <v>35685</v>
      </c>
      <c r="H79" s="2419">
        <f t="shared" si="1"/>
        <v>35685</v>
      </c>
      <c r="I79" s="2423"/>
      <c r="J79" s="2424"/>
    </row>
    <row r="80" spans="1:10" s="2425" customFormat="1">
      <c r="A80" s="2327"/>
      <c r="B80" s="2346" t="s">
        <v>2660</v>
      </c>
      <c r="C80" s="2347" t="s">
        <v>2448</v>
      </c>
      <c r="D80" s="2347">
        <v>56</v>
      </c>
      <c r="E80" s="2347"/>
      <c r="F80" s="2347">
        <f t="shared" ref="F80:F143" si="2">D80+E80</f>
        <v>56</v>
      </c>
      <c r="G80" s="2419">
        <v>33655</v>
      </c>
      <c r="H80" s="2419">
        <f t="shared" ref="H80:H143" si="3">ROUND((G80*F80),0)</f>
        <v>1884680</v>
      </c>
      <c r="I80" s="2423"/>
      <c r="J80" s="2424"/>
    </row>
    <row r="81" spans="1:10" s="2425" customFormat="1">
      <c r="A81" s="2327"/>
      <c r="B81" s="2346" t="s">
        <v>2648</v>
      </c>
      <c r="C81" s="2347" t="s">
        <v>2448</v>
      </c>
      <c r="D81" s="2347">
        <v>28</v>
      </c>
      <c r="E81" s="2347"/>
      <c r="F81" s="2347">
        <f t="shared" si="2"/>
        <v>28</v>
      </c>
      <c r="G81" s="2419">
        <v>12882</v>
      </c>
      <c r="H81" s="2419">
        <f t="shared" si="3"/>
        <v>360696</v>
      </c>
      <c r="I81" s="2423"/>
      <c r="J81" s="2424"/>
    </row>
    <row r="82" spans="1:10" s="2425" customFormat="1">
      <c r="A82" s="2359"/>
      <c r="B82" s="2346" t="s">
        <v>4951</v>
      </c>
      <c r="C82" s="2347" t="s">
        <v>2448</v>
      </c>
      <c r="D82" s="2347">
        <v>1</v>
      </c>
      <c r="E82" s="2347"/>
      <c r="F82" s="2347">
        <f t="shared" si="2"/>
        <v>1</v>
      </c>
      <c r="G82" s="2419">
        <v>858327</v>
      </c>
      <c r="H82" s="2419">
        <f t="shared" si="3"/>
        <v>858327</v>
      </c>
      <c r="I82" s="2423"/>
      <c r="J82" s="2424"/>
    </row>
    <row r="83" spans="1:10" s="2425" customFormat="1">
      <c r="A83" s="2327">
        <v>14</v>
      </c>
      <c r="B83" s="2339" t="s">
        <v>2440</v>
      </c>
      <c r="C83" s="2327" t="s">
        <v>2394</v>
      </c>
      <c r="D83" s="2327">
        <v>1</v>
      </c>
      <c r="E83" s="2327"/>
      <c r="F83" s="2347">
        <f t="shared" si="2"/>
        <v>1</v>
      </c>
      <c r="G83" s="2419"/>
      <c r="H83" s="2419"/>
      <c r="I83" s="2423"/>
      <c r="J83" s="2424"/>
    </row>
    <row r="84" spans="1:10" s="2425" customFormat="1">
      <c r="A84" s="2327"/>
      <c r="B84" s="2346" t="s">
        <v>4948</v>
      </c>
      <c r="C84" s="2347" t="s">
        <v>2566</v>
      </c>
      <c r="D84" s="2347">
        <v>2</v>
      </c>
      <c r="E84" s="2347"/>
      <c r="F84" s="2347">
        <f t="shared" si="2"/>
        <v>2</v>
      </c>
      <c r="G84" s="2419">
        <v>628991</v>
      </c>
      <c r="H84" s="2419">
        <f t="shared" si="3"/>
        <v>1257982</v>
      </c>
      <c r="I84" s="2423"/>
      <c r="J84" s="2424"/>
    </row>
    <row r="85" spans="1:10" s="2425" customFormat="1">
      <c r="A85" s="2327"/>
      <c r="B85" s="2346" t="s">
        <v>4949</v>
      </c>
      <c r="C85" s="2347" t="s">
        <v>2566</v>
      </c>
      <c r="D85" s="2347">
        <v>2</v>
      </c>
      <c r="E85" s="2347"/>
      <c r="F85" s="2347">
        <f t="shared" si="2"/>
        <v>2</v>
      </c>
      <c r="G85" s="2419">
        <v>265755</v>
      </c>
      <c r="H85" s="2419">
        <f t="shared" si="3"/>
        <v>531510</v>
      </c>
      <c r="I85" s="2423"/>
      <c r="J85" s="2424"/>
    </row>
    <row r="86" spans="1:10" s="2425" customFormat="1">
      <c r="A86" s="2327"/>
      <c r="B86" s="2346" t="s">
        <v>2671</v>
      </c>
      <c r="C86" s="2347" t="s">
        <v>2448</v>
      </c>
      <c r="D86" s="2347">
        <v>3</v>
      </c>
      <c r="E86" s="2347"/>
      <c r="F86" s="2347">
        <f t="shared" si="2"/>
        <v>3</v>
      </c>
      <c r="G86" s="2419">
        <v>31798</v>
      </c>
      <c r="H86" s="2419">
        <f t="shared" si="3"/>
        <v>95394</v>
      </c>
      <c r="I86" s="2423"/>
      <c r="J86" s="2424"/>
    </row>
    <row r="87" spans="1:10" s="2425" customFormat="1">
      <c r="A87" s="2327"/>
      <c r="B87" s="2346" t="s">
        <v>2660</v>
      </c>
      <c r="C87" s="2347" t="s">
        <v>2448</v>
      </c>
      <c r="D87" s="2347">
        <v>2</v>
      </c>
      <c r="E87" s="2347"/>
      <c r="F87" s="2347">
        <f t="shared" si="2"/>
        <v>2</v>
      </c>
      <c r="G87" s="2419">
        <v>33655</v>
      </c>
      <c r="H87" s="2419">
        <f t="shared" si="3"/>
        <v>67310</v>
      </c>
      <c r="I87" s="2423"/>
      <c r="J87" s="2424"/>
    </row>
    <row r="88" spans="1:10" s="2425" customFormat="1">
      <c r="A88" s="2327"/>
      <c r="B88" s="2346" t="s">
        <v>2648</v>
      </c>
      <c r="C88" s="2347" t="s">
        <v>2448</v>
      </c>
      <c r="D88" s="2347">
        <v>2</v>
      </c>
      <c r="E88" s="2347"/>
      <c r="F88" s="2347">
        <f t="shared" si="2"/>
        <v>2</v>
      </c>
      <c r="G88" s="2419">
        <v>12882</v>
      </c>
      <c r="H88" s="2419">
        <f t="shared" si="3"/>
        <v>25764</v>
      </c>
      <c r="I88" s="2423"/>
      <c r="J88" s="2424"/>
    </row>
    <row r="89" spans="1:10" s="2425" customFormat="1">
      <c r="A89" s="2359"/>
      <c r="B89" s="2346" t="s">
        <v>4952</v>
      </c>
      <c r="C89" s="2347" t="s">
        <v>2448</v>
      </c>
      <c r="D89" s="2347">
        <v>1</v>
      </c>
      <c r="E89" s="2347"/>
      <c r="F89" s="2347">
        <f t="shared" si="2"/>
        <v>1</v>
      </c>
      <c r="G89" s="2419">
        <v>1161268</v>
      </c>
      <c r="H89" s="2419">
        <f t="shared" si="3"/>
        <v>1161268</v>
      </c>
      <c r="I89" s="2423"/>
      <c r="J89" s="2424"/>
    </row>
    <row r="90" spans="1:10" s="2425" customFormat="1">
      <c r="A90" s="2327">
        <v>15</v>
      </c>
      <c r="B90" s="2339" t="s">
        <v>4953</v>
      </c>
      <c r="C90" s="2327" t="s">
        <v>2394</v>
      </c>
      <c r="D90" s="2347">
        <v>1</v>
      </c>
      <c r="E90" s="2347"/>
      <c r="F90" s="2347">
        <f t="shared" si="2"/>
        <v>1</v>
      </c>
      <c r="G90" s="2419">
        <v>0</v>
      </c>
      <c r="H90" s="2419">
        <f t="shared" si="3"/>
        <v>0</v>
      </c>
      <c r="I90" s="2423"/>
      <c r="J90" s="2424"/>
    </row>
    <row r="91" spans="1:10" s="2425" customFormat="1">
      <c r="A91" s="2327"/>
      <c r="B91" s="2346" t="s">
        <v>4954</v>
      </c>
      <c r="C91" s="2347" t="s">
        <v>2601</v>
      </c>
      <c r="D91" s="2347">
        <v>1</v>
      </c>
      <c r="E91" s="2347"/>
      <c r="F91" s="2347">
        <f t="shared" si="2"/>
        <v>1</v>
      </c>
      <c r="G91" s="2419">
        <v>371360</v>
      </c>
      <c r="H91" s="2419">
        <f t="shared" si="3"/>
        <v>371360</v>
      </c>
      <c r="I91" s="2423"/>
      <c r="J91" s="2424"/>
    </row>
    <row r="92" spans="1:10" s="2425" customFormat="1">
      <c r="A92" s="2327"/>
      <c r="B92" s="2346" t="s">
        <v>4955</v>
      </c>
      <c r="C92" s="2347" t="s">
        <v>2601</v>
      </c>
      <c r="D92" s="2347">
        <v>1</v>
      </c>
      <c r="E92" s="2347"/>
      <c r="F92" s="2347">
        <f t="shared" si="2"/>
        <v>1</v>
      </c>
      <c r="G92" s="2419">
        <v>116050</v>
      </c>
      <c r="H92" s="2419">
        <f t="shared" si="3"/>
        <v>116050</v>
      </c>
      <c r="I92" s="2423"/>
      <c r="J92" s="2424"/>
    </row>
    <row r="93" spans="1:10" s="2425" customFormat="1">
      <c r="A93" s="2327"/>
      <c r="B93" s="2346" t="s">
        <v>2663</v>
      </c>
      <c r="C93" s="2347" t="s">
        <v>2448</v>
      </c>
      <c r="D93" s="2347">
        <v>2</v>
      </c>
      <c r="E93" s="2347"/>
      <c r="F93" s="2347">
        <f t="shared" si="2"/>
        <v>2</v>
      </c>
      <c r="G93" s="2419">
        <v>35976</v>
      </c>
      <c r="H93" s="2419">
        <f t="shared" si="3"/>
        <v>71952</v>
      </c>
      <c r="I93" s="2423"/>
      <c r="J93" s="2424"/>
    </row>
    <row r="94" spans="1:10" s="2425" customFormat="1">
      <c r="A94" s="2327"/>
      <c r="B94" s="2346" t="s">
        <v>2651</v>
      </c>
      <c r="C94" s="2347" t="s">
        <v>2448</v>
      </c>
      <c r="D94" s="2347">
        <v>1</v>
      </c>
      <c r="E94" s="2347"/>
      <c r="F94" s="2347">
        <f t="shared" si="2"/>
        <v>1</v>
      </c>
      <c r="G94" s="2419">
        <v>19032</v>
      </c>
      <c r="H94" s="2419">
        <f t="shared" si="3"/>
        <v>19032</v>
      </c>
      <c r="I94" s="2423"/>
      <c r="J94" s="2424"/>
    </row>
    <row r="95" spans="1:10" s="2425" customFormat="1">
      <c r="A95" s="2327"/>
      <c r="B95" s="2346" t="s">
        <v>4956</v>
      </c>
      <c r="C95" s="2347" t="s">
        <v>2448</v>
      </c>
      <c r="D95" s="2347">
        <v>1</v>
      </c>
      <c r="E95" s="2347"/>
      <c r="F95" s="2347">
        <f t="shared" si="2"/>
        <v>1</v>
      </c>
      <c r="G95" s="2419">
        <v>387461</v>
      </c>
      <c r="H95" s="2419">
        <f t="shared" si="3"/>
        <v>387461</v>
      </c>
      <c r="I95" s="2423"/>
      <c r="J95" s="2424"/>
    </row>
    <row r="96" spans="1:10" s="2425" customFormat="1">
      <c r="A96" s="2327" t="s">
        <v>1903</v>
      </c>
      <c r="B96" s="2339" t="s">
        <v>4957</v>
      </c>
      <c r="C96" s="2347"/>
      <c r="D96" s="2358"/>
      <c r="E96" s="2358"/>
      <c r="F96" s="2347"/>
      <c r="G96" s="2419"/>
      <c r="H96" s="2419"/>
      <c r="I96" s="2423"/>
      <c r="J96" s="2424"/>
    </row>
    <row r="97" spans="1:10" s="2425" customFormat="1">
      <c r="A97" s="2359">
        <v>16</v>
      </c>
      <c r="B97" s="2339" t="s">
        <v>4958</v>
      </c>
      <c r="C97" s="2327" t="s">
        <v>2309</v>
      </c>
      <c r="D97" s="2347">
        <v>1</v>
      </c>
      <c r="E97" s="2347"/>
      <c r="F97" s="2347">
        <f t="shared" si="2"/>
        <v>1</v>
      </c>
      <c r="G97" s="2419"/>
      <c r="H97" s="2419"/>
      <c r="I97" s="2423"/>
      <c r="J97" s="2424"/>
    </row>
    <row r="98" spans="1:10" s="2425" customFormat="1">
      <c r="A98" s="2359"/>
      <c r="B98" s="2346" t="s">
        <v>4959</v>
      </c>
      <c r="C98" s="2347" t="s">
        <v>2541</v>
      </c>
      <c r="D98" s="2427">
        <v>3716</v>
      </c>
      <c r="E98" s="2427"/>
      <c r="F98" s="2347">
        <f t="shared" si="2"/>
        <v>3716</v>
      </c>
      <c r="G98" s="2419">
        <v>70791</v>
      </c>
      <c r="H98" s="2419">
        <f t="shared" si="3"/>
        <v>263059356</v>
      </c>
      <c r="I98" s="2423"/>
      <c r="J98" s="2424"/>
    </row>
    <row r="99" spans="1:10" s="2425" customFormat="1">
      <c r="A99" s="2327"/>
      <c r="B99" s="2346" t="s">
        <v>4960</v>
      </c>
      <c r="C99" s="2347" t="s">
        <v>2541</v>
      </c>
      <c r="D99" s="2347">
        <v>12</v>
      </c>
      <c r="E99" s="2347"/>
      <c r="F99" s="2347">
        <f t="shared" si="2"/>
        <v>12</v>
      </c>
      <c r="G99" s="2419">
        <v>115586</v>
      </c>
      <c r="H99" s="2419">
        <f t="shared" si="3"/>
        <v>1387032</v>
      </c>
      <c r="I99" s="2423"/>
      <c r="J99" s="2424"/>
    </row>
    <row r="100" spans="1:10" s="2425" customFormat="1">
      <c r="A100" s="2327"/>
      <c r="B100" s="2346" t="s">
        <v>3532</v>
      </c>
      <c r="C100" s="2347" t="s">
        <v>2541</v>
      </c>
      <c r="D100" s="2347">
        <v>490</v>
      </c>
      <c r="E100" s="2347"/>
      <c r="F100" s="2347">
        <f t="shared" si="2"/>
        <v>490</v>
      </c>
      <c r="G100" s="2419">
        <v>56632</v>
      </c>
      <c r="H100" s="2419">
        <f t="shared" si="3"/>
        <v>27749680</v>
      </c>
      <c r="I100" s="2423"/>
      <c r="J100" s="2424"/>
    </row>
    <row r="101" spans="1:10" s="2425" customFormat="1">
      <c r="A101" s="2327">
        <v>17</v>
      </c>
      <c r="B101" s="2339" t="s">
        <v>2542</v>
      </c>
      <c r="C101" s="2327" t="s">
        <v>2448</v>
      </c>
      <c r="D101" s="2347">
        <v>27</v>
      </c>
      <c r="E101" s="2347"/>
      <c r="F101" s="2347">
        <f t="shared" si="2"/>
        <v>27</v>
      </c>
      <c r="G101" s="2419"/>
      <c r="H101" s="2419">
        <f t="shared" si="3"/>
        <v>0</v>
      </c>
      <c r="I101" s="2423"/>
      <c r="J101" s="2424"/>
    </row>
    <row r="102" spans="1:10" s="2425" customFormat="1">
      <c r="A102" s="2327"/>
      <c r="B102" s="2346" t="s">
        <v>2951</v>
      </c>
      <c r="C102" s="2347" t="s">
        <v>2448</v>
      </c>
      <c r="D102" s="2347">
        <v>27</v>
      </c>
      <c r="E102" s="2347"/>
      <c r="F102" s="2347">
        <f t="shared" si="2"/>
        <v>27</v>
      </c>
      <c r="G102" s="2419">
        <v>40618</v>
      </c>
      <c r="H102" s="2419">
        <f t="shared" si="3"/>
        <v>1096686</v>
      </c>
      <c r="I102" s="2423"/>
      <c r="J102" s="2424"/>
    </row>
    <row r="103" spans="1:10" s="2425" customFormat="1">
      <c r="A103" s="2327"/>
      <c r="B103" s="2346" t="s">
        <v>2660</v>
      </c>
      <c r="C103" s="2347" t="s">
        <v>2448</v>
      </c>
      <c r="D103" s="2347">
        <v>27</v>
      </c>
      <c r="E103" s="2347"/>
      <c r="F103" s="2347">
        <f t="shared" si="2"/>
        <v>27</v>
      </c>
      <c r="G103" s="2419">
        <v>33655</v>
      </c>
      <c r="H103" s="2419">
        <f t="shared" si="3"/>
        <v>908685</v>
      </c>
      <c r="I103" s="2423"/>
      <c r="J103" s="2424"/>
    </row>
    <row r="104" spans="1:10" s="2425" customFormat="1">
      <c r="A104" s="2327">
        <v>18</v>
      </c>
      <c r="B104" s="2339" t="s">
        <v>2514</v>
      </c>
      <c r="C104" s="2327" t="s">
        <v>2448</v>
      </c>
      <c r="D104" s="2347">
        <v>89</v>
      </c>
      <c r="E104" s="2347"/>
      <c r="F104" s="2347">
        <f t="shared" si="2"/>
        <v>89</v>
      </c>
      <c r="G104" s="2419"/>
      <c r="H104" s="2419">
        <f t="shared" si="3"/>
        <v>0</v>
      </c>
      <c r="I104" s="2423"/>
      <c r="J104" s="2424"/>
    </row>
    <row r="105" spans="1:10" s="2425" customFormat="1">
      <c r="A105" s="2327"/>
      <c r="B105" s="2346" t="s">
        <v>4961</v>
      </c>
      <c r="C105" s="2347" t="s">
        <v>2566</v>
      </c>
      <c r="D105" s="2347">
        <v>89</v>
      </c>
      <c r="E105" s="2347"/>
      <c r="F105" s="2347">
        <f t="shared" si="2"/>
        <v>89</v>
      </c>
      <c r="G105" s="2419">
        <v>255310</v>
      </c>
      <c r="H105" s="2419">
        <f t="shared" si="3"/>
        <v>22722590</v>
      </c>
      <c r="I105" s="2423"/>
      <c r="J105" s="2424"/>
    </row>
    <row r="106" spans="1:10" s="2425" customFormat="1">
      <c r="A106" s="2327"/>
      <c r="B106" s="2346" t="s">
        <v>4962</v>
      </c>
      <c r="C106" s="2347" t="s">
        <v>2566</v>
      </c>
      <c r="D106" s="2347">
        <v>89</v>
      </c>
      <c r="E106" s="2347"/>
      <c r="F106" s="2347">
        <f t="shared" si="2"/>
        <v>89</v>
      </c>
      <c r="G106" s="2419">
        <v>78914</v>
      </c>
      <c r="H106" s="2419">
        <f t="shared" si="3"/>
        <v>7023346</v>
      </c>
      <c r="I106" s="2423"/>
      <c r="J106" s="2424"/>
    </row>
    <row r="107" spans="1:10" s="2425" customFormat="1">
      <c r="A107" s="2327">
        <v>19</v>
      </c>
      <c r="B107" s="2339" t="s">
        <v>2525</v>
      </c>
      <c r="C107" s="2327" t="s">
        <v>2521</v>
      </c>
      <c r="D107" s="2347">
        <v>26</v>
      </c>
      <c r="E107" s="2347"/>
      <c r="F107" s="2347">
        <f t="shared" si="2"/>
        <v>26</v>
      </c>
      <c r="G107" s="2419"/>
      <c r="H107" s="2419"/>
      <c r="I107" s="2423"/>
      <c r="J107" s="2424"/>
    </row>
    <row r="108" spans="1:10" s="2425" customFormat="1">
      <c r="A108" s="2327"/>
      <c r="B108" s="2346" t="s">
        <v>4963</v>
      </c>
      <c r="C108" s="2347" t="s">
        <v>2521</v>
      </c>
      <c r="D108" s="2347">
        <v>26</v>
      </c>
      <c r="E108" s="2347"/>
      <c r="F108" s="2347">
        <f t="shared" si="2"/>
        <v>26</v>
      </c>
      <c r="G108" s="2419">
        <v>290125</v>
      </c>
      <c r="H108" s="2419">
        <f t="shared" si="3"/>
        <v>7543250</v>
      </c>
      <c r="I108" s="2423"/>
      <c r="J108" s="2424"/>
    </row>
    <row r="109" spans="1:10" s="2425" customFormat="1">
      <c r="A109" s="2327"/>
      <c r="B109" s="2346" t="s">
        <v>2932</v>
      </c>
      <c r="C109" s="2347" t="s">
        <v>2566</v>
      </c>
      <c r="D109" s="2347">
        <v>52</v>
      </c>
      <c r="E109" s="2347"/>
      <c r="F109" s="2347">
        <f t="shared" si="2"/>
        <v>52</v>
      </c>
      <c r="G109" s="2419">
        <v>25531</v>
      </c>
      <c r="H109" s="2419">
        <f t="shared" si="3"/>
        <v>1327612</v>
      </c>
      <c r="I109" s="2423"/>
      <c r="J109" s="2424"/>
    </row>
    <row r="110" spans="1:10" s="2425" customFormat="1">
      <c r="A110" s="2327"/>
      <c r="B110" s="2346" t="s">
        <v>4964</v>
      </c>
      <c r="C110" s="2347" t="s">
        <v>2448</v>
      </c>
      <c r="D110" s="2347">
        <v>26</v>
      </c>
      <c r="E110" s="2347"/>
      <c r="F110" s="2347">
        <f t="shared" si="2"/>
        <v>26</v>
      </c>
      <c r="G110" s="2419">
        <v>359755</v>
      </c>
      <c r="H110" s="2419">
        <f t="shared" si="3"/>
        <v>9353630</v>
      </c>
      <c r="I110" s="2423"/>
      <c r="J110" s="2424"/>
    </row>
    <row r="111" spans="1:10" s="2425" customFormat="1">
      <c r="A111" s="2327"/>
      <c r="B111" s="2346" t="s">
        <v>4965</v>
      </c>
      <c r="C111" s="2347" t="s">
        <v>4966</v>
      </c>
      <c r="D111" s="2347">
        <v>90</v>
      </c>
      <c r="E111" s="2347"/>
      <c r="F111" s="2347">
        <f t="shared" si="2"/>
        <v>90</v>
      </c>
      <c r="G111" s="2419">
        <v>261113</v>
      </c>
      <c r="H111" s="2419">
        <f t="shared" si="3"/>
        <v>23500170</v>
      </c>
      <c r="I111" s="2423"/>
      <c r="J111" s="2424"/>
    </row>
    <row r="112" spans="1:10" s="2425" customFormat="1">
      <c r="A112" s="2327"/>
      <c r="B112" s="2346" t="s">
        <v>4967</v>
      </c>
      <c r="C112" s="2347" t="s">
        <v>4966</v>
      </c>
      <c r="D112" s="2347">
        <v>6</v>
      </c>
      <c r="E112" s="2347"/>
      <c r="F112" s="2347">
        <f t="shared" si="2"/>
        <v>6</v>
      </c>
      <c r="G112" s="2419">
        <v>261113</v>
      </c>
      <c r="H112" s="2419">
        <f t="shared" si="3"/>
        <v>1566678</v>
      </c>
      <c r="I112" s="2423"/>
      <c r="J112" s="2424"/>
    </row>
    <row r="113" spans="1:10" s="2425" customFormat="1">
      <c r="A113" s="2327"/>
      <c r="B113" s="2346" t="s">
        <v>2892</v>
      </c>
      <c r="C113" s="2347" t="s">
        <v>2566</v>
      </c>
      <c r="D113" s="2347">
        <v>10</v>
      </c>
      <c r="E113" s="2347"/>
      <c r="F113" s="2347">
        <f t="shared" si="2"/>
        <v>10</v>
      </c>
      <c r="G113" s="2419">
        <v>9865</v>
      </c>
      <c r="H113" s="2419">
        <f t="shared" si="3"/>
        <v>98650</v>
      </c>
      <c r="I113" s="2423"/>
      <c r="J113" s="2424"/>
    </row>
    <row r="114" spans="1:10" s="2425" customFormat="1">
      <c r="A114" s="2327"/>
      <c r="B114" s="2346" t="s">
        <v>4968</v>
      </c>
      <c r="C114" s="2347" t="s">
        <v>2566</v>
      </c>
      <c r="D114" s="2347">
        <v>150</v>
      </c>
      <c r="E114" s="2347"/>
      <c r="F114" s="2347">
        <f t="shared" si="2"/>
        <v>150</v>
      </c>
      <c r="G114" s="2419">
        <v>69630</v>
      </c>
      <c r="H114" s="2419">
        <f t="shared" si="3"/>
        <v>10444500</v>
      </c>
      <c r="I114" s="2423"/>
      <c r="J114" s="2424"/>
    </row>
    <row r="115" spans="1:10" s="2425" customFormat="1">
      <c r="A115" s="2327"/>
      <c r="B115" s="2346" t="s">
        <v>4969</v>
      </c>
      <c r="C115" s="2347" t="s">
        <v>2541</v>
      </c>
      <c r="D115" s="2347">
        <v>3</v>
      </c>
      <c r="E115" s="2347"/>
      <c r="F115" s="2347">
        <f t="shared" si="2"/>
        <v>3</v>
      </c>
      <c r="G115" s="2419">
        <v>168273</v>
      </c>
      <c r="H115" s="2419">
        <f t="shared" si="3"/>
        <v>504819</v>
      </c>
      <c r="I115" s="2423"/>
      <c r="J115" s="2424"/>
    </row>
    <row r="116" spans="1:10" s="2425" customFormat="1">
      <c r="A116" s="2327"/>
      <c r="B116" s="2346" t="s">
        <v>3815</v>
      </c>
      <c r="C116" s="2347" t="s">
        <v>2566</v>
      </c>
      <c r="D116" s="2347">
        <v>10</v>
      </c>
      <c r="E116" s="2347"/>
      <c r="F116" s="2347">
        <f t="shared" si="2"/>
        <v>10</v>
      </c>
      <c r="G116" s="2419">
        <v>52223</v>
      </c>
      <c r="H116" s="2419">
        <f t="shared" si="3"/>
        <v>522230</v>
      </c>
      <c r="I116" s="2423"/>
      <c r="J116" s="2424"/>
    </row>
    <row r="117" spans="1:10" s="2425" customFormat="1">
      <c r="A117" s="2327"/>
      <c r="B117" s="2346" t="s">
        <v>4365</v>
      </c>
      <c r="C117" s="2347" t="s">
        <v>2566</v>
      </c>
      <c r="D117" s="2347">
        <v>10</v>
      </c>
      <c r="E117" s="2347"/>
      <c r="F117" s="2347">
        <f t="shared" si="2"/>
        <v>10</v>
      </c>
      <c r="G117" s="2419">
        <v>75433</v>
      </c>
      <c r="H117" s="2419">
        <f t="shared" si="3"/>
        <v>754330</v>
      </c>
      <c r="I117" s="2423"/>
      <c r="J117" s="2424"/>
    </row>
    <row r="118" spans="1:10" s="2425" customFormat="1">
      <c r="A118" s="2327"/>
      <c r="B118" s="2346" t="s">
        <v>4970</v>
      </c>
      <c r="C118" s="2347" t="s">
        <v>2566</v>
      </c>
      <c r="D118" s="2347">
        <v>13</v>
      </c>
      <c r="E118" s="2347"/>
      <c r="F118" s="2347">
        <f t="shared" si="2"/>
        <v>13</v>
      </c>
      <c r="G118" s="2419">
        <v>141581</v>
      </c>
      <c r="H118" s="2419">
        <f t="shared" si="3"/>
        <v>1840553</v>
      </c>
      <c r="I118" s="2423"/>
      <c r="J118" s="2424"/>
    </row>
    <row r="119" spans="1:10" s="2425" customFormat="1">
      <c r="A119" s="2327"/>
      <c r="B119" s="2346" t="s">
        <v>2901</v>
      </c>
      <c r="C119" s="2347" t="s">
        <v>2566</v>
      </c>
      <c r="D119" s="2347">
        <v>3</v>
      </c>
      <c r="E119" s="2347"/>
      <c r="F119" s="2347">
        <f t="shared" si="2"/>
        <v>3</v>
      </c>
      <c r="G119" s="2419">
        <v>73112</v>
      </c>
      <c r="H119" s="2419">
        <f t="shared" si="3"/>
        <v>219336</v>
      </c>
      <c r="I119" s="2423"/>
      <c r="J119" s="2424"/>
    </row>
    <row r="120" spans="1:10" s="2425" customFormat="1">
      <c r="A120" s="2327"/>
      <c r="B120" s="2346" t="s">
        <v>2902</v>
      </c>
      <c r="C120" s="2347" t="s">
        <v>2566</v>
      </c>
      <c r="D120" s="2347">
        <v>3</v>
      </c>
      <c r="E120" s="2347"/>
      <c r="F120" s="2347">
        <f t="shared" si="2"/>
        <v>3</v>
      </c>
      <c r="G120" s="2419">
        <v>109668</v>
      </c>
      <c r="H120" s="2419">
        <f t="shared" si="3"/>
        <v>329004</v>
      </c>
      <c r="I120" s="2423"/>
      <c r="J120" s="2424"/>
    </row>
    <row r="121" spans="1:10" s="2425" customFormat="1">
      <c r="A121" s="2327"/>
      <c r="B121" s="2346" t="s">
        <v>2943</v>
      </c>
      <c r="C121" s="2347" t="s">
        <v>2566</v>
      </c>
      <c r="D121" s="2347">
        <v>1</v>
      </c>
      <c r="E121" s="2347"/>
      <c r="F121" s="2347">
        <f t="shared" si="2"/>
        <v>1</v>
      </c>
      <c r="G121" s="2419">
        <v>34815</v>
      </c>
      <c r="H121" s="2419">
        <f t="shared" si="3"/>
        <v>34815</v>
      </c>
      <c r="I121" s="2423"/>
      <c r="J121" s="2424"/>
    </row>
    <row r="122" spans="1:10" s="2425" customFormat="1">
      <c r="A122" s="2327"/>
      <c r="B122" s="2346" t="s">
        <v>2945</v>
      </c>
      <c r="C122" s="2360" t="s">
        <v>2566</v>
      </c>
      <c r="D122" s="2347">
        <v>12</v>
      </c>
      <c r="E122" s="2347"/>
      <c r="F122" s="2347">
        <f t="shared" si="2"/>
        <v>12</v>
      </c>
      <c r="G122" s="2419">
        <v>45260</v>
      </c>
      <c r="H122" s="2419">
        <f t="shared" si="3"/>
        <v>543120</v>
      </c>
      <c r="I122" s="2423"/>
      <c r="J122" s="2424"/>
    </row>
    <row r="123" spans="1:10" s="2425" customFormat="1" ht="27.6">
      <c r="A123" s="2327"/>
      <c r="B123" s="2346" t="s">
        <v>4971</v>
      </c>
      <c r="C123" s="2347" t="s">
        <v>2448</v>
      </c>
      <c r="D123" s="2347">
        <v>6</v>
      </c>
      <c r="E123" s="2347"/>
      <c r="F123" s="2347">
        <f t="shared" si="2"/>
        <v>6</v>
      </c>
      <c r="G123" s="2419">
        <v>46420</v>
      </c>
      <c r="H123" s="2419">
        <f t="shared" si="3"/>
        <v>278520</v>
      </c>
      <c r="I123" s="2423"/>
      <c r="J123" s="2424"/>
    </row>
    <row r="124" spans="1:10" s="2425" customFormat="1" ht="27.6">
      <c r="A124" s="2327"/>
      <c r="B124" s="2346" t="s">
        <v>4972</v>
      </c>
      <c r="C124" s="2347" t="s">
        <v>2448</v>
      </c>
      <c r="D124" s="2347">
        <v>6</v>
      </c>
      <c r="E124" s="2347"/>
      <c r="F124" s="2347">
        <f t="shared" si="2"/>
        <v>6</v>
      </c>
      <c r="G124" s="2419">
        <v>55704</v>
      </c>
      <c r="H124" s="2419">
        <f t="shared" si="3"/>
        <v>334224</v>
      </c>
      <c r="I124" s="2423"/>
      <c r="J124" s="2424"/>
    </row>
    <row r="125" spans="1:10" s="2425" customFormat="1" ht="27.6">
      <c r="A125" s="2327"/>
      <c r="B125" s="2346" t="s">
        <v>4973</v>
      </c>
      <c r="C125" s="2347" t="s">
        <v>2448</v>
      </c>
      <c r="D125" s="2347">
        <v>6</v>
      </c>
      <c r="E125" s="2347"/>
      <c r="F125" s="2347">
        <f t="shared" si="2"/>
        <v>6</v>
      </c>
      <c r="G125" s="2419">
        <v>73112</v>
      </c>
      <c r="H125" s="2419">
        <f t="shared" si="3"/>
        <v>438672</v>
      </c>
      <c r="I125" s="2423"/>
      <c r="J125" s="2424"/>
    </row>
    <row r="126" spans="1:10" s="2425" customFormat="1">
      <c r="A126" s="2327"/>
      <c r="B126" s="2346" t="s">
        <v>4974</v>
      </c>
      <c r="C126" s="2347" t="s">
        <v>2566</v>
      </c>
      <c r="D126" s="2347">
        <v>14</v>
      </c>
      <c r="E126" s="2347"/>
      <c r="F126" s="2347">
        <f t="shared" si="2"/>
        <v>14</v>
      </c>
      <c r="G126" s="2419">
        <v>150865</v>
      </c>
      <c r="H126" s="2419">
        <f t="shared" si="3"/>
        <v>2112110</v>
      </c>
      <c r="I126" s="2423"/>
      <c r="J126" s="2424"/>
    </row>
    <row r="127" spans="1:10" s="2425" customFormat="1" ht="27.6">
      <c r="A127" s="2327"/>
      <c r="B127" s="2346" t="s">
        <v>4975</v>
      </c>
      <c r="C127" s="2347" t="s">
        <v>2044</v>
      </c>
      <c r="D127" s="2347">
        <v>3.6440000000000001</v>
      </c>
      <c r="E127" s="2347"/>
      <c r="F127" s="2347">
        <f t="shared" si="2"/>
        <v>3.6440000000000001</v>
      </c>
      <c r="G127" s="2419">
        <v>6783663</v>
      </c>
      <c r="H127" s="2419">
        <f t="shared" si="3"/>
        <v>24719668</v>
      </c>
      <c r="I127" s="2423"/>
      <c r="J127" s="2424"/>
    </row>
    <row r="128" spans="1:10" s="2425" customFormat="1">
      <c r="A128" s="2327"/>
      <c r="B128" s="2346" t="s">
        <v>3294</v>
      </c>
      <c r="C128" s="2347" t="s">
        <v>2448</v>
      </c>
      <c r="D128" s="2347">
        <v>89</v>
      </c>
      <c r="E128" s="2347"/>
      <c r="F128" s="2347">
        <f t="shared" si="2"/>
        <v>89</v>
      </c>
      <c r="G128" s="2419">
        <v>143261</v>
      </c>
      <c r="H128" s="2419">
        <f t="shared" si="3"/>
        <v>12750229</v>
      </c>
      <c r="I128" s="2423"/>
      <c r="J128" s="2424"/>
    </row>
    <row r="129" spans="1:10" s="2425" customFormat="1">
      <c r="A129" s="2327"/>
      <c r="B129" s="2346" t="s">
        <v>3299</v>
      </c>
      <c r="C129" s="2347" t="s">
        <v>2521</v>
      </c>
      <c r="D129" s="2347">
        <v>26</v>
      </c>
      <c r="E129" s="2347"/>
      <c r="F129" s="2347">
        <f t="shared" si="2"/>
        <v>26</v>
      </c>
      <c r="G129" s="2419">
        <v>146494</v>
      </c>
      <c r="H129" s="2419">
        <f t="shared" si="3"/>
        <v>3808844</v>
      </c>
      <c r="I129" s="2423"/>
      <c r="J129" s="2424"/>
    </row>
    <row r="130" spans="1:10" s="2425" customFormat="1">
      <c r="A130" s="2327"/>
      <c r="B130" s="2346" t="s">
        <v>3301</v>
      </c>
      <c r="C130" s="2347" t="s">
        <v>2448</v>
      </c>
      <c r="D130" s="2347">
        <v>27</v>
      </c>
      <c r="E130" s="2347"/>
      <c r="F130" s="2347">
        <f t="shared" si="2"/>
        <v>27</v>
      </c>
      <c r="G130" s="2419">
        <v>38035</v>
      </c>
      <c r="H130" s="2419">
        <f t="shared" si="3"/>
        <v>1026945</v>
      </c>
      <c r="I130" s="2423"/>
      <c r="J130" s="2424"/>
    </row>
    <row r="131" spans="1:10" s="2425" customFormat="1" ht="24" customHeight="1">
      <c r="A131" s="2327">
        <v>20</v>
      </c>
      <c r="B131" s="2339" t="s">
        <v>4976</v>
      </c>
      <c r="C131" s="2347"/>
      <c r="D131" s="2347"/>
      <c r="E131" s="2347"/>
      <c r="F131" s="2347">
        <f t="shared" si="2"/>
        <v>0</v>
      </c>
      <c r="G131" s="2419">
        <v>0</v>
      </c>
      <c r="H131" s="2419">
        <f t="shared" si="3"/>
        <v>0</v>
      </c>
      <c r="I131" s="2423"/>
      <c r="J131" s="2424"/>
    </row>
    <row r="132" spans="1:10" s="2425" customFormat="1">
      <c r="A132" s="2327"/>
      <c r="B132" s="2346" t="s">
        <v>4515</v>
      </c>
      <c r="C132" s="2347" t="s">
        <v>2541</v>
      </c>
      <c r="D132" s="2347">
        <v>449</v>
      </c>
      <c r="E132" s="2347"/>
      <c r="F132" s="2347">
        <f t="shared" si="2"/>
        <v>449</v>
      </c>
      <c r="G132" s="2419">
        <v>129164</v>
      </c>
      <c r="H132" s="2419">
        <f t="shared" si="3"/>
        <v>57994636</v>
      </c>
      <c r="I132" s="2423"/>
      <c r="J132" s="2424"/>
    </row>
    <row r="133" spans="1:10" s="2425" customFormat="1">
      <c r="A133" s="2327"/>
      <c r="B133" s="2346" t="s">
        <v>4977</v>
      </c>
      <c r="C133" s="2347" t="s">
        <v>2541</v>
      </c>
      <c r="D133" s="2347">
        <v>61</v>
      </c>
      <c r="E133" s="2347"/>
      <c r="F133" s="2347">
        <f t="shared" si="2"/>
        <v>61</v>
      </c>
      <c r="G133" s="2419">
        <v>826972</v>
      </c>
      <c r="H133" s="2419">
        <f t="shared" si="3"/>
        <v>50445292</v>
      </c>
      <c r="I133" s="2423"/>
      <c r="J133" s="2424"/>
    </row>
    <row r="134" spans="1:10" s="2425" customFormat="1">
      <c r="A134" s="2327"/>
      <c r="B134" s="2346" t="s">
        <v>2656</v>
      </c>
      <c r="C134" s="2347" t="s">
        <v>2448</v>
      </c>
      <c r="D134" s="2347">
        <v>11</v>
      </c>
      <c r="E134" s="2347"/>
      <c r="F134" s="2347">
        <f t="shared" si="2"/>
        <v>11</v>
      </c>
      <c r="G134" s="2419">
        <v>31334</v>
      </c>
      <c r="H134" s="2419">
        <f t="shared" si="3"/>
        <v>344674</v>
      </c>
      <c r="I134" s="2423"/>
      <c r="J134" s="2424"/>
    </row>
    <row r="135" spans="1:10" s="2425" customFormat="1" ht="24" customHeight="1">
      <c r="A135" s="2327"/>
      <c r="B135" s="2346" t="s">
        <v>2697</v>
      </c>
      <c r="C135" s="2347" t="s">
        <v>2448</v>
      </c>
      <c r="D135" s="2347">
        <v>11</v>
      </c>
      <c r="E135" s="2347"/>
      <c r="F135" s="2347">
        <f t="shared" si="2"/>
        <v>11</v>
      </c>
      <c r="G135" s="2419">
        <v>39457</v>
      </c>
      <c r="H135" s="2419">
        <f t="shared" si="3"/>
        <v>434027</v>
      </c>
      <c r="I135" s="2423"/>
      <c r="J135" s="2424"/>
    </row>
    <row r="136" spans="1:10" s="2425" customFormat="1">
      <c r="A136" s="2327"/>
      <c r="B136" s="2346" t="s">
        <v>4968</v>
      </c>
      <c r="C136" s="2347" t="s">
        <v>2566</v>
      </c>
      <c r="D136" s="2347">
        <v>55</v>
      </c>
      <c r="E136" s="2347"/>
      <c r="F136" s="2347">
        <f t="shared" si="2"/>
        <v>55</v>
      </c>
      <c r="G136" s="2419">
        <v>69630</v>
      </c>
      <c r="H136" s="2419">
        <f t="shared" si="3"/>
        <v>3829650</v>
      </c>
      <c r="I136" s="2423"/>
      <c r="J136" s="2424"/>
    </row>
    <row r="137" spans="1:10" s="2425" customFormat="1">
      <c r="A137" s="2327"/>
      <c r="B137" s="2346" t="s">
        <v>4978</v>
      </c>
      <c r="C137" s="2347" t="s">
        <v>2566</v>
      </c>
      <c r="D137" s="2347">
        <v>11</v>
      </c>
      <c r="E137" s="2347"/>
      <c r="F137" s="2347">
        <f t="shared" si="2"/>
        <v>11</v>
      </c>
      <c r="G137" s="2419">
        <v>429385</v>
      </c>
      <c r="H137" s="2419">
        <f t="shared" si="3"/>
        <v>4723235</v>
      </c>
      <c r="I137" s="2423"/>
      <c r="J137" s="2424"/>
    </row>
    <row r="138" spans="1:10" s="2425" customFormat="1">
      <c r="A138" s="2327"/>
      <c r="B138" s="2346" t="s">
        <v>2801</v>
      </c>
      <c r="C138" s="2347" t="s">
        <v>2541</v>
      </c>
      <c r="D138" s="2347">
        <v>44</v>
      </c>
      <c r="E138" s="2347"/>
      <c r="F138" s="2347">
        <f t="shared" si="2"/>
        <v>44</v>
      </c>
      <c r="G138" s="2419">
        <v>56632</v>
      </c>
      <c r="H138" s="2419">
        <f t="shared" si="3"/>
        <v>2491808</v>
      </c>
      <c r="I138" s="2423"/>
      <c r="J138" s="2424"/>
    </row>
    <row r="139" spans="1:10" s="2425" customFormat="1">
      <c r="A139" s="2327"/>
      <c r="B139" s="2346" t="s">
        <v>4979</v>
      </c>
      <c r="C139" s="2347" t="s">
        <v>2566</v>
      </c>
      <c r="D139" s="2347">
        <v>9</v>
      </c>
      <c r="E139" s="2347"/>
      <c r="F139" s="2347">
        <f t="shared" si="2"/>
        <v>9</v>
      </c>
      <c r="G139" s="2419">
        <v>25531</v>
      </c>
      <c r="H139" s="2419">
        <f t="shared" si="3"/>
        <v>229779</v>
      </c>
      <c r="I139" s="2423"/>
      <c r="J139" s="2424"/>
    </row>
    <row r="140" spans="1:10" s="2425" customFormat="1">
      <c r="A140" s="2327"/>
      <c r="B140" s="2346" t="s">
        <v>4811</v>
      </c>
      <c r="C140" s="2347" t="s">
        <v>2566</v>
      </c>
      <c r="D140" s="2347">
        <v>2</v>
      </c>
      <c r="E140" s="2347"/>
      <c r="F140" s="2347">
        <f t="shared" si="2"/>
        <v>2</v>
      </c>
      <c r="G140" s="2419">
        <v>63828</v>
      </c>
      <c r="H140" s="2419">
        <f t="shared" si="3"/>
        <v>127656</v>
      </c>
      <c r="I140" s="2423"/>
      <c r="J140" s="2424"/>
    </row>
    <row r="141" spans="1:10" s="2425" customFormat="1">
      <c r="A141" s="2327"/>
      <c r="B141" s="2346" t="s">
        <v>2887</v>
      </c>
      <c r="C141" s="2347" t="s">
        <v>2566</v>
      </c>
      <c r="D141" s="2347">
        <v>8</v>
      </c>
      <c r="E141" s="2347"/>
      <c r="F141" s="2347">
        <f t="shared" si="2"/>
        <v>8</v>
      </c>
      <c r="G141" s="2419">
        <v>5223</v>
      </c>
      <c r="H141" s="2419">
        <f t="shared" si="3"/>
        <v>41784</v>
      </c>
      <c r="I141" s="2423"/>
      <c r="J141" s="2424"/>
    </row>
    <row r="142" spans="1:10" s="2425" customFormat="1">
      <c r="A142" s="2327"/>
      <c r="B142" s="2346" t="s">
        <v>4980</v>
      </c>
      <c r="C142" s="2347" t="s">
        <v>2448</v>
      </c>
      <c r="D142" s="2347">
        <v>1</v>
      </c>
      <c r="E142" s="2347"/>
      <c r="F142" s="2347">
        <f t="shared" si="2"/>
        <v>1</v>
      </c>
      <c r="G142" s="2419">
        <v>754325</v>
      </c>
      <c r="H142" s="2419">
        <f t="shared" si="3"/>
        <v>754325</v>
      </c>
      <c r="I142" s="2423"/>
      <c r="J142" s="2424"/>
    </row>
    <row r="143" spans="1:10" s="2425" customFormat="1">
      <c r="A143" s="2327">
        <v>21</v>
      </c>
      <c r="B143" s="2361" t="s">
        <v>4981</v>
      </c>
      <c r="C143" s="2332" t="s">
        <v>2448</v>
      </c>
      <c r="D143" s="2347">
        <v>1</v>
      </c>
      <c r="E143" s="2347"/>
      <c r="F143" s="2347">
        <f t="shared" si="2"/>
        <v>1</v>
      </c>
      <c r="G143" s="2419"/>
      <c r="H143" s="2419">
        <f t="shared" si="3"/>
        <v>0</v>
      </c>
      <c r="I143" s="2423"/>
      <c r="J143" s="2424"/>
    </row>
    <row r="144" spans="1:10" s="2425" customFormat="1">
      <c r="A144" s="2327"/>
      <c r="B144" s="2346" t="s">
        <v>4982</v>
      </c>
      <c r="C144" s="2347" t="s">
        <v>2566</v>
      </c>
      <c r="D144" s="2347">
        <v>1</v>
      </c>
      <c r="E144" s="2347"/>
      <c r="F144" s="2347">
        <f t="shared" ref="F144:F207" si="4">D144+E144</f>
        <v>1</v>
      </c>
      <c r="G144" s="2419">
        <v>2460260</v>
      </c>
      <c r="H144" s="2419">
        <f t="shared" ref="H144:H207" si="5">ROUND((G144*F144),0)</f>
        <v>2460260</v>
      </c>
      <c r="I144" s="2423"/>
      <c r="J144" s="2424"/>
    </row>
    <row r="145" spans="1:10" s="2425" customFormat="1">
      <c r="A145" s="2327"/>
      <c r="B145" s="2346" t="s">
        <v>3485</v>
      </c>
      <c r="C145" s="2347" t="s">
        <v>2566</v>
      </c>
      <c r="D145" s="2347">
        <v>6</v>
      </c>
      <c r="E145" s="2347"/>
      <c r="F145" s="2347">
        <f t="shared" si="4"/>
        <v>6</v>
      </c>
      <c r="G145" s="2419">
        <v>40618</v>
      </c>
      <c r="H145" s="2419">
        <f t="shared" si="5"/>
        <v>243708</v>
      </c>
      <c r="I145" s="2423"/>
      <c r="J145" s="2424"/>
    </row>
    <row r="146" spans="1:10" s="2425" customFormat="1">
      <c r="A146" s="2327"/>
      <c r="B146" s="2346" t="s">
        <v>3518</v>
      </c>
      <c r="C146" s="2347" t="s">
        <v>2566</v>
      </c>
      <c r="D146" s="2347">
        <v>6</v>
      </c>
      <c r="E146" s="2347"/>
      <c r="F146" s="2347">
        <f t="shared" si="4"/>
        <v>6</v>
      </c>
      <c r="G146" s="2419">
        <v>3134</v>
      </c>
      <c r="H146" s="2419">
        <f t="shared" si="5"/>
        <v>18804</v>
      </c>
      <c r="I146" s="2423"/>
      <c r="J146" s="2424"/>
    </row>
    <row r="147" spans="1:10" s="2425" customFormat="1">
      <c r="A147" s="2327"/>
      <c r="B147" s="2346" t="s">
        <v>3239</v>
      </c>
      <c r="C147" s="2347" t="s">
        <v>2044</v>
      </c>
      <c r="D147" s="2347">
        <v>0.06</v>
      </c>
      <c r="E147" s="2347"/>
      <c r="F147" s="2347">
        <f t="shared" si="4"/>
        <v>0.06</v>
      </c>
      <c r="G147" s="2419">
        <v>0</v>
      </c>
      <c r="H147" s="2419">
        <f t="shared" si="5"/>
        <v>0</v>
      </c>
      <c r="I147" s="2423"/>
      <c r="J147" s="2424"/>
    </row>
    <row r="148" spans="1:10" s="2425" customFormat="1">
      <c r="A148" s="2327"/>
      <c r="B148" s="2346" t="s">
        <v>4983</v>
      </c>
      <c r="C148" s="2347" t="s">
        <v>2044</v>
      </c>
      <c r="D148" s="2347">
        <v>0.44</v>
      </c>
      <c r="E148" s="2347"/>
      <c r="F148" s="2347">
        <f t="shared" si="4"/>
        <v>0.44</v>
      </c>
      <c r="G148" s="2419">
        <v>26708384</v>
      </c>
      <c r="H148" s="2419">
        <f t="shared" si="5"/>
        <v>11751689</v>
      </c>
      <c r="I148" s="2423"/>
      <c r="J148" s="2424"/>
    </row>
    <row r="149" spans="1:10" s="2425" customFormat="1">
      <c r="A149" s="2327">
        <v>22</v>
      </c>
      <c r="B149" s="2339" t="s">
        <v>2580</v>
      </c>
      <c r="C149" s="2327"/>
      <c r="D149" s="2358"/>
      <c r="E149" s="2358"/>
      <c r="F149" s="2347"/>
      <c r="G149" s="2419"/>
      <c r="H149" s="2419"/>
      <c r="I149" s="2423"/>
      <c r="J149" s="2424"/>
    </row>
    <row r="150" spans="1:10" s="2425" customFormat="1">
      <c r="A150" s="2327"/>
      <c r="B150" s="2346" t="s">
        <v>95</v>
      </c>
      <c r="C150" s="2347" t="s">
        <v>2566</v>
      </c>
      <c r="D150" s="2347">
        <v>1</v>
      </c>
      <c r="E150" s="2347"/>
      <c r="F150" s="2347">
        <f t="shared" si="4"/>
        <v>1</v>
      </c>
      <c r="G150" s="2419">
        <v>2186583</v>
      </c>
      <c r="H150" s="2419">
        <f t="shared" si="5"/>
        <v>2186583</v>
      </c>
      <c r="I150" s="2423"/>
      <c r="J150" s="2424"/>
    </row>
    <row r="151" spans="1:10" s="2425" customFormat="1">
      <c r="A151" s="2327"/>
      <c r="B151" s="2346" t="s">
        <v>3447</v>
      </c>
      <c r="C151" s="2347" t="s">
        <v>2611</v>
      </c>
      <c r="D151" s="2347">
        <v>1</v>
      </c>
      <c r="E151" s="2347"/>
      <c r="F151" s="2347">
        <f t="shared" si="4"/>
        <v>1</v>
      </c>
      <c r="G151" s="2419">
        <v>49902</v>
      </c>
      <c r="H151" s="2419">
        <f t="shared" si="5"/>
        <v>49902</v>
      </c>
      <c r="I151" s="2423"/>
      <c r="J151" s="2424"/>
    </row>
    <row r="152" spans="1:10" s="2425" customFormat="1">
      <c r="A152" s="2365">
        <v>23</v>
      </c>
      <c r="B152" s="2339" t="s">
        <v>4984</v>
      </c>
      <c r="C152" s="2366"/>
      <c r="D152" s="2366"/>
      <c r="E152" s="2366"/>
      <c r="F152" s="2347"/>
      <c r="G152" s="2419"/>
      <c r="H152" s="2419"/>
      <c r="I152" s="2423"/>
      <c r="J152" s="2424"/>
    </row>
    <row r="153" spans="1:10" s="2425" customFormat="1">
      <c r="A153" s="2365"/>
      <c r="B153" s="2346" t="s">
        <v>4985</v>
      </c>
      <c r="C153" s="2366" t="s">
        <v>2394</v>
      </c>
      <c r="D153" s="2366">
        <v>8</v>
      </c>
      <c r="E153" s="2366"/>
      <c r="F153" s="2347">
        <f t="shared" si="4"/>
        <v>8</v>
      </c>
      <c r="G153" s="2419">
        <v>1549864</v>
      </c>
      <c r="H153" s="2419">
        <f t="shared" si="5"/>
        <v>12398912</v>
      </c>
      <c r="I153" s="2423"/>
      <c r="J153" s="2424"/>
    </row>
    <row r="154" spans="1:10" s="2425" customFormat="1">
      <c r="A154" s="2365"/>
      <c r="B154" s="2346" t="s">
        <v>4986</v>
      </c>
      <c r="C154" s="2366" t="s">
        <v>3323</v>
      </c>
      <c r="D154" s="2366">
        <v>2</v>
      </c>
      <c r="E154" s="2366"/>
      <c r="F154" s="2347">
        <f t="shared" si="4"/>
        <v>2</v>
      </c>
      <c r="G154" s="2419">
        <v>2112433</v>
      </c>
      <c r="H154" s="2419">
        <f t="shared" si="5"/>
        <v>4224866</v>
      </c>
      <c r="I154" s="2423"/>
      <c r="J154" s="2424"/>
    </row>
    <row r="155" spans="1:10" s="2425" customFormat="1">
      <c r="A155" s="2365"/>
      <c r="B155" s="2346" t="s">
        <v>4137</v>
      </c>
      <c r="C155" s="2366" t="s">
        <v>2566</v>
      </c>
      <c r="D155" s="2366">
        <v>8</v>
      </c>
      <c r="E155" s="2366"/>
      <c r="F155" s="2347">
        <f t="shared" si="4"/>
        <v>8</v>
      </c>
      <c r="G155" s="2419">
        <v>443315</v>
      </c>
      <c r="H155" s="2419">
        <f t="shared" si="5"/>
        <v>3546520</v>
      </c>
      <c r="I155" s="2423"/>
      <c r="J155" s="2424"/>
    </row>
    <row r="156" spans="1:10" s="2425" customFormat="1">
      <c r="A156" s="2365"/>
      <c r="B156" s="2346" t="s">
        <v>4987</v>
      </c>
      <c r="C156" s="2366" t="s">
        <v>2566</v>
      </c>
      <c r="D156" s="2366">
        <v>8</v>
      </c>
      <c r="E156" s="2366"/>
      <c r="F156" s="2347">
        <f t="shared" si="4"/>
        <v>8</v>
      </c>
      <c r="G156" s="2419">
        <v>166244</v>
      </c>
      <c r="H156" s="2419">
        <f t="shared" si="5"/>
        <v>1329952</v>
      </c>
      <c r="I156" s="2423"/>
      <c r="J156" s="2424"/>
    </row>
    <row r="157" spans="1:10" s="2425" customFormat="1">
      <c r="A157" s="2365"/>
      <c r="B157" s="2346" t="s">
        <v>4988</v>
      </c>
      <c r="C157" s="2366" t="s">
        <v>3323</v>
      </c>
      <c r="D157" s="2366">
        <v>2</v>
      </c>
      <c r="E157" s="2366"/>
      <c r="F157" s="2347">
        <f t="shared" si="4"/>
        <v>2</v>
      </c>
      <c r="G157" s="2419">
        <v>2868737</v>
      </c>
      <c r="H157" s="2419">
        <f t="shared" si="5"/>
        <v>5737474</v>
      </c>
      <c r="I157" s="2423"/>
      <c r="J157" s="2424"/>
    </row>
    <row r="158" spans="1:10" s="2425" customFormat="1">
      <c r="A158" s="2365"/>
      <c r="B158" s="2346" t="s">
        <v>5011</v>
      </c>
      <c r="C158" s="2366" t="s">
        <v>3323</v>
      </c>
      <c r="D158" s="2366">
        <v>1</v>
      </c>
      <c r="E158" s="2366"/>
      <c r="F158" s="2347">
        <f t="shared" si="4"/>
        <v>1</v>
      </c>
      <c r="G158" s="2419">
        <v>3049058</v>
      </c>
      <c r="H158" s="2419">
        <f t="shared" si="5"/>
        <v>3049058</v>
      </c>
      <c r="I158" s="2423"/>
      <c r="J158" s="2424"/>
    </row>
    <row r="159" spans="1:10" s="2425" customFormat="1">
      <c r="A159" s="2365"/>
      <c r="B159" s="2346" t="s">
        <v>4990</v>
      </c>
      <c r="C159" s="2366" t="s">
        <v>2566</v>
      </c>
      <c r="D159" s="2366">
        <v>8</v>
      </c>
      <c r="E159" s="2366"/>
      <c r="F159" s="2347">
        <f t="shared" si="4"/>
        <v>8</v>
      </c>
      <c r="G159" s="2419">
        <v>547304</v>
      </c>
      <c r="H159" s="2419">
        <f t="shared" si="5"/>
        <v>4378432</v>
      </c>
      <c r="I159" s="2423"/>
      <c r="J159" s="2424"/>
    </row>
    <row r="160" spans="1:10" s="2425" customFormat="1">
      <c r="A160" s="2365"/>
      <c r="B160" s="2346" t="s">
        <v>3313</v>
      </c>
      <c r="C160" s="2366" t="s">
        <v>2566</v>
      </c>
      <c r="D160" s="2366">
        <v>8</v>
      </c>
      <c r="E160" s="2366"/>
      <c r="F160" s="2347">
        <f t="shared" si="4"/>
        <v>8</v>
      </c>
      <c r="G160" s="2419">
        <v>205239</v>
      </c>
      <c r="H160" s="2419">
        <f t="shared" si="5"/>
        <v>1641912</v>
      </c>
      <c r="I160" s="2423"/>
      <c r="J160" s="2424"/>
    </row>
    <row r="161" spans="1:10" s="2425" customFormat="1">
      <c r="A161" s="2365"/>
      <c r="B161" s="2346" t="s">
        <v>4991</v>
      </c>
      <c r="C161" s="2366" t="s">
        <v>2394</v>
      </c>
      <c r="D161" s="2366">
        <v>3</v>
      </c>
      <c r="E161" s="2366"/>
      <c r="F161" s="2347">
        <f t="shared" si="4"/>
        <v>3</v>
      </c>
      <c r="G161" s="2419">
        <v>2421662</v>
      </c>
      <c r="H161" s="2419">
        <f t="shared" si="5"/>
        <v>7264986</v>
      </c>
      <c r="I161" s="2423"/>
      <c r="J161" s="2424"/>
    </row>
    <row r="162" spans="1:10" s="2425" customFormat="1">
      <c r="A162" s="2365"/>
      <c r="B162" s="2346" t="s">
        <v>4137</v>
      </c>
      <c r="C162" s="2366" t="s">
        <v>2566</v>
      </c>
      <c r="D162" s="2366">
        <v>4</v>
      </c>
      <c r="E162" s="2366"/>
      <c r="F162" s="2347">
        <f t="shared" si="4"/>
        <v>4</v>
      </c>
      <c r="G162" s="2419">
        <v>443315</v>
      </c>
      <c r="H162" s="2419">
        <f t="shared" si="5"/>
        <v>1773260</v>
      </c>
      <c r="I162" s="2423"/>
      <c r="J162" s="2424"/>
    </row>
    <row r="163" spans="1:10" s="2425" customFormat="1">
      <c r="A163" s="2365"/>
      <c r="B163" s="2346" t="s">
        <v>4992</v>
      </c>
      <c r="C163" s="2366" t="s">
        <v>4993</v>
      </c>
      <c r="D163" s="2366">
        <v>18</v>
      </c>
      <c r="E163" s="2366"/>
      <c r="F163" s="2347">
        <f t="shared" si="4"/>
        <v>18</v>
      </c>
      <c r="G163" s="2419">
        <v>30808</v>
      </c>
      <c r="H163" s="2419">
        <f t="shared" si="5"/>
        <v>554544</v>
      </c>
      <c r="I163" s="2423"/>
      <c r="J163" s="2424"/>
    </row>
    <row r="164" spans="1:10" s="2425" customFormat="1">
      <c r="A164" s="2365"/>
      <c r="B164" s="2346" t="s">
        <v>4994</v>
      </c>
      <c r="C164" s="2366" t="s">
        <v>4993</v>
      </c>
      <c r="D164" s="2366">
        <v>18</v>
      </c>
      <c r="E164" s="2366"/>
      <c r="F164" s="2347">
        <f t="shared" si="4"/>
        <v>18</v>
      </c>
      <c r="G164" s="2419">
        <v>116042</v>
      </c>
      <c r="H164" s="2419">
        <f t="shared" si="5"/>
        <v>2088756</v>
      </c>
      <c r="I164" s="2423"/>
      <c r="J164" s="2424"/>
    </row>
    <row r="165" spans="1:10" s="2425" customFormat="1">
      <c r="A165" s="2365"/>
      <c r="B165" s="2346" t="s">
        <v>4995</v>
      </c>
      <c r="C165" s="2366" t="s">
        <v>2394</v>
      </c>
      <c r="D165" s="2366">
        <v>9</v>
      </c>
      <c r="E165" s="2366"/>
      <c r="F165" s="2347">
        <f t="shared" si="4"/>
        <v>9</v>
      </c>
      <c r="G165" s="2419">
        <v>124067</v>
      </c>
      <c r="H165" s="2419">
        <f t="shared" si="5"/>
        <v>1116603</v>
      </c>
      <c r="I165" s="2423"/>
      <c r="J165" s="2424"/>
    </row>
    <row r="166" spans="1:10" s="2425" customFormat="1">
      <c r="A166" s="2365"/>
      <c r="B166" s="2346" t="s">
        <v>4996</v>
      </c>
      <c r="C166" s="2366" t="s">
        <v>2044</v>
      </c>
      <c r="D166" s="2366">
        <v>4.7699999999999996</v>
      </c>
      <c r="E166" s="2366"/>
      <c r="F166" s="2347">
        <f t="shared" si="4"/>
        <v>4.7699999999999996</v>
      </c>
      <c r="G166" s="2419">
        <v>5269013</v>
      </c>
      <c r="H166" s="2419">
        <f t="shared" si="5"/>
        <v>25133192</v>
      </c>
      <c r="I166" s="2423"/>
      <c r="J166" s="2424"/>
    </row>
    <row r="167" spans="1:10" s="2425" customFormat="1">
      <c r="A167" s="2365"/>
      <c r="B167" s="2346" t="s">
        <v>4997</v>
      </c>
      <c r="C167" s="2366" t="s">
        <v>2394</v>
      </c>
      <c r="D167" s="2366">
        <v>1</v>
      </c>
      <c r="E167" s="2366"/>
      <c r="F167" s="2347">
        <f t="shared" si="4"/>
        <v>1</v>
      </c>
      <c r="G167" s="2419">
        <v>449534</v>
      </c>
      <c r="H167" s="2419">
        <f t="shared" si="5"/>
        <v>449534</v>
      </c>
      <c r="I167" s="2423"/>
      <c r="J167" s="2424"/>
    </row>
    <row r="168" spans="1:10" s="2425" customFormat="1">
      <c r="A168" s="2365"/>
      <c r="B168" s="2346" t="s">
        <v>4998</v>
      </c>
      <c r="C168" s="2366" t="s">
        <v>2842</v>
      </c>
      <c r="D168" s="2366">
        <v>19</v>
      </c>
      <c r="E168" s="2366"/>
      <c r="F168" s="2347">
        <f t="shared" si="4"/>
        <v>19</v>
      </c>
      <c r="G168" s="2419">
        <v>1088528</v>
      </c>
      <c r="H168" s="2419">
        <f t="shared" si="5"/>
        <v>20682032</v>
      </c>
      <c r="I168" s="2423"/>
      <c r="J168" s="2424"/>
    </row>
    <row r="169" spans="1:10" s="2425" customFormat="1">
      <c r="A169" s="2365"/>
      <c r="B169" s="2346" t="s">
        <v>4999</v>
      </c>
      <c r="C169" s="2366" t="s">
        <v>2842</v>
      </c>
      <c r="D169" s="2366">
        <v>15</v>
      </c>
      <c r="E169" s="2366"/>
      <c r="F169" s="2347">
        <f t="shared" si="4"/>
        <v>15</v>
      </c>
      <c r="G169" s="2419">
        <v>949894</v>
      </c>
      <c r="H169" s="2419">
        <f t="shared" si="5"/>
        <v>14248410</v>
      </c>
      <c r="I169" s="2423"/>
      <c r="J169" s="2424"/>
    </row>
    <row r="170" spans="1:10" s="2425" customFormat="1">
      <c r="A170" s="2365"/>
      <c r="B170" s="2346" t="s">
        <v>4990</v>
      </c>
      <c r="C170" s="2366" t="s">
        <v>2566</v>
      </c>
      <c r="D170" s="2366">
        <v>4</v>
      </c>
      <c r="E170" s="2366"/>
      <c r="F170" s="2347">
        <f t="shared" si="4"/>
        <v>4</v>
      </c>
      <c r="G170" s="2419">
        <v>547304</v>
      </c>
      <c r="H170" s="2419">
        <f t="shared" si="5"/>
        <v>2189216</v>
      </c>
      <c r="I170" s="2423"/>
      <c r="J170" s="2424"/>
    </row>
    <row r="171" spans="1:10" s="2425" customFormat="1">
      <c r="A171" s="2365"/>
      <c r="B171" s="2346" t="s">
        <v>5000</v>
      </c>
      <c r="C171" s="2366" t="s">
        <v>2044</v>
      </c>
      <c r="D171" s="2366">
        <v>1.2</v>
      </c>
      <c r="E171" s="2366"/>
      <c r="F171" s="2347">
        <f t="shared" si="4"/>
        <v>1.2</v>
      </c>
      <c r="G171" s="2419">
        <v>4000632</v>
      </c>
      <c r="H171" s="2419">
        <f t="shared" si="5"/>
        <v>4800758</v>
      </c>
      <c r="I171" s="2423"/>
      <c r="J171" s="2424"/>
    </row>
    <row r="172" spans="1:10" s="2425" customFormat="1">
      <c r="A172" s="2365"/>
      <c r="B172" s="2346" t="s">
        <v>5001</v>
      </c>
      <c r="C172" s="2366" t="s">
        <v>2044</v>
      </c>
      <c r="D172" s="2366">
        <v>1.1930000000000001</v>
      </c>
      <c r="E172" s="2366"/>
      <c r="F172" s="2347">
        <f t="shared" si="4"/>
        <v>1.1930000000000001</v>
      </c>
      <c r="G172" s="2419">
        <v>4553468</v>
      </c>
      <c r="H172" s="2419">
        <f t="shared" si="5"/>
        <v>5432287</v>
      </c>
      <c r="I172" s="2423"/>
      <c r="J172" s="2424"/>
    </row>
    <row r="173" spans="1:10" s="2425" customFormat="1">
      <c r="A173" s="2365"/>
      <c r="B173" s="2346" t="s">
        <v>5002</v>
      </c>
      <c r="C173" s="2366" t="s">
        <v>2842</v>
      </c>
      <c r="D173" s="2366">
        <v>5</v>
      </c>
      <c r="E173" s="2366"/>
      <c r="F173" s="2347">
        <f t="shared" si="4"/>
        <v>5</v>
      </c>
      <c r="G173" s="2419">
        <v>1450353</v>
      </c>
      <c r="H173" s="2419">
        <f t="shared" si="5"/>
        <v>7251765</v>
      </c>
      <c r="I173" s="2423"/>
      <c r="J173" s="2424"/>
    </row>
    <row r="174" spans="1:10" s="2425" customFormat="1">
      <c r="A174" s="2365">
        <v>24</v>
      </c>
      <c r="B174" s="2373" t="s">
        <v>5003</v>
      </c>
      <c r="C174" s="2366"/>
      <c r="D174" s="2366"/>
      <c r="E174" s="2366"/>
      <c r="F174" s="2347">
        <f t="shared" si="4"/>
        <v>0</v>
      </c>
      <c r="G174" s="2419"/>
      <c r="H174" s="2419">
        <f t="shared" si="5"/>
        <v>0</v>
      </c>
      <c r="I174" s="2423"/>
      <c r="J174" s="2424"/>
    </row>
    <row r="175" spans="1:10" s="2425" customFormat="1">
      <c r="A175" s="2365"/>
      <c r="B175" s="2374" t="s">
        <v>2397</v>
      </c>
      <c r="C175" s="2366" t="s">
        <v>2394</v>
      </c>
      <c r="D175" s="2366">
        <v>4</v>
      </c>
      <c r="E175" s="2366"/>
      <c r="F175" s="2347">
        <f t="shared" si="4"/>
        <v>4</v>
      </c>
      <c r="G175" s="2419">
        <v>1091048</v>
      </c>
      <c r="H175" s="2419">
        <f t="shared" si="5"/>
        <v>4364192</v>
      </c>
      <c r="I175" s="2423"/>
      <c r="J175" s="2424"/>
    </row>
    <row r="176" spans="1:10" s="2425" customFormat="1">
      <c r="A176" s="2365" t="s">
        <v>1906</v>
      </c>
      <c r="B176" s="2339" t="s">
        <v>5004</v>
      </c>
      <c r="C176" s="2366"/>
      <c r="D176" s="2366"/>
      <c r="E176" s="2366"/>
      <c r="F176" s="2347"/>
      <c r="G176" s="2419"/>
      <c r="H176" s="2419"/>
      <c r="I176" s="2423"/>
      <c r="J176" s="2424"/>
    </row>
    <row r="177" spans="1:10" s="2425" customFormat="1">
      <c r="A177" s="2365">
        <v>25</v>
      </c>
      <c r="B177" s="2373" t="s">
        <v>5005</v>
      </c>
      <c r="C177" s="2366"/>
      <c r="D177" s="2366"/>
      <c r="E177" s="2366"/>
      <c r="F177" s="2347"/>
      <c r="G177" s="2419"/>
      <c r="H177" s="2419"/>
      <c r="I177" s="2423"/>
      <c r="J177" s="2424"/>
    </row>
    <row r="178" spans="1:10" s="2425" customFormat="1" ht="27.6">
      <c r="A178" s="2365"/>
      <c r="B178" s="2374" t="s">
        <v>5006</v>
      </c>
      <c r="C178" s="2366" t="s">
        <v>5007</v>
      </c>
      <c r="D178" s="2366">
        <v>1</v>
      </c>
      <c r="E178" s="2366"/>
      <c r="F178" s="2347">
        <f t="shared" si="4"/>
        <v>1</v>
      </c>
      <c r="G178" s="2419">
        <v>108058797</v>
      </c>
      <c r="H178" s="2419">
        <f t="shared" si="5"/>
        <v>108058797</v>
      </c>
      <c r="I178" s="2423"/>
      <c r="J178" s="2424"/>
    </row>
    <row r="179" spans="1:10" s="2425" customFormat="1">
      <c r="A179" s="2365"/>
      <c r="B179" s="2374" t="s">
        <v>5008</v>
      </c>
      <c r="C179" s="2366" t="s">
        <v>2566</v>
      </c>
      <c r="D179" s="2366">
        <v>1</v>
      </c>
      <c r="E179" s="2366"/>
      <c r="F179" s="2347">
        <f t="shared" si="4"/>
        <v>1</v>
      </c>
      <c r="G179" s="2419">
        <v>20318034</v>
      </c>
      <c r="H179" s="2419">
        <f t="shared" si="5"/>
        <v>20318034</v>
      </c>
      <c r="I179" s="2423"/>
      <c r="J179" s="2424"/>
    </row>
    <row r="180" spans="1:10" s="2425" customFormat="1">
      <c r="A180" s="2365"/>
      <c r="B180" s="2374" t="s">
        <v>5009</v>
      </c>
      <c r="C180" s="2366" t="s">
        <v>5007</v>
      </c>
      <c r="D180" s="2366">
        <v>1</v>
      </c>
      <c r="E180" s="2366"/>
      <c r="F180" s="2347">
        <f t="shared" si="4"/>
        <v>1</v>
      </c>
      <c r="G180" s="2419">
        <v>3013270</v>
      </c>
      <c r="H180" s="2419">
        <f t="shared" si="5"/>
        <v>3013270</v>
      </c>
      <c r="I180" s="2423"/>
      <c r="J180" s="2424"/>
    </row>
    <row r="181" spans="1:10" s="2425" customFormat="1">
      <c r="A181" s="2365"/>
      <c r="B181" s="2374" t="s">
        <v>5010</v>
      </c>
      <c r="C181" s="2366" t="s">
        <v>2394</v>
      </c>
      <c r="D181" s="2366">
        <v>1</v>
      </c>
      <c r="E181" s="2366"/>
      <c r="F181" s="2347">
        <f t="shared" si="4"/>
        <v>1</v>
      </c>
      <c r="G181" s="2419">
        <v>1702454</v>
      </c>
      <c r="H181" s="2419">
        <f t="shared" si="5"/>
        <v>1702454</v>
      </c>
      <c r="I181" s="2423"/>
      <c r="J181" s="2424"/>
    </row>
    <row r="182" spans="1:10" s="2425" customFormat="1">
      <c r="A182" s="2365"/>
      <c r="B182" s="2374" t="s">
        <v>5011</v>
      </c>
      <c r="C182" s="2366" t="s">
        <v>2394</v>
      </c>
      <c r="D182" s="2366">
        <v>1</v>
      </c>
      <c r="E182" s="2366"/>
      <c r="F182" s="2347">
        <f t="shared" si="4"/>
        <v>1</v>
      </c>
      <c r="G182" s="2419">
        <v>1790529</v>
      </c>
      <c r="H182" s="2419">
        <f t="shared" si="5"/>
        <v>1790529</v>
      </c>
      <c r="I182" s="2423"/>
      <c r="J182" s="2424"/>
    </row>
    <row r="183" spans="1:10" s="2425" customFormat="1">
      <c r="A183" s="2365"/>
      <c r="B183" s="2374" t="s">
        <v>5012</v>
      </c>
      <c r="C183" s="2366" t="s">
        <v>3468</v>
      </c>
      <c r="D183" s="2366">
        <v>1</v>
      </c>
      <c r="E183" s="2366"/>
      <c r="F183" s="2347">
        <f t="shared" si="4"/>
        <v>1</v>
      </c>
      <c r="G183" s="2419">
        <v>1283513</v>
      </c>
      <c r="H183" s="2419">
        <f t="shared" si="5"/>
        <v>1283513</v>
      </c>
      <c r="I183" s="2423"/>
      <c r="J183" s="2424"/>
    </row>
    <row r="184" spans="1:10" s="2425" customFormat="1">
      <c r="A184" s="2365"/>
      <c r="B184" s="2374" t="s">
        <v>5013</v>
      </c>
      <c r="C184" s="2366" t="s">
        <v>3468</v>
      </c>
      <c r="D184" s="2366">
        <v>1</v>
      </c>
      <c r="E184" s="2366"/>
      <c r="F184" s="2347">
        <f t="shared" si="4"/>
        <v>1</v>
      </c>
      <c r="G184" s="2419">
        <v>1865136</v>
      </c>
      <c r="H184" s="2419">
        <f t="shared" si="5"/>
        <v>1865136</v>
      </c>
      <c r="I184" s="2423"/>
      <c r="J184" s="2424"/>
    </row>
    <row r="185" spans="1:10" s="2425" customFormat="1">
      <c r="A185" s="2365"/>
      <c r="B185" s="2374" t="s">
        <v>5014</v>
      </c>
      <c r="C185" s="2366" t="s">
        <v>3468</v>
      </c>
      <c r="D185" s="2366">
        <v>1</v>
      </c>
      <c r="E185" s="2366"/>
      <c r="F185" s="2347">
        <f t="shared" si="4"/>
        <v>1</v>
      </c>
      <c r="G185" s="2419">
        <v>1592206</v>
      </c>
      <c r="H185" s="2419">
        <f t="shared" si="5"/>
        <v>1592206</v>
      </c>
      <c r="I185" s="2423"/>
      <c r="J185" s="2424"/>
    </row>
    <row r="186" spans="1:10" s="2425" customFormat="1">
      <c r="A186" s="2365"/>
      <c r="B186" s="2374" t="s">
        <v>5015</v>
      </c>
      <c r="C186" s="2366" t="s">
        <v>3468</v>
      </c>
      <c r="D186" s="2366">
        <v>1</v>
      </c>
      <c r="E186" s="2366"/>
      <c r="F186" s="2347">
        <f t="shared" si="4"/>
        <v>1</v>
      </c>
      <c r="G186" s="2419">
        <v>1865136</v>
      </c>
      <c r="H186" s="2419">
        <f t="shared" si="5"/>
        <v>1865136</v>
      </c>
      <c r="I186" s="2423"/>
      <c r="J186" s="2424"/>
    </row>
    <row r="187" spans="1:10" s="2425" customFormat="1">
      <c r="A187" s="2365"/>
      <c r="B187" s="2374" t="s">
        <v>5016</v>
      </c>
      <c r="C187" s="2366" t="s">
        <v>3468</v>
      </c>
      <c r="D187" s="2366">
        <v>2</v>
      </c>
      <c r="E187" s="2366"/>
      <c r="F187" s="2347">
        <f t="shared" si="4"/>
        <v>2</v>
      </c>
      <c r="G187" s="2419"/>
      <c r="H187" s="2419"/>
      <c r="I187" s="2423"/>
      <c r="J187" s="2424"/>
    </row>
    <row r="188" spans="1:10" s="2425" customFormat="1">
      <c r="A188" s="2365"/>
      <c r="B188" s="2374" t="s">
        <v>5017</v>
      </c>
      <c r="C188" s="2366" t="s">
        <v>3468</v>
      </c>
      <c r="D188" s="2366">
        <v>2</v>
      </c>
      <c r="E188" s="2366"/>
      <c r="F188" s="2347">
        <f t="shared" si="4"/>
        <v>2</v>
      </c>
      <c r="G188" s="2419">
        <v>671449</v>
      </c>
      <c r="H188" s="2419">
        <f t="shared" si="5"/>
        <v>1342898</v>
      </c>
      <c r="I188" s="2423"/>
      <c r="J188" s="2424"/>
    </row>
    <row r="189" spans="1:10" s="2425" customFormat="1">
      <c r="A189" s="2365">
        <v>26</v>
      </c>
      <c r="B189" s="2373" t="s">
        <v>5018</v>
      </c>
      <c r="C189" s="2365" t="s">
        <v>2394</v>
      </c>
      <c r="D189" s="2365">
        <v>1</v>
      </c>
      <c r="E189" s="2365"/>
      <c r="F189" s="2347">
        <f t="shared" si="4"/>
        <v>1</v>
      </c>
      <c r="G189" s="2419"/>
      <c r="H189" s="2419"/>
      <c r="I189" s="2423"/>
      <c r="J189" s="2424"/>
    </row>
    <row r="190" spans="1:10" s="2425" customFormat="1">
      <c r="A190" s="2365"/>
      <c r="B190" s="2374" t="s">
        <v>5019</v>
      </c>
      <c r="C190" s="2366" t="s">
        <v>3468</v>
      </c>
      <c r="D190" s="2366">
        <v>1</v>
      </c>
      <c r="E190" s="2366"/>
      <c r="F190" s="2347">
        <f t="shared" si="4"/>
        <v>1</v>
      </c>
      <c r="G190" s="2419">
        <v>1079265</v>
      </c>
      <c r="H190" s="2419">
        <f t="shared" si="5"/>
        <v>1079265</v>
      </c>
      <c r="I190" s="2423"/>
      <c r="J190" s="2424"/>
    </row>
    <row r="191" spans="1:10" s="2425" customFormat="1">
      <c r="A191" s="2365"/>
      <c r="B191" s="2374" t="s">
        <v>5020</v>
      </c>
      <c r="C191" s="2366" t="s">
        <v>2448</v>
      </c>
      <c r="D191" s="2366">
        <v>2</v>
      </c>
      <c r="E191" s="2366"/>
      <c r="F191" s="2347">
        <f t="shared" si="4"/>
        <v>2</v>
      </c>
      <c r="G191" s="2419">
        <v>184520</v>
      </c>
      <c r="H191" s="2419">
        <f t="shared" si="5"/>
        <v>369040</v>
      </c>
      <c r="I191" s="2423"/>
      <c r="J191" s="2424"/>
    </row>
    <row r="192" spans="1:10" s="2425" customFormat="1">
      <c r="A192" s="2365"/>
      <c r="B192" s="2374" t="s">
        <v>5021</v>
      </c>
      <c r="C192" s="2366" t="s">
        <v>2448</v>
      </c>
      <c r="D192" s="2366">
        <v>2</v>
      </c>
      <c r="E192" s="2366"/>
      <c r="F192" s="2347">
        <f t="shared" si="4"/>
        <v>2</v>
      </c>
      <c r="G192" s="2419">
        <v>27040</v>
      </c>
      <c r="H192" s="2419">
        <f t="shared" si="5"/>
        <v>54080</v>
      </c>
      <c r="I192" s="2423"/>
      <c r="J192" s="2424"/>
    </row>
    <row r="193" spans="1:10" s="2425" customFormat="1">
      <c r="A193" s="2365"/>
      <c r="B193" s="2374" t="s">
        <v>5022</v>
      </c>
      <c r="C193" s="2366" t="s">
        <v>2448</v>
      </c>
      <c r="D193" s="2366">
        <v>2</v>
      </c>
      <c r="E193" s="2366"/>
      <c r="F193" s="2347">
        <f t="shared" si="4"/>
        <v>2</v>
      </c>
      <c r="G193" s="2419">
        <v>30290</v>
      </c>
      <c r="H193" s="2419">
        <f t="shared" si="5"/>
        <v>60580</v>
      </c>
      <c r="I193" s="2423"/>
      <c r="J193" s="2424"/>
    </row>
    <row r="194" spans="1:10" s="2425" customFormat="1">
      <c r="A194" s="2365">
        <v>27</v>
      </c>
      <c r="B194" s="2373" t="s">
        <v>5023</v>
      </c>
      <c r="C194" s="2365" t="s">
        <v>2394</v>
      </c>
      <c r="D194" s="2365">
        <v>1</v>
      </c>
      <c r="E194" s="2365"/>
      <c r="F194" s="2347">
        <f t="shared" si="4"/>
        <v>1</v>
      </c>
      <c r="G194" s="2419"/>
      <c r="H194" s="2419"/>
      <c r="I194" s="2423"/>
      <c r="J194" s="2424"/>
    </row>
    <row r="195" spans="1:10" s="2425" customFormat="1" ht="27.6">
      <c r="A195" s="2365"/>
      <c r="B195" s="2374" t="s">
        <v>5024</v>
      </c>
      <c r="C195" s="2366" t="s">
        <v>1633</v>
      </c>
      <c r="D195" s="2366">
        <v>20.6</v>
      </c>
      <c r="E195" s="2366"/>
      <c r="F195" s="2347">
        <f t="shared" si="4"/>
        <v>20.6</v>
      </c>
      <c r="G195" s="2419">
        <v>296508</v>
      </c>
      <c r="H195" s="2419">
        <f t="shared" si="5"/>
        <v>6108065</v>
      </c>
      <c r="I195" s="2423"/>
      <c r="J195" s="2424"/>
    </row>
    <row r="196" spans="1:10" s="2425" customFormat="1">
      <c r="A196" s="2365"/>
      <c r="B196" s="2374" t="s">
        <v>5025</v>
      </c>
      <c r="C196" s="2366" t="s">
        <v>2448</v>
      </c>
      <c r="D196" s="2366">
        <v>20</v>
      </c>
      <c r="E196" s="2366"/>
      <c r="F196" s="2347">
        <f t="shared" si="4"/>
        <v>20</v>
      </c>
      <c r="G196" s="2419">
        <v>179878</v>
      </c>
      <c r="H196" s="2419">
        <f t="shared" si="5"/>
        <v>3597560</v>
      </c>
      <c r="I196" s="2423"/>
      <c r="J196" s="2424"/>
    </row>
    <row r="197" spans="1:10" s="2425" customFormat="1">
      <c r="A197" s="2365"/>
      <c r="B197" s="2374" t="s">
        <v>5026</v>
      </c>
      <c r="C197" s="2366" t="s">
        <v>2448</v>
      </c>
      <c r="D197" s="2366">
        <v>2</v>
      </c>
      <c r="E197" s="2366"/>
      <c r="F197" s="2347">
        <f t="shared" si="4"/>
        <v>2</v>
      </c>
      <c r="G197" s="2419">
        <v>11605</v>
      </c>
      <c r="H197" s="2419">
        <f t="shared" si="5"/>
        <v>23210</v>
      </c>
      <c r="I197" s="2423"/>
      <c r="J197" s="2424"/>
    </row>
    <row r="198" spans="1:10" s="2425" customFormat="1" ht="27.6">
      <c r="A198" s="2365"/>
      <c r="B198" s="2374" t="s">
        <v>5027</v>
      </c>
      <c r="C198" s="2366" t="s">
        <v>2448</v>
      </c>
      <c r="D198" s="2366">
        <v>3</v>
      </c>
      <c r="E198" s="2366"/>
      <c r="F198" s="2347">
        <f t="shared" si="4"/>
        <v>3</v>
      </c>
      <c r="G198" s="2419">
        <v>5570</v>
      </c>
      <c r="H198" s="2419">
        <f t="shared" si="5"/>
        <v>16710</v>
      </c>
      <c r="I198" s="2423"/>
      <c r="J198" s="2424"/>
    </row>
    <row r="199" spans="1:10" s="2425" customFormat="1">
      <c r="A199" s="2365"/>
      <c r="B199" s="2374" t="s">
        <v>5028</v>
      </c>
      <c r="C199" s="2366" t="s">
        <v>1829</v>
      </c>
      <c r="D199" s="2366">
        <v>4</v>
      </c>
      <c r="E199" s="2366"/>
      <c r="F199" s="2347">
        <f t="shared" si="4"/>
        <v>4</v>
      </c>
      <c r="G199" s="2419">
        <v>45113</v>
      </c>
      <c r="H199" s="2419">
        <f t="shared" si="5"/>
        <v>180452</v>
      </c>
      <c r="I199" s="2423"/>
      <c r="J199" s="2424"/>
    </row>
    <row r="200" spans="1:10" s="2425" customFormat="1">
      <c r="A200" s="2365"/>
      <c r="B200" s="2374" t="s">
        <v>5029</v>
      </c>
      <c r="C200" s="2366" t="s">
        <v>3468</v>
      </c>
      <c r="D200" s="2366">
        <v>10</v>
      </c>
      <c r="E200" s="2366"/>
      <c r="F200" s="2347">
        <f t="shared" si="4"/>
        <v>10</v>
      </c>
      <c r="G200" s="2419">
        <v>45260</v>
      </c>
      <c r="H200" s="2419">
        <f t="shared" si="5"/>
        <v>452600</v>
      </c>
      <c r="I200" s="2423"/>
      <c r="J200" s="2424"/>
    </row>
    <row r="201" spans="1:10" s="2425" customFormat="1">
      <c r="A201" s="2365"/>
      <c r="B201" s="2374" t="s">
        <v>5030</v>
      </c>
      <c r="C201" s="2366" t="s">
        <v>5031</v>
      </c>
      <c r="D201" s="2366">
        <v>0.20599999999999999</v>
      </c>
      <c r="E201" s="2366"/>
      <c r="F201" s="2347">
        <f t="shared" si="4"/>
        <v>0.20599999999999999</v>
      </c>
      <c r="G201" s="2419">
        <v>457401</v>
      </c>
      <c r="H201" s="2419">
        <f t="shared" si="5"/>
        <v>94225</v>
      </c>
      <c r="I201" s="2423"/>
      <c r="J201" s="2424"/>
    </row>
    <row r="202" spans="1:10" s="2425" customFormat="1">
      <c r="A202" s="2365"/>
      <c r="B202" s="2374" t="s">
        <v>5032</v>
      </c>
      <c r="C202" s="2366" t="s">
        <v>5033</v>
      </c>
      <c r="D202" s="2366">
        <v>2</v>
      </c>
      <c r="E202" s="2366"/>
      <c r="F202" s="2347">
        <f t="shared" si="4"/>
        <v>2</v>
      </c>
      <c r="G202" s="2419">
        <v>3027775</v>
      </c>
      <c r="H202" s="2419">
        <f t="shared" si="5"/>
        <v>6055550</v>
      </c>
      <c r="I202" s="2423"/>
      <c r="J202" s="2424"/>
    </row>
    <row r="203" spans="1:10" s="2425" customFormat="1">
      <c r="A203" s="2365"/>
      <c r="B203" s="2374" t="s">
        <v>5034</v>
      </c>
      <c r="C203" s="2366" t="s">
        <v>3468</v>
      </c>
      <c r="D203" s="2366">
        <v>4</v>
      </c>
      <c r="E203" s="2366"/>
      <c r="F203" s="2347">
        <f t="shared" si="4"/>
        <v>4</v>
      </c>
      <c r="G203" s="2419">
        <v>164602</v>
      </c>
      <c r="H203" s="2419">
        <f t="shared" si="5"/>
        <v>658408</v>
      </c>
      <c r="I203" s="2423"/>
      <c r="J203" s="2424"/>
    </row>
    <row r="204" spans="1:10" s="2425" customFormat="1">
      <c r="A204" s="2365"/>
      <c r="B204" s="2374" t="s">
        <v>5035</v>
      </c>
      <c r="C204" s="2366" t="s">
        <v>5036</v>
      </c>
      <c r="D204" s="2366">
        <v>0.03</v>
      </c>
      <c r="E204" s="2366"/>
      <c r="F204" s="2347">
        <f t="shared" si="4"/>
        <v>0.03</v>
      </c>
      <c r="G204" s="2419">
        <v>7258367</v>
      </c>
      <c r="H204" s="2419">
        <f t="shared" si="5"/>
        <v>217751</v>
      </c>
      <c r="I204" s="2423"/>
      <c r="J204" s="2424"/>
    </row>
    <row r="205" spans="1:10" s="2425" customFormat="1">
      <c r="A205" s="2365"/>
      <c r="B205" s="2374" t="s">
        <v>5037</v>
      </c>
      <c r="C205" s="2366" t="s">
        <v>2448</v>
      </c>
      <c r="D205" s="2366">
        <v>4</v>
      </c>
      <c r="E205" s="2366"/>
      <c r="F205" s="2347">
        <f t="shared" si="4"/>
        <v>4</v>
      </c>
      <c r="G205" s="2419">
        <v>261119</v>
      </c>
      <c r="H205" s="2419">
        <f t="shared" si="5"/>
        <v>1044476</v>
      </c>
      <c r="I205" s="2423"/>
      <c r="J205" s="2424"/>
    </row>
    <row r="206" spans="1:10" s="2425" customFormat="1">
      <c r="A206" s="2365"/>
      <c r="B206" s="2374" t="s">
        <v>5038</v>
      </c>
      <c r="C206" s="2366" t="s">
        <v>5039</v>
      </c>
      <c r="D206" s="2366">
        <v>0.25</v>
      </c>
      <c r="E206" s="2366"/>
      <c r="F206" s="2347">
        <f t="shared" si="4"/>
        <v>0.25</v>
      </c>
      <c r="G206" s="2419">
        <v>1510059</v>
      </c>
      <c r="H206" s="2419">
        <f t="shared" si="5"/>
        <v>377515</v>
      </c>
      <c r="I206" s="2423"/>
      <c r="J206" s="2424"/>
    </row>
    <row r="207" spans="1:10" s="2425" customFormat="1">
      <c r="A207" s="2365"/>
      <c r="B207" s="2374" t="s">
        <v>5040</v>
      </c>
      <c r="C207" s="2366" t="s">
        <v>5039</v>
      </c>
      <c r="D207" s="2366">
        <v>0.25</v>
      </c>
      <c r="E207" s="2366"/>
      <c r="F207" s="2347">
        <f t="shared" si="4"/>
        <v>0.25</v>
      </c>
      <c r="G207" s="2419">
        <v>388785</v>
      </c>
      <c r="H207" s="2419">
        <f t="shared" si="5"/>
        <v>97196</v>
      </c>
      <c r="I207" s="2423"/>
      <c r="J207" s="2424"/>
    </row>
    <row r="208" spans="1:10" s="2425" customFormat="1">
      <c r="A208" s="2365">
        <v>28</v>
      </c>
      <c r="B208" s="2373" t="s">
        <v>5041</v>
      </c>
      <c r="C208" s="2365" t="s">
        <v>3393</v>
      </c>
      <c r="D208" s="2365">
        <v>1</v>
      </c>
      <c r="E208" s="2365"/>
      <c r="F208" s="2347">
        <f t="shared" ref="F208:F271" si="6">D208+E208</f>
        <v>1</v>
      </c>
      <c r="G208" s="2419"/>
      <c r="H208" s="2419"/>
      <c r="I208" s="2423"/>
      <c r="J208" s="2424"/>
    </row>
    <row r="209" spans="1:10" s="2425" customFormat="1">
      <c r="A209" s="2365"/>
      <c r="B209" s="2374" t="s">
        <v>5042</v>
      </c>
      <c r="C209" s="2366" t="s">
        <v>3393</v>
      </c>
      <c r="D209" s="2366">
        <v>1</v>
      </c>
      <c r="E209" s="2366"/>
      <c r="F209" s="2347">
        <f t="shared" si="6"/>
        <v>1</v>
      </c>
      <c r="G209" s="2419">
        <v>4932125</v>
      </c>
      <c r="H209" s="2419">
        <f t="shared" ref="H209:H272" si="7">ROUND((G209*F209),0)</f>
        <v>4932125</v>
      </c>
      <c r="I209" s="2423"/>
      <c r="J209" s="2424"/>
    </row>
    <row r="210" spans="1:10" s="2425" customFormat="1">
      <c r="A210" s="2365"/>
      <c r="B210" s="2374" t="s">
        <v>5043</v>
      </c>
      <c r="C210" s="2366" t="s">
        <v>3468</v>
      </c>
      <c r="D210" s="2366">
        <v>1</v>
      </c>
      <c r="E210" s="2366"/>
      <c r="F210" s="2347">
        <f t="shared" si="6"/>
        <v>1</v>
      </c>
      <c r="G210" s="2419">
        <v>1765353</v>
      </c>
      <c r="H210" s="2419">
        <f t="shared" si="7"/>
        <v>1765353</v>
      </c>
      <c r="I210" s="2423"/>
      <c r="J210" s="2424"/>
    </row>
    <row r="211" spans="1:10" s="2425" customFormat="1">
      <c r="A211" s="2365"/>
      <c r="B211" s="2374" t="s">
        <v>5044</v>
      </c>
      <c r="C211" s="2366" t="s">
        <v>3393</v>
      </c>
      <c r="D211" s="2366">
        <v>1</v>
      </c>
      <c r="E211" s="2366"/>
      <c r="F211" s="2347">
        <f t="shared" si="6"/>
        <v>1</v>
      </c>
      <c r="G211" s="2419">
        <v>2110489</v>
      </c>
      <c r="H211" s="2419">
        <f t="shared" si="7"/>
        <v>2110489</v>
      </c>
      <c r="I211" s="2423"/>
      <c r="J211" s="2424"/>
    </row>
    <row r="212" spans="1:10" s="2425" customFormat="1" ht="27.6">
      <c r="A212" s="2365"/>
      <c r="B212" s="2346" t="s">
        <v>5045</v>
      </c>
      <c r="C212" s="2366" t="s">
        <v>2448</v>
      </c>
      <c r="D212" s="2366">
        <v>2</v>
      </c>
      <c r="E212" s="2366"/>
      <c r="F212" s="2347">
        <f t="shared" si="6"/>
        <v>2</v>
      </c>
      <c r="G212" s="2419">
        <v>460725</v>
      </c>
      <c r="H212" s="2419">
        <f t="shared" si="7"/>
        <v>921450</v>
      </c>
      <c r="I212" s="2423"/>
      <c r="J212" s="2424"/>
    </row>
    <row r="213" spans="1:10" s="2425" customFormat="1">
      <c r="A213" s="2365">
        <v>29</v>
      </c>
      <c r="B213" s="2373" t="s">
        <v>5046</v>
      </c>
      <c r="C213" s="2366"/>
      <c r="D213" s="2366"/>
      <c r="E213" s="2366"/>
      <c r="F213" s="2347">
        <f t="shared" si="6"/>
        <v>0</v>
      </c>
      <c r="G213" s="2419"/>
      <c r="H213" s="2419"/>
      <c r="I213" s="2423"/>
      <c r="J213" s="2424"/>
    </row>
    <row r="214" spans="1:10" s="2425" customFormat="1">
      <c r="A214" s="2365"/>
      <c r="B214" s="2374" t="s">
        <v>5047</v>
      </c>
      <c r="C214" s="2366" t="s">
        <v>2566</v>
      </c>
      <c r="D214" s="2366">
        <v>1</v>
      </c>
      <c r="E214" s="2366"/>
      <c r="F214" s="2347">
        <f t="shared" si="6"/>
        <v>1</v>
      </c>
      <c r="G214" s="2419">
        <v>128583</v>
      </c>
      <c r="H214" s="2419">
        <f t="shared" si="7"/>
        <v>128583</v>
      </c>
      <c r="I214" s="2423"/>
      <c r="J214" s="2424"/>
    </row>
    <row r="215" spans="1:10" s="2425" customFormat="1">
      <c r="A215" s="2365"/>
      <c r="B215" s="2374" t="s">
        <v>5048</v>
      </c>
      <c r="C215" s="2366" t="s">
        <v>2566</v>
      </c>
      <c r="D215" s="2366">
        <v>1</v>
      </c>
      <c r="E215" s="2366"/>
      <c r="F215" s="2347">
        <f t="shared" si="6"/>
        <v>1</v>
      </c>
      <c r="G215" s="2419">
        <v>124638</v>
      </c>
      <c r="H215" s="2419">
        <f t="shared" si="7"/>
        <v>124638</v>
      </c>
      <c r="I215" s="2423"/>
      <c r="J215" s="2424"/>
    </row>
    <row r="216" spans="1:10" s="2425" customFormat="1">
      <c r="A216" s="2365"/>
      <c r="B216" s="2374" t="s">
        <v>5049</v>
      </c>
      <c r="C216" s="2366" t="s">
        <v>5050</v>
      </c>
      <c r="D216" s="2366">
        <v>1</v>
      </c>
      <c r="E216" s="2366"/>
      <c r="F216" s="2347">
        <f t="shared" si="6"/>
        <v>1</v>
      </c>
      <c r="G216" s="2419">
        <v>89359</v>
      </c>
      <c r="H216" s="2419">
        <f t="shared" si="7"/>
        <v>89359</v>
      </c>
      <c r="I216" s="2423"/>
      <c r="J216" s="2424"/>
    </row>
    <row r="217" spans="1:10" s="2425" customFormat="1">
      <c r="A217" s="2365"/>
      <c r="B217" s="2374" t="s">
        <v>5051</v>
      </c>
      <c r="C217" s="2366" t="s">
        <v>5050</v>
      </c>
      <c r="D217" s="2366">
        <v>1</v>
      </c>
      <c r="E217" s="2366"/>
      <c r="F217" s="2347">
        <f t="shared" si="6"/>
        <v>1</v>
      </c>
      <c r="G217" s="2419">
        <v>65801</v>
      </c>
      <c r="H217" s="2419">
        <f t="shared" si="7"/>
        <v>65801</v>
      </c>
      <c r="I217" s="2423"/>
      <c r="J217" s="2424"/>
    </row>
    <row r="218" spans="1:10" s="2425" customFormat="1">
      <c r="A218" s="2365">
        <v>30</v>
      </c>
      <c r="B218" s="2373" t="s">
        <v>5052</v>
      </c>
      <c r="C218" s="2365" t="s">
        <v>2394</v>
      </c>
      <c r="D218" s="2365">
        <v>1</v>
      </c>
      <c r="E218" s="2365"/>
      <c r="F218" s="2347">
        <f t="shared" si="6"/>
        <v>1</v>
      </c>
      <c r="G218" s="2419"/>
      <c r="H218" s="2419"/>
      <c r="I218" s="2423"/>
      <c r="J218" s="2424"/>
    </row>
    <row r="219" spans="1:10" s="2425" customFormat="1">
      <c r="A219" s="2365"/>
      <c r="B219" s="2374" t="s">
        <v>5053</v>
      </c>
      <c r="C219" s="2366" t="s">
        <v>1829</v>
      </c>
      <c r="D219" s="2366">
        <v>3</v>
      </c>
      <c r="E219" s="2366"/>
      <c r="F219" s="2347">
        <f t="shared" si="6"/>
        <v>3</v>
      </c>
      <c r="G219" s="2419">
        <v>107927</v>
      </c>
      <c r="H219" s="2419">
        <f t="shared" si="7"/>
        <v>323781</v>
      </c>
      <c r="I219" s="2423"/>
      <c r="J219" s="2424"/>
    </row>
    <row r="220" spans="1:10" s="2425" customFormat="1">
      <c r="A220" s="2365"/>
      <c r="B220" s="2374" t="s">
        <v>5054</v>
      </c>
      <c r="C220" s="2366" t="s">
        <v>1829</v>
      </c>
      <c r="D220" s="2366">
        <v>3</v>
      </c>
      <c r="E220" s="2366"/>
      <c r="F220" s="2347">
        <f t="shared" si="6"/>
        <v>3</v>
      </c>
      <c r="G220" s="2419">
        <v>910186</v>
      </c>
      <c r="H220" s="2419">
        <f t="shared" si="7"/>
        <v>2730558</v>
      </c>
      <c r="I220" s="2423"/>
      <c r="J220" s="2424"/>
    </row>
    <row r="221" spans="1:10" s="2425" customFormat="1">
      <c r="A221" s="2365"/>
      <c r="B221" s="2374" t="s">
        <v>5055</v>
      </c>
      <c r="C221" s="2366" t="s">
        <v>3468</v>
      </c>
      <c r="D221" s="2366">
        <v>1</v>
      </c>
      <c r="E221" s="2366"/>
      <c r="F221" s="2347">
        <f t="shared" si="6"/>
        <v>1</v>
      </c>
      <c r="G221" s="2419">
        <v>129976</v>
      </c>
      <c r="H221" s="2419">
        <f t="shared" si="7"/>
        <v>129976</v>
      </c>
      <c r="I221" s="2423"/>
      <c r="J221" s="2424"/>
    </row>
    <row r="222" spans="1:10" s="2425" customFormat="1">
      <c r="A222" s="2365"/>
      <c r="B222" s="2374" t="s">
        <v>5056</v>
      </c>
      <c r="C222" s="2366" t="s">
        <v>3468</v>
      </c>
      <c r="D222" s="2366">
        <v>1</v>
      </c>
      <c r="E222" s="2366"/>
      <c r="F222" s="2347">
        <f t="shared" si="6"/>
        <v>1</v>
      </c>
      <c r="G222" s="2419">
        <v>112382</v>
      </c>
      <c r="H222" s="2419">
        <f t="shared" si="7"/>
        <v>112382</v>
      </c>
      <c r="I222" s="2423"/>
      <c r="J222" s="2424"/>
    </row>
    <row r="223" spans="1:10" s="2425" customFormat="1">
      <c r="A223" s="2365">
        <v>33</v>
      </c>
      <c r="B223" s="2373" t="s">
        <v>5057</v>
      </c>
      <c r="C223" s="2365" t="s">
        <v>2394</v>
      </c>
      <c r="D223" s="2365">
        <v>1</v>
      </c>
      <c r="E223" s="2365"/>
      <c r="F223" s="2347">
        <f t="shared" si="6"/>
        <v>1</v>
      </c>
      <c r="G223" s="2419"/>
      <c r="H223" s="2419">
        <f t="shared" si="7"/>
        <v>0</v>
      </c>
      <c r="I223" s="2423"/>
      <c r="J223" s="2424"/>
    </row>
    <row r="224" spans="1:10" s="2425" customFormat="1">
      <c r="A224" s="2365"/>
      <c r="B224" s="2374" t="s">
        <v>5058</v>
      </c>
      <c r="C224" s="2366" t="s">
        <v>1829</v>
      </c>
      <c r="D224" s="2366">
        <v>20</v>
      </c>
      <c r="E224" s="2366"/>
      <c r="F224" s="2347">
        <f t="shared" si="6"/>
        <v>20</v>
      </c>
      <c r="G224" s="2419">
        <v>169433</v>
      </c>
      <c r="H224" s="2419">
        <f t="shared" si="7"/>
        <v>3388660</v>
      </c>
      <c r="I224" s="2423"/>
      <c r="J224" s="2424"/>
    </row>
    <row r="225" spans="1:10" s="2425" customFormat="1">
      <c r="A225" s="2365"/>
      <c r="B225" s="2374" t="s">
        <v>5059</v>
      </c>
      <c r="C225" s="2366" t="s">
        <v>1829</v>
      </c>
      <c r="D225" s="2366">
        <v>10</v>
      </c>
      <c r="E225" s="2366"/>
      <c r="F225" s="2347">
        <f t="shared" si="6"/>
        <v>10</v>
      </c>
      <c r="G225" s="2419">
        <v>71951</v>
      </c>
      <c r="H225" s="2419">
        <f t="shared" si="7"/>
        <v>719510</v>
      </c>
      <c r="I225" s="2423"/>
      <c r="J225" s="2424"/>
    </row>
    <row r="226" spans="1:10" s="2425" customFormat="1">
      <c r="A226" s="2365"/>
      <c r="B226" s="2374" t="s">
        <v>5060</v>
      </c>
      <c r="C226" s="2366" t="s">
        <v>1829</v>
      </c>
      <c r="D226" s="2366">
        <v>30</v>
      </c>
      <c r="E226" s="2366"/>
      <c r="F226" s="2347">
        <f t="shared" si="6"/>
        <v>30</v>
      </c>
      <c r="G226" s="2419">
        <v>22382</v>
      </c>
      <c r="H226" s="2419">
        <f t="shared" si="7"/>
        <v>671460</v>
      </c>
      <c r="I226" s="2423"/>
      <c r="J226" s="2424"/>
    </row>
    <row r="227" spans="1:10" s="2425" customFormat="1" ht="18" customHeight="1">
      <c r="A227" s="2365"/>
      <c r="B227" s="2374" t="s">
        <v>5061</v>
      </c>
      <c r="C227" s="2366" t="s">
        <v>1829</v>
      </c>
      <c r="D227" s="2366">
        <v>4</v>
      </c>
      <c r="E227" s="2366"/>
      <c r="F227" s="2347">
        <f t="shared" si="6"/>
        <v>4</v>
      </c>
      <c r="G227" s="2419">
        <v>32146</v>
      </c>
      <c r="H227" s="2419">
        <f t="shared" si="7"/>
        <v>128584</v>
      </c>
      <c r="I227" s="2423"/>
      <c r="J227" s="2424"/>
    </row>
    <row r="228" spans="1:10" s="2425" customFormat="1">
      <c r="A228" s="2365"/>
      <c r="B228" s="2374" t="s">
        <v>5062</v>
      </c>
      <c r="C228" s="2366" t="s">
        <v>3468</v>
      </c>
      <c r="D228" s="2366">
        <v>2</v>
      </c>
      <c r="E228" s="2366"/>
      <c r="F228" s="2347">
        <f t="shared" si="6"/>
        <v>2</v>
      </c>
      <c r="G228" s="2419">
        <v>11605</v>
      </c>
      <c r="H228" s="2419">
        <f t="shared" si="7"/>
        <v>23210</v>
      </c>
      <c r="I228" s="2423"/>
      <c r="J228" s="2424"/>
    </row>
    <row r="229" spans="1:10" s="2425" customFormat="1">
      <c r="A229" s="2365"/>
      <c r="B229" s="2374" t="s">
        <v>5063</v>
      </c>
      <c r="C229" s="2366" t="s">
        <v>3468</v>
      </c>
      <c r="D229" s="2366">
        <v>1</v>
      </c>
      <c r="E229" s="2366"/>
      <c r="F229" s="2347">
        <f t="shared" si="6"/>
        <v>1</v>
      </c>
      <c r="G229" s="2419">
        <v>11605</v>
      </c>
      <c r="H229" s="2419">
        <f t="shared" si="7"/>
        <v>11605</v>
      </c>
      <c r="I229" s="2423"/>
      <c r="J229" s="2424"/>
    </row>
    <row r="230" spans="1:10" s="2425" customFormat="1">
      <c r="A230" s="2365"/>
      <c r="B230" s="2374" t="s">
        <v>5064</v>
      </c>
      <c r="C230" s="2366" t="s">
        <v>1829</v>
      </c>
      <c r="D230" s="2366">
        <v>8</v>
      </c>
      <c r="E230" s="2366"/>
      <c r="F230" s="2347">
        <f t="shared" si="6"/>
        <v>8</v>
      </c>
      <c r="G230" s="2419">
        <v>73344</v>
      </c>
      <c r="H230" s="2419">
        <f t="shared" si="7"/>
        <v>586752</v>
      </c>
      <c r="I230" s="2423"/>
      <c r="J230" s="2424"/>
    </row>
    <row r="231" spans="1:10" s="2425" customFormat="1" ht="27.6">
      <c r="A231" s="2365"/>
      <c r="B231" s="2374" t="s">
        <v>5065</v>
      </c>
      <c r="C231" s="2366" t="s">
        <v>2448</v>
      </c>
      <c r="D231" s="2366">
        <v>3</v>
      </c>
      <c r="E231" s="2366"/>
      <c r="F231" s="2347">
        <f t="shared" si="6"/>
        <v>3</v>
      </c>
      <c r="G231" s="2419">
        <v>55704</v>
      </c>
      <c r="H231" s="2419">
        <f t="shared" si="7"/>
        <v>167112</v>
      </c>
      <c r="I231" s="2423"/>
      <c r="J231" s="2424"/>
    </row>
    <row r="232" spans="1:10" s="2425" customFormat="1">
      <c r="A232" s="2365"/>
      <c r="B232" s="2374" t="s">
        <v>5066</v>
      </c>
      <c r="C232" s="2366" t="s">
        <v>3468</v>
      </c>
      <c r="D232" s="2366">
        <v>2</v>
      </c>
      <c r="E232" s="2366"/>
      <c r="F232" s="2347">
        <f t="shared" si="6"/>
        <v>2</v>
      </c>
      <c r="G232" s="2419">
        <v>52687</v>
      </c>
      <c r="H232" s="2419">
        <f t="shared" si="7"/>
        <v>105374</v>
      </c>
      <c r="I232" s="2423"/>
      <c r="J232" s="2424"/>
    </row>
    <row r="233" spans="1:10" s="2425" customFormat="1">
      <c r="A233" s="2365"/>
      <c r="B233" s="2374" t="s">
        <v>5067</v>
      </c>
      <c r="C233" s="2366" t="s">
        <v>3468</v>
      </c>
      <c r="D233" s="2366">
        <v>1</v>
      </c>
      <c r="E233" s="2366"/>
      <c r="F233" s="2347">
        <f t="shared" si="6"/>
        <v>1</v>
      </c>
      <c r="G233" s="2419">
        <v>33655</v>
      </c>
      <c r="H233" s="2419">
        <f t="shared" si="7"/>
        <v>33655</v>
      </c>
      <c r="I233" s="2423"/>
      <c r="J233" s="2424"/>
    </row>
    <row r="234" spans="1:10" s="2425" customFormat="1">
      <c r="A234" s="2365"/>
      <c r="B234" s="2374" t="s">
        <v>5068</v>
      </c>
      <c r="C234" s="2366" t="s">
        <v>3591</v>
      </c>
      <c r="D234" s="2366">
        <v>1</v>
      </c>
      <c r="E234" s="2366"/>
      <c r="F234" s="2347">
        <f t="shared" si="6"/>
        <v>1</v>
      </c>
      <c r="G234" s="2419">
        <v>18568</v>
      </c>
      <c r="H234" s="2419">
        <f t="shared" si="7"/>
        <v>18568</v>
      </c>
      <c r="I234" s="2423"/>
      <c r="J234" s="2424"/>
    </row>
    <row r="235" spans="1:10" s="2425" customFormat="1">
      <c r="A235" s="2365"/>
      <c r="B235" s="2374" t="s">
        <v>5069</v>
      </c>
      <c r="C235" s="2366" t="s">
        <v>3591</v>
      </c>
      <c r="D235" s="2366">
        <v>1</v>
      </c>
      <c r="E235" s="2366"/>
      <c r="F235" s="2347">
        <f t="shared" si="6"/>
        <v>1</v>
      </c>
      <c r="G235" s="2419">
        <v>34815</v>
      </c>
      <c r="H235" s="2419">
        <f t="shared" si="7"/>
        <v>34815</v>
      </c>
      <c r="I235" s="2423"/>
      <c r="J235" s="2424"/>
    </row>
    <row r="236" spans="1:10" s="2425" customFormat="1">
      <c r="A236" s="2365"/>
      <c r="B236" s="2374" t="s">
        <v>5070</v>
      </c>
      <c r="C236" s="2366" t="s">
        <v>3468</v>
      </c>
      <c r="D236" s="2366">
        <v>1</v>
      </c>
      <c r="E236" s="2366"/>
      <c r="F236" s="2347">
        <f t="shared" si="6"/>
        <v>1</v>
      </c>
      <c r="G236" s="2419">
        <v>13926</v>
      </c>
      <c r="H236" s="2419">
        <f t="shared" si="7"/>
        <v>13926</v>
      </c>
      <c r="I236" s="2423"/>
      <c r="J236" s="2424"/>
    </row>
    <row r="237" spans="1:10" s="2425" customFormat="1">
      <c r="A237" s="2365"/>
      <c r="B237" s="2374" t="s">
        <v>5071</v>
      </c>
      <c r="C237" s="2366" t="s">
        <v>2448</v>
      </c>
      <c r="D237" s="2366">
        <v>1</v>
      </c>
      <c r="E237" s="2366"/>
      <c r="F237" s="2347">
        <f t="shared" si="6"/>
        <v>1</v>
      </c>
      <c r="G237" s="2419">
        <v>348150</v>
      </c>
      <c r="H237" s="2419">
        <f t="shared" si="7"/>
        <v>348150</v>
      </c>
      <c r="I237" s="2423"/>
      <c r="J237" s="2424"/>
    </row>
    <row r="238" spans="1:10" s="2425" customFormat="1">
      <c r="A238" s="2365"/>
      <c r="B238" s="2374" t="s">
        <v>5072</v>
      </c>
      <c r="C238" s="2366" t="s">
        <v>1829</v>
      </c>
      <c r="D238" s="2366">
        <v>8</v>
      </c>
      <c r="E238" s="2366"/>
      <c r="F238" s="2347">
        <f t="shared" si="6"/>
        <v>8</v>
      </c>
      <c r="G238" s="2419">
        <v>1119082</v>
      </c>
      <c r="H238" s="2419">
        <f t="shared" si="7"/>
        <v>8952656</v>
      </c>
      <c r="I238" s="2423"/>
      <c r="J238" s="2424"/>
    </row>
    <row r="239" spans="1:10" s="2425" customFormat="1">
      <c r="A239" s="2365"/>
      <c r="B239" s="2374" t="s">
        <v>5073</v>
      </c>
      <c r="C239" s="2366" t="s">
        <v>2448</v>
      </c>
      <c r="D239" s="2366">
        <v>2</v>
      </c>
      <c r="E239" s="2366"/>
      <c r="F239" s="2347">
        <f t="shared" si="6"/>
        <v>2</v>
      </c>
      <c r="G239" s="2419">
        <v>261119</v>
      </c>
      <c r="H239" s="2419">
        <f t="shared" si="7"/>
        <v>522238</v>
      </c>
      <c r="I239" s="2423"/>
      <c r="J239" s="2424"/>
    </row>
    <row r="240" spans="1:10" s="2425" customFormat="1">
      <c r="A240" s="2365"/>
      <c r="B240" s="2374" t="s">
        <v>5074</v>
      </c>
      <c r="C240" s="2366" t="s">
        <v>2448</v>
      </c>
      <c r="D240" s="2366">
        <v>1</v>
      </c>
      <c r="E240" s="2366"/>
      <c r="F240" s="2347">
        <f t="shared" si="6"/>
        <v>1</v>
      </c>
      <c r="G240" s="2419">
        <v>149212</v>
      </c>
      <c r="H240" s="2419">
        <f t="shared" si="7"/>
        <v>149212</v>
      </c>
      <c r="I240" s="2423"/>
      <c r="J240" s="2424"/>
    </row>
    <row r="241" spans="1:10" s="2425" customFormat="1">
      <c r="A241" s="2365">
        <v>31</v>
      </c>
      <c r="B241" s="2373" t="s">
        <v>5075</v>
      </c>
      <c r="C241" s="2365" t="s">
        <v>2394</v>
      </c>
      <c r="D241" s="2365">
        <v>1</v>
      </c>
      <c r="E241" s="2365"/>
      <c r="F241" s="2347">
        <f t="shared" si="6"/>
        <v>1</v>
      </c>
      <c r="G241" s="2419"/>
      <c r="H241" s="2419">
        <f t="shared" si="7"/>
        <v>0</v>
      </c>
      <c r="I241" s="2423"/>
      <c r="J241" s="2424"/>
    </row>
    <row r="242" spans="1:10" s="2425" customFormat="1">
      <c r="A242" s="2365"/>
      <c r="B242" s="2374" t="s">
        <v>5076</v>
      </c>
      <c r="C242" s="2366" t="s">
        <v>1829</v>
      </c>
      <c r="D242" s="2366">
        <v>19.38</v>
      </c>
      <c r="E242" s="2366"/>
      <c r="F242" s="2347">
        <f t="shared" si="6"/>
        <v>19.38</v>
      </c>
      <c r="G242" s="2419">
        <v>165952</v>
      </c>
      <c r="H242" s="2419">
        <f t="shared" si="7"/>
        <v>3216150</v>
      </c>
      <c r="I242" s="2423"/>
      <c r="J242" s="2424"/>
    </row>
    <row r="243" spans="1:10" s="2425" customFormat="1">
      <c r="A243" s="2365"/>
      <c r="B243" s="2374" t="s">
        <v>5054</v>
      </c>
      <c r="C243" s="2366" t="s">
        <v>1829</v>
      </c>
      <c r="D243" s="2366">
        <v>19.38</v>
      </c>
      <c r="E243" s="2366"/>
      <c r="F243" s="2347">
        <f t="shared" si="6"/>
        <v>19.38</v>
      </c>
      <c r="G243" s="2419">
        <v>910186</v>
      </c>
      <c r="H243" s="2419">
        <f t="shared" si="7"/>
        <v>17639405</v>
      </c>
      <c r="I243" s="2423"/>
      <c r="J243" s="2424"/>
    </row>
    <row r="244" spans="1:10" s="2425" customFormat="1">
      <c r="A244" s="2365"/>
      <c r="B244" s="2374" t="s">
        <v>5077</v>
      </c>
      <c r="C244" s="2366" t="s">
        <v>1829</v>
      </c>
      <c r="D244" s="2366">
        <v>31.62</v>
      </c>
      <c r="E244" s="2366"/>
      <c r="F244" s="2347">
        <f t="shared" si="6"/>
        <v>31.62</v>
      </c>
      <c r="G244" s="2419">
        <v>183359</v>
      </c>
      <c r="H244" s="2419">
        <f t="shared" si="7"/>
        <v>5797812</v>
      </c>
      <c r="I244" s="2423"/>
      <c r="J244" s="2424"/>
    </row>
    <row r="245" spans="1:10" s="2425" customFormat="1">
      <c r="A245" s="2365"/>
      <c r="B245" s="2374" t="s">
        <v>5078</v>
      </c>
      <c r="C245" s="2366" t="s">
        <v>2044</v>
      </c>
      <c r="D245" s="2366">
        <v>3.1620000000000002E-2</v>
      </c>
      <c r="E245" s="2366"/>
      <c r="F245" s="2347">
        <f t="shared" si="6"/>
        <v>3.1620000000000002E-2</v>
      </c>
      <c r="G245" s="2419">
        <v>7434678</v>
      </c>
      <c r="H245" s="2419">
        <f t="shared" si="7"/>
        <v>235085</v>
      </c>
      <c r="I245" s="2423"/>
      <c r="J245" s="2424"/>
    </row>
    <row r="246" spans="1:10" s="2425" customFormat="1">
      <c r="A246" s="2365"/>
      <c r="B246" s="2374" t="s">
        <v>5056</v>
      </c>
      <c r="C246" s="2366" t="s">
        <v>3468</v>
      </c>
      <c r="D246" s="2366">
        <v>4</v>
      </c>
      <c r="E246" s="2366"/>
      <c r="F246" s="2347">
        <f t="shared" si="6"/>
        <v>4</v>
      </c>
      <c r="G246" s="2419">
        <v>345799</v>
      </c>
      <c r="H246" s="2419">
        <f t="shared" si="7"/>
        <v>1383196</v>
      </c>
      <c r="I246" s="2423"/>
      <c r="J246" s="2424"/>
    </row>
    <row r="247" spans="1:10" s="2425" customFormat="1">
      <c r="A247" s="2365"/>
      <c r="B247" s="2374" t="s">
        <v>5079</v>
      </c>
      <c r="C247" s="2366" t="s">
        <v>2521</v>
      </c>
      <c r="D247" s="2366">
        <v>4</v>
      </c>
      <c r="E247" s="2366"/>
      <c r="F247" s="2347">
        <f t="shared" si="6"/>
        <v>4</v>
      </c>
      <c r="G247" s="2419">
        <v>904397</v>
      </c>
      <c r="H247" s="2419">
        <f t="shared" si="7"/>
        <v>3617588</v>
      </c>
      <c r="I247" s="2423"/>
      <c r="J247" s="2424"/>
    </row>
    <row r="248" spans="1:10" s="2425" customFormat="1">
      <c r="A248" s="2365"/>
      <c r="B248" s="2374" t="s">
        <v>5080</v>
      </c>
      <c r="C248" s="2366" t="s">
        <v>2566</v>
      </c>
      <c r="D248" s="2366">
        <v>4</v>
      </c>
      <c r="E248" s="2366"/>
      <c r="F248" s="2347">
        <f t="shared" si="6"/>
        <v>4</v>
      </c>
      <c r="G248" s="2419">
        <v>139260</v>
      </c>
      <c r="H248" s="2419">
        <f t="shared" si="7"/>
        <v>557040</v>
      </c>
      <c r="I248" s="2423"/>
      <c r="J248" s="2424"/>
    </row>
    <row r="249" spans="1:10" s="2425" customFormat="1">
      <c r="A249" s="2365"/>
      <c r="B249" s="2374" t="s">
        <v>2932</v>
      </c>
      <c r="C249" s="2366" t="s">
        <v>2566</v>
      </c>
      <c r="D249" s="2366">
        <v>4</v>
      </c>
      <c r="E249" s="2366"/>
      <c r="F249" s="2347">
        <f t="shared" si="6"/>
        <v>4</v>
      </c>
      <c r="G249" s="2419">
        <v>22282</v>
      </c>
      <c r="H249" s="2419">
        <f t="shared" si="7"/>
        <v>89128</v>
      </c>
      <c r="I249" s="2423"/>
      <c r="J249" s="2424"/>
    </row>
    <row r="250" spans="1:10" s="2425" customFormat="1">
      <c r="A250" s="2365"/>
      <c r="B250" s="2374" t="s">
        <v>5081</v>
      </c>
      <c r="C250" s="2366" t="s">
        <v>2566</v>
      </c>
      <c r="D250" s="2366">
        <v>4</v>
      </c>
      <c r="E250" s="2366"/>
      <c r="F250" s="2347">
        <f t="shared" si="6"/>
        <v>4</v>
      </c>
      <c r="G250" s="2419">
        <v>139260</v>
      </c>
      <c r="H250" s="2419">
        <f t="shared" si="7"/>
        <v>557040</v>
      </c>
      <c r="I250" s="2423"/>
      <c r="J250" s="2424"/>
    </row>
    <row r="251" spans="1:10" s="2425" customFormat="1">
      <c r="A251" s="2365"/>
      <c r="B251" s="2374" t="s">
        <v>5082</v>
      </c>
      <c r="C251" s="2366" t="s">
        <v>2566</v>
      </c>
      <c r="D251" s="2366">
        <v>4</v>
      </c>
      <c r="E251" s="2366"/>
      <c r="F251" s="2347">
        <f t="shared" si="6"/>
        <v>4</v>
      </c>
      <c r="G251" s="2419">
        <v>139260</v>
      </c>
      <c r="H251" s="2419">
        <f t="shared" si="7"/>
        <v>557040</v>
      </c>
      <c r="I251" s="2423"/>
      <c r="J251" s="2424"/>
    </row>
    <row r="252" spans="1:10" s="2425" customFormat="1">
      <c r="A252" s="2365"/>
      <c r="B252" s="2374" t="s">
        <v>2892</v>
      </c>
      <c r="C252" s="2366" t="s">
        <v>2566</v>
      </c>
      <c r="D252" s="2366">
        <v>6</v>
      </c>
      <c r="E252" s="2366"/>
      <c r="F252" s="2347">
        <f t="shared" si="6"/>
        <v>6</v>
      </c>
      <c r="G252" s="2419">
        <v>6963</v>
      </c>
      <c r="H252" s="2419">
        <f t="shared" si="7"/>
        <v>41778</v>
      </c>
      <c r="I252" s="2423"/>
      <c r="J252" s="2424"/>
    </row>
    <row r="253" spans="1:10" s="2425" customFormat="1">
      <c r="A253" s="2365"/>
      <c r="B253" s="2374" t="s">
        <v>3815</v>
      </c>
      <c r="C253" s="2366" t="s">
        <v>2566</v>
      </c>
      <c r="D253" s="2366">
        <v>1</v>
      </c>
      <c r="E253" s="2366"/>
      <c r="F253" s="2347">
        <f t="shared" si="6"/>
        <v>1</v>
      </c>
      <c r="G253" s="2419">
        <v>84717</v>
      </c>
      <c r="H253" s="2419">
        <f t="shared" si="7"/>
        <v>84717</v>
      </c>
      <c r="I253" s="2423"/>
      <c r="J253" s="2424"/>
    </row>
    <row r="254" spans="1:10" s="2425" customFormat="1">
      <c r="A254" s="2365"/>
      <c r="B254" s="2374" t="s">
        <v>1739</v>
      </c>
      <c r="C254" s="2366" t="s">
        <v>2566</v>
      </c>
      <c r="D254" s="2366">
        <v>1</v>
      </c>
      <c r="E254" s="2366"/>
      <c r="F254" s="2347">
        <f t="shared" si="6"/>
        <v>1</v>
      </c>
      <c r="G254" s="2419">
        <v>129976</v>
      </c>
      <c r="H254" s="2419">
        <f t="shared" si="7"/>
        <v>129976</v>
      </c>
      <c r="I254" s="2423"/>
      <c r="J254" s="2424"/>
    </row>
    <row r="255" spans="1:10" s="2425" customFormat="1">
      <c r="A255" s="2365"/>
      <c r="B255" s="2374" t="s">
        <v>5083</v>
      </c>
      <c r="C255" s="2366" t="s">
        <v>2566</v>
      </c>
      <c r="D255" s="2366">
        <v>2</v>
      </c>
      <c r="E255" s="2366"/>
      <c r="F255" s="2347">
        <f t="shared" si="6"/>
        <v>2</v>
      </c>
      <c r="G255" s="2419">
        <v>32494</v>
      </c>
      <c r="H255" s="2419">
        <f t="shared" si="7"/>
        <v>64988</v>
      </c>
      <c r="I255" s="2423"/>
      <c r="J255" s="2424"/>
    </row>
    <row r="256" spans="1:10" s="2425" customFormat="1">
      <c r="A256" s="2365"/>
      <c r="B256" s="2374" t="s">
        <v>5084</v>
      </c>
      <c r="C256" s="2366" t="s">
        <v>2566</v>
      </c>
      <c r="D256" s="2366">
        <v>2</v>
      </c>
      <c r="E256" s="2366"/>
      <c r="F256" s="2347">
        <f t="shared" si="6"/>
        <v>2</v>
      </c>
      <c r="G256" s="2419">
        <v>32494</v>
      </c>
      <c r="H256" s="2419">
        <f t="shared" si="7"/>
        <v>64988</v>
      </c>
      <c r="I256" s="2423"/>
      <c r="J256" s="2424"/>
    </row>
    <row r="257" spans="1:10" s="2425" customFormat="1">
      <c r="A257" s="2365">
        <v>32</v>
      </c>
      <c r="B257" s="2373" t="s">
        <v>5085</v>
      </c>
      <c r="C257" s="2365" t="s">
        <v>2448</v>
      </c>
      <c r="D257" s="2365">
        <v>2</v>
      </c>
      <c r="E257" s="2365"/>
      <c r="F257" s="2347">
        <f t="shared" si="6"/>
        <v>2</v>
      </c>
      <c r="G257" s="2419"/>
      <c r="H257" s="2419"/>
      <c r="I257" s="2423"/>
      <c r="J257" s="2424"/>
    </row>
    <row r="258" spans="1:10" s="2425" customFormat="1">
      <c r="A258" s="2365"/>
      <c r="B258" s="2374" t="s">
        <v>5086</v>
      </c>
      <c r="C258" s="2366" t="s">
        <v>2256</v>
      </c>
      <c r="D258" s="2366">
        <v>9.48</v>
      </c>
      <c r="E258" s="2366"/>
      <c r="F258" s="2347">
        <f t="shared" si="6"/>
        <v>9.48</v>
      </c>
      <c r="G258" s="2419">
        <v>43287</v>
      </c>
      <c r="H258" s="2419">
        <f t="shared" si="7"/>
        <v>410361</v>
      </c>
      <c r="I258" s="2423"/>
      <c r="J258" s="2424"/>
    </row>
    <row r="259" spans="1:10" s="2425" customFormat="1">
      <c r="A259" s="2365"/>
      <c r="B259" s="2374" t="s">
        <v>2959</v>
      </c>
      <c r="C259" s="2366" t="s">
        <v>2566</v>
      </c>
      <c r="D259" s="2366">
        <v>2</v>
      </c>
      <c r="E259" s="2366"/>
      <c r="F259" s="2347">
        <f t="shared" si="6"/>
        <v>2</v>
      </c>
      <c r="G259" s="2419">
        <v>49902</v>
      </c>
      <c r="H259" s="2419">
        <f t="shared" si="7"/>
        <v>99804</v>
      </c>
      <c r="I259" s="2423"/>
      <c r="J259" s="2424"/>
    </row>
    <row r="260" spans="1:10" s="2425" customFormat="1">
      <c r="A260" s="2365"/>
      <c r="B260" s="2374" t="s">
        <v>5087</v>
      </c>
      <c r="C260" s="2366" t="s">
        <v>2566</v>
      </c>
      <c r="D260" s="2366">
        <v>16</v>
      </c>
      <c r="E260" s="2366"/>
      <c r="F260" s="2347">
        <f t="shared" si="6"/>
        <v>16</v>
      </c>
      <c r="G260" s="2419">
        <v>35628</v>
      </c>
      <c r="H260" s="2419">
        <f t="shared" si="7"/>
        <v>570048</v>
      </c>
      <c r="I260" s="2423"/>
      <c r="J260" s="2424"/>
    </row>
    <row r="261" spans="1:10" s="2425" customFormat="1">
      <c r="A261" s="2365"/>
      <c r="B261" s="2374" t="s">
        <v>5088</v>
      </c>
      <c r="C261" s="2366" t="s">
        <v>2566</v>
      </c>
      <c r="D261" s="2366">
        <v>2</v>
      </c>
      <c r="E261" s="2366"/>
      <c r="F261" s="2347">
        <f t="shared" si="6"/>
        <v>2</v>
      </c>
      <c r="G261" s="2419">
        <v>32494</v>
      </c>
      <c r="H261" s="2419">
        <f t="shared" si="7"/>
        <v>64988</v>
      </c>
      <c r="I261" s="2423"/>
      <c r="J261" s="2424"/>
    </row>
    <row r="262" spans="1:10" s="2425" customFormat="1">
      <c r="A262" s="2365"/>
      <c r="B262" s="2374" t="s">
        <v>5089</v>
      </c>
      <c r="C262" s="2366" t="s">
        <v>2566</v>
      </c>
      <c r="D262" s="2366">
        <v>4</v>
      </c>
      <c r="E262" s="2366"/>
      <c r="F262" s="2347">
        <f t="shared" si="6"/>
        <v>4</v>
      </c>
      <c r="G262" s="2419">
        <v>6963</v>
      </c>
      <c r="H262" s="2419">
        <f t="shared" si="7"/>
        <v>27852</v>
      </c>
      <c r="I262" s="2423"/>
      <c r="J262" s="2424"/>
    </row>
    <row r="263" spans="1:10" s="2425" customFormat="1">
      <c r="A263" s="2365"/>
      <c r="B263" s="2374" t="s">
        <v>5090</v>
      </c>
      <c r="C263" s="2366" t="s">
        <v>2566</v>
      </c>
      <c r="D263" s="2366">
        <v>2</v>
      </c>
      <c r="E263" s="2366"/>
      <c r="F263" s="2347">
        <f t="shared" si="6"/>
        <v>2</v>
      </c>
      <c r="G263" s="2419">
        <v>113729</v>
      </c>
      <c r="H263" s="2419">
        <f t="shared" si="7"/>
        <v>227458</v>
      </c>
      <c r="I263" s="2423"/>
      <c r="J263" s="2424"/>
    </row>
    <row r="264" spans="1:10" s="2425" customFormat="1">
      <c r="A264" s="2365"/>
      <c r="B264" s="2374" t="s">
        <v>5091</v>
      </c>
      <c r="C264" s="2366" t="s">
        <v>2566</v>
      </c>
      <c r="D264" s="2366">
        <v>2</v>
      </c>
      <c r="E264" s="2366"/>
      <c r="F264" s="2347">
        <f t="shared" si="6"/>
        <v>2</v>
      </c>
      <c r="G264" s="2419">
        <v>235582</v>
      </c>
      <c r="H264" s="2419">
        <f t="shared" si="7"/>
        <v>471164</v>
      </c>
      <c r="I264" s="2423"/>
      <c r="J264" s="2424"/>
    </row>
    <row r="265" spans="1:10" s="2425" customFormat="1">
      <c r="A265" s="2365"/>
      <c r="B265" s="2374" t="s">
        <v>5092</v>
      </c>
      <c r="C265" s="2366" t="s">
        <v>2566</v>
      </c>
      <c r="D265" s="2366">
        <v>2</v>
      </c>
      <c r="E265" s="2366"/>
      <c r="F265" s="2347">
        <f t="shared" si="6"/>
        <v>2</v>
      </c>
      <c r="G265" s="2419">
        <v>100964</v>
      </c>
      <c r="H265" s="2419">
        <f t="shared" si="7"/>
        <v>201928</v>
      </c>
      <c r="I265" s="2423"/>
      <c r="J265" s="2424"/>
    </row>
    <row r="266" spans="1:10" s="2425" customFormat="1">
      <c r="A266" s="2365">
        <v>33</v>
      </c>
      <c r="B266" s="2373" t="s">
        <v>5093</v>
      </c>
      <c r="C266" s="2366"/>
      <c r="D266" s="2366"/>
      <c r="E266" s="2366"/>
      <c r="F266" s="2347">
        <f t="shared" si="6"/>
        <v>0</v>
      </c>
      <c r="G266" s="2419"/>
      <c r="H266" s="2419">
        <f t="shared" si="7"/>
        <v>0</v>
      </c>
      <c r="I266" s="2423"/>
      <c r="J266" s="2424"/>
    </row>
    <row r="267" spans="1:10" s="2425" customFormat="1">
      <c r="A267" s="2365"/>
      <c r="B267" s="2374" t="s">
        <v>5094</v>
      </c>
      <c r="C267" s="2366" t="s">
        <v>3468</v>
      </c>
      <c r="D267" s="2366">
        <v>1</v>
      </c>
      <c r="E267" s="2366"/>
      <c r="F267" s="2347">
        <f t="shared" si="6"/>
        <v>1</v>
      </c>
      <c r="G267" s="2419">
        <v>4413827</v>
      </c>
      <c r="H267" s="2419">
        <f t="shared" si="7"/>
        <v>4413827</v>
      </c>
      <c r="I267" s="2423"/>
      <c r="J267" s="2424"/>
    </row>
    <row r="268" spans="1:10" s="2425" customFormat="1">
      <c r="A268" s="2365"/>
      <c r="B268" s="2374" t="s">
        <v>5095</v>
      </c>
      <c r="C268" s="2366" t="s">
        <v>3468</v>
      </c>
      <c r="D268" s="2366">
        <v>1</v>
      </c>
      <c r="E268" s="2366"/>
      <c r="F268" s="2347">
        <f t="shared" si="6"/>
        <v>1</v>
      </c>
      <c r="G268" s="2419">
        <v>3623036</v>
      </c>
      <c r="H268" s="2419">
        <f t="shared" si="7"/>
        <v>3623036</v>
      </c>
      <c r="I268" s="2423"/>
      <c r="J268" s="2424"/>
    </row>
    <row r="269" spans="1:10" s="2425" customFormat="1">
      <c r="A269" s="2365"/>
      <c r="B269" s="2374" t="s">
        <v>5012</v>
      </c>
      <c r="C269" s="2366" t="s">
        <v>3468</v>
      </c>
      <c r="D269" s="2366">
        <v>1</v>
      </c>
      <c r="E269" s="2366"/>
      <c r="F269" s="2347">
        <f t="shared" si="6"/>
        <v>1</v>
      </c>
      <c r="G269" s="2419">
        <v>408520</v>
      </c>
      <c r="H269" s="2419">
        <f t="shared" si="7"/>
        <v>408520</v>
      </c>
      <c r="I269" s="2423"/>
      <c r="J269" s="2424"/>
    </row>
    <row r="270" spans="1:10" s="2425" customFormat="1">
      <c r="A270" s="2365"/>
      <c r="B270" s="2374" t="s">
        <v>5096</v>
      </c>
      <c r="C270" s="2366" t="s">
        <v>5097</v>
      </c>
      <c r="D270" s="2366">
        <v>5</v>
      </c>
      <c r="E270" s="2366"/>
      <c r="F270" s="2347">
        <f t="shared" si="6"/>
        <v>5</v>
      </c>
      <c r="G270" s="2419">
        <v>1078898</v>
      </c>
      <c r="H270" s="2419">
        <f t="shared" si="7"/>
        <v>5394490</v>
      </c>
      <c r="I270" s="2423"/>
      <c r="J270" s="2424"/>
    </row>
    <row r="271" spans="1:10" s="2425" customFormat="1">
      <c r="A271" s="2365"/>
      <c r="B271" s="2374" t="s">
        <v>5098</v>
      </c>
      <c r="C271" s="2366" t="s">
        <v>5097</v>
      </c>
      <c r="D271" s="2366">
        <v>5</v>
      </c>
      <c r="E271" s="2366"/>
      <c r="F271" s="2347">
        <f t="shared" si="6"/>
        <v>5</v>
      </c>
      <c r="G271" s="2419">
        <v>94848</v>
      </c>
      <c r="H271" s="2419">
        <f t="shared" si="7"/>
        <v>474240</v>
      </c>
      <c r="I271" s="2423"/>
      <c r="J271" s="2424"/>
    </row>
    <row r="272" spans="1:10" s="2425" customFormat="1">
      <c r="A272" s="2365"/>
      <c r="B272" s="2374" t="s">
        <v>5099</v>
      </c>
      <c r="C272" s="2366" t="s">
        <v>3468</v>
      </c>
      <c r="D272" s="2366">
        <v>1</v>
      </c>
      <c r="E272" s="2366"/>
      <c r="F272" s="2347">
        <f t="shared" ref="F272:F283" si="8">D272+E272</f>
        <v>1</v>
      </c>
      <c r="G272" s="2419">
        <v>119071</v>
      </c>
      <c r="H272" s="2419">
        <f t="shared" si="7"/>
        <v>119071</v>
      </c>
      <c r="I272" s="2423"/>
      <c r="J272" s="2424"/>
    </row>
    <row r="273" spans="1:10" s="2425" customFormat="1" ht="27" customHeight="1">
      <c r="A273" s="2365"/>
      <c r="B273" s="2374" t="s">
        <v>5100</v>
      </c>
      <c r="C273" s="2366" t="s">
        <v>5101</v>
      </c>
      <c r="D273" s="2366">
        <v>1</v>
      </c>
      <c r="E273" s="2366"/>
      <c r="F273" s="2347">
        <f t="shared" si="8"/>
        <v>1</v>
      </c>
      <c r="G273" s="2419">
        <v>3618423</v>
      </c>
      <c r="H273" s="2419">
        <f t="shared" ref="H273:H283" si="9">ROUND((G273*F273),0)</f>
        <v>3618423</v>
      </c>
      <c r="I273" s="2423"/>
      <c r="J273" s="2424"/>
    </row>
    <row r="274" spans="1:10" s="2425" customFormat="1">
      <c r="A274" s="2365"/>
      <c r="B274" s="2374" t="s">
        <v>4963</v>
      </c>
      <c r="C274" s="2366" t="s">
        <v>2521</v>
      </c>
      <c r="D274" s="2366">
        <v>4</v>
      </c>
      <c r="E274" s="2366"/>
      <c r="F274" s="2347">
        <f t="shared" si="8"/>
        <v>4</v>
      </c>
      <c r="G274" s="2419">
        <v>19800</v>
      </c>
      <c r="H274" s="2419">
        <f t="shared" si="9"/>
        <v>79200</v>
      </c>
      <c r="I274" s="2423"/>
      <c r="J274" s="2424"/>
    </row>
    <row r="275" spans="1:10" s="2425" customFormat="1">
      <c r="A275" s="2365" t="s">
        <v>1669</v>
      </c>
      <c r="B275" s="2373" t="s">
        <v>5102</v>
      </c>
      <c r="C275" s="2366"/>
      <c r="D275" s="2366"/>
      <c r="E275" s="2366"/>
      <c r="F275" s="2347"/>
      <c r="G275" s="2419"/>
      <c r="H275" s="2419"/>
      <c r="I275" s="2423"/>
      <c r="J275" s="2424"/>
    </row>
    <row r="276" spans="1:10" s="2425" customFormat="1" ht="27.6">
      <c r="A276" s="2365">
        <v>1</v>
      </c>
      <c r="B276" s="2373" t="s">
        <v>4976</v>
      </c>
      <c r="C276" s="2366"/>
      <c r="D276" s="2366"/>
      <c r="E276" s="2366"/>
      <c r="F276" s="2347"/>
      <c r="G276" s="2419"/>
      <c r="H276" s="2431">
        <f>SUM(H277:H283)</f>
        <v>7761972</v>
      </c>
      <c r="I276" s="2423"/>
      <c r="J276" s="2424"/>
    </row>
    <row r="277" spans="1:10" s="2425" customFormat="1">
      <c r="A277" s="2365"/>
      <c r="B277" s="2382" t="s">
        <v>5103</v>
      </c>
      <c r="C277" s="2383" t="s">
        <v>2044</v>
      </c>
      <c r="D277" s="2383">
        <v>0</v>
      </c>
      <c r="E277" s="2383">
        <v>6.0999999999999999E-2</v>
      </c>
      <c r="F277" s="2355">
        <f t="shared" si="8"/>
        <v>6.0999999999999999E-2</v>
      </c>
      <c r="G277" s="2428">
        <v>35259993</v>
      </c>
      <c r="H277" s="2428">
        <f t="shared" si="9"/>
        <v>2150860</v>
      </c>
      <c r="I277" s="2423"/>
      <c r="J277" s="2424"/>
    </row>
    <row r="278" spans="1:10" s="2425" customFormat="1">
      <c r="A278" s="2365"/>
      <c r="B278" s="2382" t="s">
        <v>5104</v>
      </c>
      <c r="C278" s="2383" t="s">
        <v>2541</v>
      </c>
      <c r="D278" s="2383">
        <v>0</v>
      </c>
      <c r="E278" s="2383">
        <v>31</v>
      </c>
      <c r="F278" s="2355">
        <f t="shared" si="8"/>
        <v>31</v>
      </c>
      <c r="G278" s="2428">
        <f>73590*1.15</f>
        <v>84628.5</v>
      </c>
      <c r="H278" s="2428">
        <f t="shared" si="9"/>
        <v>2623484</v>
      </c>
      <c r="I278" s="2423"/>
      <c r="J278" s="2424"/>
    </row>
    <row r="279" spans="1:10" s="2425" customFormat="1">
      <c r="A279" s="2365"/>
      <c r="B279" s="2382" t="s">
        <v>5105</v>
      </c>
      <c r="C279" s="2383" t="s">
        <v>2541</v>
      </c>
      <c r="D279" s="2383">
        <v>0</v>
      </c>
      <c r="E279" s="2383">
        <v>31</v>
      </c>
      <c r="F279" s="2355">
        <f t="shared" si="8"/>
        <v>31</v>
      </c>
      <c r="G279" s="2428">
        <v>27800</v>
      </c>
      <c r="H279" s="2428">
        <f t="shared" si="9"/>
        <v>861800</v>
      </c>
      <c r="I279" s="2423"/>
      <c r="J279" s="2424"/>
    </row>
    <row r="280" spans="1:10" s="2425" customFormat="1">
      <c r="A280" s="2365"/>
      <c r="B280" s="2382" t="s">
        <v>5106</v>
      </c>
      <c r="C280" s="2383" t="s">
        <v>2541</v>
      </c>
      <c r="D280" s="2383">
        <v>0</v>
      </c>
      <c r="E280" s="2383">
        <v>20</v>
      </c>
      <c r="F280" s="2355">
        <f t="shared" si="8"/>
        <v>20</v>
      </c>
      <c r="G280" s="2428">
        <f>47850*1.15</f>
        <v>55027.499999999993</v>
      </c>
      <c r="H280" s="2428">
        <f t="shared" si="9"/>
        <v>1100550</v>
      </c>
      <c r="I280" s="2423"/>
      <c r="J280" s="2424"/>
    </row>
    <row r="281" spans="1:10" s="2425" customFormat="1">
      <c r="A281" s="2365"/>
      <c r="B281" s="2382" t="s">
        <v>5107</v>
      </c>
      <c r="C281" s="2383" t="s">
        <v>2541</v>
      </c>
      <c r="D281" s="2383">
        <v>0</v>
      </c>
      <c r="E281" s="2383">
        <v>20</v>
      </c>
      <c r="F281" s="2355">
        <f t="shared" si="8"/>
        <v>20</v>
      </c>
      <c r="G281" s="2428">
        <v>19750</v>
      </c>
      <c r="H281" s="2428">
        <f t="shared" si="9"/>
        <v>395000</v>
      </c>
      <c r="I281" s="2423"/>
      <c r="J281" s="2424"/>
    </row>
    <row r="282" spans="1:10" s="2425" customFormat="1">
      <c r="A282" s="2365"/>
      <c r="B282" s="2382" t="s">
        <v>5108</v>
      </c>
      <c r="C282" s="2383" t="s">
        <v>2448</v>
      </c>
      <c r="D282" s="2383">
        <v>0</v>
      </c>
      <c r="E282" s="2383">
        <v>4</v>
      </c>
      <c r="F282" s="2355">
        <f t="shared" si="8"/>
        <v>4</v>
      </c>
      <c r="G282" s="2428">
        <v>85038</v>
      </c>
      <c r="H282" s="2428">
        <f t="shared" si="9"/>
        <v>340152</v>
      </c>
      <c r="I282" s="2423"/>
      <c r="J282" s="2424"/>
    </row>
    <row r="283" spans="1:10" s="2425" customFormat="1">
      <c r="A283" s="2365"/>
      <c r="B283" s="2382" t="s">
        <v>5109</v>
      </c>
      <c r="C283" s="2383" t="s">
        <v>2448</v>
      </c>
      <c r="D283" s="2383">
        <v>0</v>
      </c>
      <c r="E283" s="2383">
        <v>2</v>
      </c>
      <c r="F283" s="2355">
        <f t="shared" si="8"/>
        <v>2</v>
      </c>
      <c r="G283" s="2428">
        <v>145063</v>
      </c>
      <c r="H283" s="2428">
        <f t="shared" si="9"/>
        <v>290126</v>
      </c>
      <c r="I283" s="2423"/>
      <c r="J283" s="2424"/>
    </row>
    <row r="284" spans="1:10" s="2425" customFormat="1">
      <c r="A284" s="2365"/>
      <c r="B284" s="2432" t="s">
        <v>5144</v>
      </c>
      <c r="C284" s="2383"/>
      <c r="D284" s="2383"/>
      <c r="E284" s="2383"/>
      <c r="F284" s="2355"/>
      <c r="G284" s="2428"/>
      <c r="H284" s="2428">
        <f>SUM(H10:H274)+H276</f>
        <v>1297021005</v>
      </c>
      <c r="I284" s="2423"/>
      <c r="J284" s="2424"/>
    </row>
    <row r="285" spans="1:10" s="2425" customFormat="1" ht="21.75" customHeight="1">
      <c r="A285" s="2433"/>
      <c r="B285" s="2365" t="s">
        <v>5145</v>
      </c>
      <c r="C285" s="2366"/>
      <c r="D285" s="2366"/>
      <c r="E285" s="2366"/>
      <c r="F285" s="2347"/>
      <c r="G285" s="2434"/>
      <c r="H285" s="2435">
        <f>ROUND(H284,-3)</f>
        <v>1297021000</v>
      </c>
      <c r="I285" s="2423"/>
      <c r="J285" s="2424"/>
    </row>
    <row r="286" spans="1:10" s="2425" customFormat="1" ht="23.25" customHeight="1">
      <c r="A286" s="2792" t="s">
        <v>5146</v>
      </c>
      <c r="B286" s="2793"/>
      <c r="C286" s="2793"/>
      <c r="D286" s="2793"/>
      <c r="E286" s="2793"/>
      <c r="F286" s="2793"/>
      <c r="G286" s="2793"/>
      <c r="H286" s="2793"/>
      <c r="I286" s="2794"/>
      <c r="J286" s="2424"/>
    </row>
    <row r="287" spans="1:10">
      <c r="B287" s="2391" t="s">
        <v>5147</v>
      </c>
      <c r="C287" s="2795" t="s">
        <v>5148</v>
      </c>
      <c r="D287" s="2795"/>
      <c r="E287" s="2795"/>
      <c r="F287" s="2795"/>
      <c r="G287" s="2795"/>
      <c r="H287" s="2795"/>
    </row>
    <row r="288" spans="1:10">
      <c r="B288" s="2391" t="s">
        <v>5149</v>
      </c>
      <c r="C288" s="2795" t="s">
        <v>5150</v>
      </c>
      <c r="D288" s="2795"/>
      <c r="E288" s="2795"/>
      <c r="F288" s="2795"/>
      <c r="G288" s="2795"/>
      <c r="H288" s="2795"/>
    </row>
    <row r="289" spans="2:9">
      <c r="B289" s="2391"/>
      <c r="C289" s="2436"/>
      <c r="D289" s="2437"/>
      <c r="E289" s="2437"/>
      <c r="F289" s="2437"/>
      <c r="G289" s="2438"/>
      <c r="H289" s="2439"/>
    </row>
    <row r="290" spans="2:9">
      <c r="B290" s="2391"/>
      <c r="C290" s="2436"/>
      <c r="D290" s="2437"/>
      <c r="E290" s="2437"/>
      <c r="F290" s="2437"/>
      <c r="G290" s="2438"/>
      <c r="H290" s="2439"/>
    </row>
    <row r="291" spans="2:9">
      <c r="B291" s="2440"/>
      <c r="C291" s="2436"/>
      <c r="D291" s="2437"/>
      <c r="E291" s="2437"/>
      <c r="F291" s="2437"/>
      <c r="G291" s="2438"/>
      <c r="H291" s="2439"/>
    </row>
    <row r="292" spans="2:9" ht="27" customHeight="1">
      <c r="B292" s="2391"/>
      <c r="C292" s="2436"/>
      <c r="D292" s="2437"/>
      <c r="E292" s="2437"/>
      <c r="F292" s="2437"/>
      <c r="G292" s="2438"/>
      <c r="H292" s="2439"/>
    </row>
    <row r="293" spans="2:9">
      <c r="B293" s="2391"/>
      <c r="C293" s="2436"/>
      <c r="D293" s="2437"/>
      <c r="E293" s="2437"/>
      <c r="F293" s="2437"/>
      <c r="G293" s="2438"/>
      <c r="H293" s="2439"/>
      <c r="I293" s="2441"/>
    </row>
    <row r="294" spans="2:9">
      <c r="B294" s="2391" t="s">
        <v>5151</v>
      </c>
      <c r="C294" s="2795" t="s">
        <v>5152</v>
      </c>
      <c r="D294" s="2795"/>
      <c r="E294" s="2795"/>
      <c r="F294" s="2795"/>
      <c r="G294" s="2795"/>
      <c r="H294" s="2795"/>
    </row>
    <row r="297" spans="2:9">
      <c r="B297" s="2442"/>
    </row>
  </sheetData>
  <mergeCells count="20">
    <mergeCell ref="A1:H1"/>
    <mergeCell ref="A2:H2"/>
    <mergeCell ref="A3:H3"/>
    <mergeCell ref="A4:H4"/>
    <mergeCell ref="A5:H5"/>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62</vt:i4>
      </vt:variant>
    </vt:vector>
  </HeadingPairs>
  <TitlesOfParts>
    <vt:vector size="101"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Hoan cong VL-NC-MTC</vt:lpstr>
      <vt:lpstr>2Mong</vt:lpstr>
      <vt:lpstr>3Tru</vt:lpstr>
      <vt:lpstr>4BT</vt:lpstr>
      <vt:lpstr>5Neo</vt:lpstr>
      <vt:lpstr>6PK</vt:lpstr>
      <vt:lpstr>7day</vt:lpstr>
      <vt:lpstr>8TB</vt:lpstr>
      <vt:lpstr>9TD</vt:lpstr>
      <vt:lpstr>10DN</vt:lpstr>
      <vt:lpstr>NK</vt:lpstr>
      <vt:lpstr>Solieu</vt:lpstr>
      <vt:lpstr>Du thau</vt:lpstr>
      <vt:lpstr>TongHopKL</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chitiet!Print_Area</vt:lpstr>
      <vt:lpstr>CT_tram!Print_Area</vt:lpstr>
      <vt:lpstr>DG!Print_Area</vt:lpstr>
      <vt:lpstr>'Du thau'!Print_Area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chitiet!Print_Titles</vt:lpstr>
      <vt:lpstr>CT_tram!Print_Titles</vt:lpstr>
      <vt:lpstr>'Du thau'!Print_Titles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2020-05-08T02:59:52Z</dcterms:modified>
</cp:coreProperties>
</file>